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definedNames>
    <definedName name="FX_RATE">'Weekly Valuation'!$W$133</definedName>
    <definedName name="NFEM_RATE" localSheetId="0">'Weekly Valuation'!$W$133</definedName>
  </definedNames>
  <calcPr calcId="162913"/>
</workbook>
</file>

<file path=xl/calcChain.xml><?xml version="1.0" encoding="utf-8"?>
<calcChain xmlns="http://schemas.openxmlformats.org/spreadsheetml/2006/main">
  <c r="N145" i="1" l="1"/>
  <c r="M145" i="1"/>
  <c r="K145" i="1"/>
  <c r="N143" i="1" l="1"/>
  <c r="M143" i="1"/>
  <c r="K143" i="1"/>
  <c r="N149" i="1" l="1"/>
  <c r="M149" i="1"/>
  <c r="K149" i="1"/>
  <c r="N139" i="1" l="1"/>
  <c r="K139" i="1"/>
  <c r="K125" i="1"/>
  <c r="N142" i="1" l="1"/>
  <c r="M142" i="1"/>
  <c r="K142" i="1"/>
  <c r="N128" i="1" l="1"/>
  <c r="M128" i="1"/>
  <c r="K128" i="1"/>
  <c r="N119" i="1" l="1"/>
  <c r="M119" i="1"/>
  <c r="K119" i="1"/>
  <c r="N227" i="1" l="1"/>
  <c r="M227" i="1"/>
  <c r="K227" i="1"/>
  <c r="K127" i="1"/>
  <c r="N141" i="1"/>
  <c r="M141" i="1"/>
  <c r="N136" i="1" l="1"/>
  <c r="M136" i="1"/>
  <c r="K136" i="1"/>
  <c r="N134" i="1"/>
  <c r="M134" i="1"/>
  <c r="K134" i="1"/>
  <c r="K115" i="1"/>
  <c r="N133" i="1"/>
  <c r="M133" i="1"/>
  <c r="K133" i="1"/>
  <c r="N129" i="1"/>
  <c r="M129" i="1"/>
  <c r="K129" i="1"/>
  <c r="N118" i="1" l="1"/>
  <c r="M118" i="1"/>
  <c r="K118" i="1"/>
  <c r="N114" i="1"/>
  <c r="M114" i="1"/>
  <c r="K114" i="1"/>
  <c r="N148" i="1"/>
  <c r="M148" i="1"/>
  <c r="K148" i="1"/>
  <c r="N140" i="1"/>
  <c r="M140" i="1"/>
  <c r="K140" i="1"/>
  <c r="N124" i="1" l="1"/>
  <c r="N123" i="1"/>
  <c r="M124" i="1"/>
  <c r="M123" i="1"/>
  <c r="K124" i="1"/>
  <c r="K123" i="1"/>
  <c r="N225" i="1" l="1"/>
  <c r="M225" i="1"/>
  <c r="K225" i="1"/>
  <c r="N117" i="1"/>
  <c r="M117" i="1"/>
  <c r="K117" i="1"/>
  <c r="N116" i="1"/>
  <c r="M116" i="1"/>
  <c r="K116" i="1"/>
  <c r="N146" i="1"/>
  <c r="M146" i="1"/>
  <c r="K146" i="1"/>
  <c r="N130" i="1"/>
  <c r="M130" i="1"/>
  <c r="K130" i="1"/>
  <c r="N126" i="1" l="1"/>
  <c r="M126" i="1"/>
  <c r="K126" i="1"/>
  <c r="N121" i="1"/>
  <c r="M121" i="1"/>
  <c r="K121" i="1"/>
  <c r="G227" i="1"/>
  <c r="F227" i="1"/>
  <c r="G225" i="1"/>
  <c r="F225" i="1"/>
  <c r="D227" i="1"/>
  <c r="D225" i="1"/>
  <c r="M139" i="1" l="1"/>
  <c r="N138" i="1" l="1"/>
  <c r="M138" i="1"/>
  <c r="R179" i="1" l="1"/>
  <c r="N120" i="1"/>
  <c r="M120" i="1"/>
  <c r="K120" i="1"/>
  <c r="R81" i="1" l="1"/>
  <c r="R82" i="1"/>
  <c r="R104" i="1" l="1"/>
  <c r="S104" i="1"/>
  <c r="T104" i="1"/>
  <c r="U104" i="1"/>
  <c r="V104" i="1"/>
  <c r="N127" i="1" l="1"/>
  <c r="M127" i="1"/>
  <c r="R15" i="1" l="1"/>
  <c r="V228" i="1" l="1"/>
  <c r="U228" i="1"/>
  <c r="T228" i="1"/>
  <c r="S228" i="1"/>
  <c r="R228" i="1"/>
  <c r="R234" i="1"/>
  <c r="R154" i="1" l="1"/>
  <c r="S154" i="1"/>
  <c r="T154" i="1"/>
  <c r="U154" i="1"/>
  <c r="V154" i="1"/>
  <c r="R126" i="1" l="1"/>
  <c r="R125" i="1"/>
  <c r="S133" i="1"/>
  <c r="R133" i="1"/>
  <c r="S149" i="1"/>
  <c r="R149" i="1"/>
  <c r="S121" i="1"/>
  <c r="S140" i="1"/>
  <c r="R140" i="1"/>
  <c r="R127" i="1"/>
  <c r="S145" i="1"/>
  <c r="R145" i="1"/>
  <c r="S136" i="1"/>
  <c r="R136" i="1"/>
  <c r="S120" i="1"/>
  <c r="R120" i="1"/>
  <c r="K159" i="1"/>
  <c r="L156" i="1" s="1"/>
  <c r="V218" i="1"/>
  <c r="U218" i="1"/>
  <c r="T218" i="1"/>
  <c r="S218" i="1"/>
  <c r="R218" i="1"/>
  <c r="K195" i="1"/>
  <c r="L218" i="1" s="1"/>
  <c r="D195" i="1"/>
  <c r="B19" i="2" s="1"/>
  <c r="B9" i="2" s="1"/>
  <c r="V219" i="1"/>
  <c r="U219" i="1"/>
  <c r="T219" i="1"/>
  <c r="S219" i="1"/>
  <c r="R219" i="1"/>
  <c r="K221" i="1"/>
  <c r="D221" i="1"/>
  <c r="S134" i="1"/>
  <c r="S148" i="1"/>
  <c r="R115" i="1"/>
  <c r="S143" i="1"/>
  <c r="R143" i="1"/>
  <c r="R128" i="1"/>
  <c r="S114" i="1"/>
  <c r="V234" i="1"/>
  <c r="M125" i="1"/>
  <c r="N125" i="1"/>
  <c r="S125" i="1" s="1"/>
  <c r="V226" i="1"/>
  <c r="U226" i="1"/>
  <c r="T226" i="1"/>
  <c r="S226" i="1"/>
  <c r="R226" i="1"/>
  <c r="K230" i="1"/>
  <c r="S138" i="1"/>
  <c r="U142" i="1"/>
  <c r="V142" i="1"/>
  <c r="N115" i="1"/>
  <c r="S115" i="1" s="1"/>
  <c r="M115" i="1"/>
  <c r="R227" i="1"/>
  <c r="S227" i="1"/>
  <c r="T227" i="1"/>
  <c r="U227" i="1"/>
  <c r="V227" i="1"/>
  <c r="V52" i="1"/>
  <c r="U52" i="1"/>
  <c r="T52" i="1"/>
  <c r="S52" i="1"/>
  <c r="R52" i="1"/>
  <c r="R148" i="1"/>
  <c r="V148" i="1"/>
  <c r="U148" i="1"/>
  <c r="T148" i="1"/>
  <c r="R167" i="1"/>
  <c r="S167" i="1"/>
  <c r="T167" i="1"/>
  <c r="U167" i="1"/>
  <c r="V167" i="1"/>
  <c r="V143" i="1"/>
  <c r="U143" i="1"/>
  <c r="T143" i="1"/>
  <c r="R58" i="1"/>
  <c r="V58" i="1"/>
  <c r="U58" i="1"/>
  <c r="S58" i="1"/>
  <c r="T58" i="1"/>
  <c r="R32" i="1"/>
  <c r="V32" i="1"/>
  <c r="U32" i="1"/>
  <c r="T32" i="1"/>
  <c r="S32" i="1"/>
  <c r="T137" i="1"/>
  <c r="V125" i="1"/>
  <c r="U125" i="1"/>
  <c r="T125" i="1"/>
  <c r="R45" i="1"/>
  <c r="S45" i="1"/>
  <c r="T45" i="1"/>
  <c r="U45" i="1"/>
  <c r="V45" i="1"/>
  <c r="O230" i="1"/>
  <c r="H230" i="1"/>
  <c r="D230" i="1"/>
  <c r="V225" i="1"/>
  <c r="U225" i="1"/>
  <c r="T225" i="1"/>
  <c r="S225" i="1"/>
  <c r="R225" i="1"/>
  <c r="V136" i="1"/>
  <c r="U136" i="1"/>
  <c r="T136" i="1"/>
  <c r="V82" i="1"/>
  <c r="U82" i="1"/>
  <c r="T82" i="1"/>
  <c r="S82" i="1"/>
  <c r="R171" i="1"/>
  <c r="V23" i="1"/>
  <c r="U23" i="1"/>
  <c r="T23" i="1"/>
  <c r="S23" i="1"/>
  <c r="R23" i="1"/>
  <c r="O221" i="1"/>
  <c r="H221" i="1"/>
  <c r="V220" i="1"/>
  <c r="U220" i="1"/>
  <c r="T220" i="1"/>
  <c r="S220" i="1"/>
  <c r="R220" i="1"/>
  <c r="R31" i="1"/>
  <c r="R117" i="1"/>
  <c r="S117" i="1"/>
  <c r="T117" i="1"/>
  <c r="U117" i="1"/>
  <c r="V117" i="1"/>
  <c r="R53" i="1"/>
  <c r="R212" i="1"/>
  <c r="V204" i="1"/>
  <c r="U204" i="1"/>
  <c r="T204" i="1"/>
  <c r="S204" i="1"/>
  <c r="R204" i="1"/>
  <c r="T145" i="1"/>
  <c r="U145" i="1"/>
  <c r="V145" i="1"/>
  <c r="R6" i="1"/>
  <c r="V189" i="1"/>
  <c r="U189" i="1"/>
  <c r="T189" i="1"/>
  <c r="S189" i="1"/>
  <c r="R189" i="1"/>
  <c r="V188" i="1"/>
  <c r="U188" i="1"/>
  <c r="T188" i="1"/>
  <c r="S188" i="1"/>
  <c r="R188" i="1"/>
  <c r="V187" i="1"/>
  <c r="U187" i="1"/>
  <c r="T187" i="1"/>
  <c r="S187" i="1"/>
  <c r="R187" i="1"/>
  <c r="V186" i="1"/>
  <c r="U186" i="1"/>
  <c r="T186" i="1"/>
  <c r="S186" i="1"/>
  <c r="R186" i="1"/>
  <c r="V185" i="1"/>
  <c r="U185" i="1"/>
  <c r="T185" i="1"/>
  <c r="S185" i="1"/>
  <c r="R185" i="1"/>
  <c r="V184" i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R94" i="1"/>
  <c r="V34" i="1"/>
  <c r="U34" i="1"/>
  <c r="T34" i="1"/>
  <c r="S34" i="1"/>
  <c r="R34" i="1"/>
  <c r="V76" i="1"/>
  <c r="V49" i="1"/>
  <c r="U49" i="1"/>
  <c r="T49" i="1"/>
  <c r="S49" i="1"/>
  <c r="R49" i="1"/>
  <c r="J10" i="4"/>
  <c r="I4" i="5" s="1"/>
  <c r="I3" i="5" s="1"/>
  <c r="I10" i="4"/>
  <c r="H4" i="5" s="1"/>
  <c r="H3" i="5" s="1"/>
  <c r="H10" i="4"/>
  <c r="G4" i="5" s="1"/>
  <c r="G3" i="5" s="1"/>
  <c r="G10" i="4"/>
  <c r="F4" i="5" s="1"/>
  <c r="F3" i="5" s="1"/>
  <c r="F10" i="4"/>
  <c r="E10" i="4"/>
  <c r="D10" i="4"/>
  <c r="E12" i="4" s="1"/>
  <c r="C10" i="4"/>
  <c r="D12" i="4" s="1"/>
  <c r="B10" i="4"/>
  <c r="I4" i="6"/>
  <c r="I3" i="6" s="1"/>
  <c r="H4" i="6"/>
  <c r="H3" i="6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V250" i="1"/>
  <c r="U250" i="1"/>
  <c r="S250" i="1"/>
  <c r="O250" i="1"/>
  <c r="K250" i="1"/>
  <c r="L247" i="1" s="1"/>
  <c r="H250" i="1"/>
  <c r="D250" i="1"/>
  <c r="E238" i="1" s="1"/>
  <c r="V249" i="1"/>
  <c r="U249" i="1"/>
  <c r="T249" i="1"/>
  <c r="S249" i="1"/>
  <c r="R249" i="1"/>
  <c r="V248" i="1"/>
  <c r="U248" i="1"/>
  <c r="T248" i="1"/>
  <c r="S248" i="1"/>
  <c r="R248" i="1"/>
  <c r="V247" i="1"/>
  <c r="U247" i="1"/>
  <c r="T247" i="1"/>
  <c r="S247" i="1"/>
  <c r="R247" i="1"/>
  <c r="V246" i="1"/>
  <c r="U246" i="1"/>
  <c r="T246" i="1"/>
  <c r="S246" i="1"/>
  <c r="R246" i="1"/>
  <c r="V245" i="1"/>
  <c r="U245" i="1"/>
  <c r="T245" i="1"/>
  <c r="S245" i="1"/>
  <c r="R245" i="1"/>
  <c r="V244" i="1"/>
  <c r="U244" i="1"/>
  <c r="T244" i="1"/>
  <c r="S244" i="1"/>
  <c r="R244" i="1"/>
  <c r="V243" i="1"/>
  <c r="U243" i="1"/>
  <c r="T243" i="1"/>
  <c r="S243" i="1"/>
  <c r="R243" i="1"/>
  <c r="V242" i="1"/>
  <c r="U242" i="1"/>
  <c r="T242" i="1"/>
  <c r="S242" i="1"/>
  <c r="R242" i="1"/>
  <c r="V241" i="1"/>
  <c r="U241" i="1"/>
  <c r="T241" i="1"/>
  <c r="S241" i="1"/>
  <c r="R241" i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O235" i="1"/>
  <c r="K235" i="1"/>
  <c r="L233" i="1" s="1"/>
  <c r="H235" i="1"/>
  <c r="D235" i="1"/>
  <c r="E233" i="1" s="1"/>
  <c r="U234" i="1"/>
  <c r="T234" i="1"/>
  <c r="S234" i="1"/>
  <c r="V233" i="1"/>
  <c r="U233" i="1"/>
  <c r="T233" i="1"/>
  <c r="S233" i="1"/>
  <c r="R233" i="1"/>
  <c r="V229" i="1"/>
  <c r="U229" i="1"/>
  <c r="T229" i="1"/>
  <c r="S229" i="1"/>
  <c r="R229" i="1"/>
  <c r="V221" i="1"/>
  <c r="U221" i="1"/>
  <c r="S221" i="1"/>
  <c r="V215" i="1"/>
  <c r="U215" i="1"/>
  <c r="T215" i="1"/>
  <c r="S215" i="1"/>
  <c r="R215" i="1"/>
  <c r="V214" i="1"/>
  <c r="U214" i="1"/>
  <c r="T214" i="1"/>
  <c r="S214" i="1"/>
  <c r="R214" i="1"/>
  <c r="V213" i="1"/>
  <c r="U213" i="1"/>
  <c r="T213" i="1"/>
  <c r="S213" i="1"/>
  <c r="R213" i="1"/>
  <c r="V212" i="1"/>
  <c r="U212" i="1"/>
  <c r="T212" i="1"/>
  <c r="S212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V208" i="1"/>
  <c r="U208" i="1"/>
  <c r="T208" i="1"/>
  <c r="S208" i="1"/>
  <c r="R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R205" i="1"/>
  <c r="V203" i="1"/>
  <c r="U203" i="1"/>
  <c r="T203" i="1"/>
  <c r="S203" i="1"/>
  <c r="R203" i="1"/>
  <c r="V200" i="1"/>
  <c r="U200" i="1"/>
  <c r="T200" i="1"/>
  <c r="S200" i="1"/>
  <c r="R200" i="1"/>
  <c r="V199" i="1"/>
  <c r="U199" i="1"/>
  <c r="T199" i="1"/>
  <c r="S199" i="1"/>
  <c r="R199" i="1"/>
  <c r="V195" i="1"/>
  <c r="U195" i="1"/>
  <c r="S195" i="1"/>
  <c r="O195" i="1"/>
  <c r="H195" i="1"/>
  <c r="T195" i="1" s="1"/>
  <c r="V194" i="1"/>
  <c r="U194" i="1"/>
  <c r="T194" i="1"/>
  <c r="S194" i="1"/>
  <c r="R194" i="1"/>
  <c r="V193" i="1"/>
  <c r="U193" i="1"/>
  <c r="T193" i="1"/>
  <c r="S193" i="1"/>
  <c r="R193" i="1"/>
  <c r="V190" i="1"/>
  <c r="U190" i="1"/>
  <c r="S190" i="1"/>
  <c r="O190" i="1"/>
  <c r="K190" i="1"/>
  <c r="H190" i="1"/>
  <c r="D190" i="1"/>
  <c r="E167" i="1" s="1"/>
  <c r="V159" i="1"/>
  <c r="U159" i="1"/>
  <c r="S159" i="1"/>
  <c r="O159" i="1"/>
  <c r="H159" i="1"/>
  <c r="D159" i="1"/>
  <c r="E153" i="1" s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3" i="1"/>
  <c r="U153" i="1"/>
  <c r="T153" i="1"/>
  <c r="S153" i="1"/>
  <c r="R153" i="1"/>
  <c r="V150" i="1"/>
  <c r="U150" i="1"/>
  <c r="S150" i="1"/>
  <c r="O150" i="1"/>
  <c r="H150" i="1"/>
  <c r="V149" i="1"/>
  <c r="U149" i="1"/>
  <c r="T149" i="1"/>
  <c r="V147" i="1"/>
  <c r="U147" i="1"/>
  <c r="T147" i="1"/>
  <c r="S147" i="1"/>
  <c r="R147" i="1"/>
  <c r="V146" i="1"/>
  <c r="U146" i="1"/>
  <c r="T146" i="1"/>
  <c r="S146" i="1"/>
  <c r="V144" i="1"/>
  <c r="U144" i="1"/>
  <c r="T144" i="1"/>
  <c r="S144" i="1"/>
  <c r="R144" i="1"/>
  <c r="T142" i="1"/>
  <c r="S142" i="1"/>
  <c r="V141" i="1"/>
  <c r="U141" i="1"/>
  <c r="T141" i="1"/>
  <c r="R141" i="1"/>
  <c r="S141" i="1"/>
  <c r="V140" i="1"/>
  <c r="U140" i="1"/>
  <c r="T140" i="1"/>
  <c r="V139" i="1"/>
  <c r="U139" i="1"/>
  <c r="T139" i="1"/>
  <c r="S139" i="1"/>
  <c r="R139" i="1"/>
  <c r="V138" i="1"/>
  <c r="U138" i="1"/>
  <c r="T138" i="1"/>
  <c r="R138" i="1"/>
  <c r="V137" i="1"/>
  <c r="U137" i="1"/>
  <c r="S137" i="1"/>
  <c r="R137" i="1"/>
  <c r="V135" i="1"/>
  <c r="U135" i="1"/>
  <c r="T135" i="1"/>
  <c r="S135" i="1"/>
  <c r="R135" i="1"/>
  <c r="V134" i="1"/>
  <c r="U134" i="1"/>
  <c r="T134" i="1"/>
  <c r="V133" i="1"/>
  <c r="U133" i="1"/>
  <c r="T133" i="1"/>
  <c r="V130" i="1"/>
  <c r="U130" i="1"/>
  <c r="T130" i="1"/>
  <c r="S130" i="1"/>
  <c r="V129" i="1"/>
  <c r="U129" i="1"/>
  <c r="T129" i="1"/>
  <c r="S129" i="1"/>
  <c r="R129" i="1"/>
  <c r="V128" i="1"/>
  <c r="U128" i="1"/>
  <c r="T128" i="1"/>
  <c r="S128" i="1"/>
  <c r="V127" i="1"/>
  <c r="U127" i="1"/>
  <c r="T127" i="1"/>
  <c r="S127" i="1"/>
  <c r="V126" i="1"/>
  <c r="U126" i="1"/>
  <c r="T126" i="1"/>
  <c r="S126" i="1"/>
  <c r="V124" i="1"/>
  <c r="U124" i="1"/>
  <c r="T124" i="1"/>
  <c r="S124" i="1"/>
  <c r="R124" i="1"/>
  <c r="V123" i="1"/>
  <c r="U123" i="1"/>
  <c r="T123" i="1"/>
  <c r="S123" i="1"/>
  <c r="R123" i="1"/>
  <c r="V122" i="1"/>
  <c r="U122" i="1"/>
  <c r="T122" i="1"/>
  <c r="S122" i="1"/>
  <c r="R122" i="1"/>
  <c r="V121" i="1"/>
  <c r="U121" i="1"/>
  <c r="T121" i="1"/>
  <c r="V120" i="1"/>
  <c r="U120" i="1"/>
  <c r="T120" i="1"/>
  <c r="V119" i="1"/>
  <c r="U119" i="1"/>
  <c r="T119" i="1"/>
  <c r="S119" i="1"/>
  <c r="V118" i="1"/>
  <c r="U118" i="1"/>
  <c r="T118" i="1"/>
  <c r="S118" i="1"/>
  <c r="V116" i="1"/>
  <c r="U116" i="1"/>
  <c r="T116" i="1"/>
  <c r="S116" i="1"/>
  <c r="V115" i="1"/>
  <c r="U115" i="1"/>
  <c r="T115" i="1"/>
  <c r="V114" i="1"/>
  <c r="U114" i="1"/>
  <c r="T114" i="1"/>
  <c r="R114" i="1"/>
  <c r="V110" i="1"/>
  <c r="U110" i="1"/>
  <c r="S110" i="1"/>
  <c r="O110" i="1"/>
  <c r="K110" i="1"/>
  <c r="L104" i="1" s="1"/>
  <c r="H110" i="1"/>
  <c r="D110" i="1"/>
  <c r="E96" i="1" s="1"/>
  <c r="V109" i="1"/>
  <c r="U109" i="1"/>
  <c r="T109" i="1"/>
  <c r="S109" i="1"/>
  <c r="R109" i="1"/>
  <c r="V108" i="1"/>
  <c r="U108" i="1"/>
  <c r="T108" i="1"/>
  <c r="S108" i="1"/>
  <c r="R108" i="1"/>
  <c r="V107" i="1"/>
  <c r="U107" i="1"/>
  <c r="T107" i="1"/>
  <c r="S107" i="1"/>
  <c r="R107" i="1"/>
  <c r="V106" i="1"/>
  <c r="U106" i="1"/>
  <c r="T106" i="1"/>
  <c r="S106" i="1"/>
  <c r="R106" i="1"/>
  <c r="V105" i="1"/>
  <c r="U105" i="1"/>
  <c r="T105" i="1"/>
  <c r="S105" i="1"/>
  <c r="R105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1" i="1"/>
  <c r="U81" i="1"/>
  <c r="T81" i="1"/>
  <c r="S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V69" i="1"/>
  <c r="U69" i="1"/>
  <c r="S69" i="1"/>
  <c r="O69" i="1"/>
  <c r="K69" i="1"/>
  <c r="L36" i="1" s="1"/>
  <c r="H69" i="1"/>
  <c r="D69" i="1"/>
  <c r="B14" i="2" s="1"/>
  <c r="B4" i="2" s="1"/>
  <c r="V68" i="1"/>
  <c r="U68" i="1"/>
  <c r="T68" i="1"/>
  <c r="S68" i="1"/>
  <c r="R68" i="1"/>
  <c r="V67" i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V51" i="1"/>
  <c r="U51" i="1"/>
  <c r="T51" i="1"/>
  <c r="S51" i="1"/>
  <c r="R51" i="1"/>
  <c r="V50" i="1"/>
  <c r="U50" i="1"/>
  <c r="T50" i="1"/>
  <c r="S50" i="1"/>
  <c r="R50" i="1"/>
  <c r="V48" i="1"/>
  <c r="U48" i="1"/>
  <c r="T48" i="1"/>
  <c r="S48" i="1"/>
  <c r="R48" i="1"/>
  <c r="V47" i="1"/>
  <c r="U47" i="1"/>
  <c r="T47" i="1"/>
  <c r="S47" i="1"/>
  <c r="R47" i="1"/>
  <c r="V46" i="1"/>
  <c r="U46" i="1"/>
  <c r="T46" i="1"/>
  <c r="S46" i="1"/>
  <c r="R46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3" i="1"/>
  <c r="U33" i="1"/>
  <c r="T33" i="1"/>
  <c r="S33" i="1"/>
  <c r="R33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L19" i="1" s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D4" i="5"/>
  <c r="D3" i="5" s="1"/>
  <c r="D150" i="1"/>
  <c r="E139" i="1" s="1"/>
  <c r="R116" i="1"/>
  <c r="R119" i="1"/>
  <c r="R130" i="1"/>
  <c r="R134" i="1"/>
  <c r="R142" i="1"/>
  <c r="R146" i="1"/>
  <c r="L203" i="1" l="1"/>
  <c r="L208" i="1"/>
  <c r="F12" i="4"/>
  <c r="E88" i="1"/>
  <c r="E234" i="1"/>
  <c r="E98" i="1"/>
  <c r="E100" i="1"/>
  <c r="G12" i="4"/>
  <c r="E157" i="1"/>
  <c r="E4" i="5"/>
  <c r="E3" i="5" s="1"/>
  <c r="E91" i="1"/>
  <c r="E104" i="1"/>
  <c r="E78" i="1"/>
  <c r="L170" i="1"/>
  <c r="L188" i="1"/>
  <c r="L189" i="1"/>
  <c r="E103" i="1"/>
  <c r="E90" i="1"/>
  <c r="I12" i="4"/>
  <c r="H12" i="4"/>
  <c r="E45" i="1"/>
  <c r="E193" i="1"/>
  <c r="E194" i="1"/>
  <c r="E108" i="1"/>
  <c r="E13" i="1"/>
  <c r="E17" i="1"/>
  <c r="E15" i="1"/>
  <c r="E34" i="1"/>
  <c r="E14" i="1"/>
  <c r="C4" i="5"/>
  <c r="C3" i="5" s="1"/>
  <c r="C12" i="4"/>
  <c r="B4" i="5"/>
  <c r="B3" i="5" s="1"/>
  <c r="T159" i="1"/>
  <c r="E89" i="1"/>
  <c r="E106" i="1"/>
  <c r="E85" i="1"/>
  <c r="E79" i="1"/>
  <c r="E93" i="1"/>
  <c r="E248" i="1"/>
  <c r="E77" i="1"/>
  <c r="E74" i="1"/>
  <c r="E181" i="1"/>
  <c r="E109" i="1"/>
  <c r="E72" i="1"/>
  <c r="E185" i="1"/>
  <c r="E84" i="1"/>
  <c r="E81" i="1"/>
  <c r="T110" i="1"/>
  <c r="E80" i="1"/>
  <c r="E75" i="1"/>
  <c r="E140" i="1"/>
  <c r="E107" i="1"/>
  <c r="E97" i="1"/>
  <c r="B15" i="2"/>
  <c r="B5" i="2" s="1"/>
  <c r="E86" i="1"/>
  <c r="B16" i="2"/>
  <c r="B6" i="2" s="1"/>
  <c r="E82" i="1"/>
  <c r="E105" i="1"/>
  <c r="E102" i="1"/>
  <c r="E101" i="1"/>
  <c r="E16" i="1"/>
  <c r="E9" i="1"/>
  <c r="E20" i="1"/>
  <c r="E243" i="1"/>
  <c r="E18" i="1"/>
  <c r="B13" i="2"/>
  <c r="B3" i="2" s="1"/>
  <c r="E6" i="1"/>
  <c r="E10" i="1"/>
  <c r="E24" i="1"/>
  <c r="E11" i="1"/>
  <c r="E204" i="1"/>
  <c r="E228" i="1"/>
  <c r="E12" i="1"/>
  <c r="E21" i="1"/>
  <c r="E7" i="1"/>
  <c r="E22" i="1"/>
  <c r="E8" i="1"/>
  <c r="E126" i="1"/>
  <c r="E19" i="1"/>
  <c r="L234" i="1"/>
  <c r="R235" i="1"/>
  <c r="L78" i="1"/>
  <c r="L101" i="1"/>
  <c r="L227" i="1"/>
  <c r="L228" i="1"/>
  <c r="L226" i="1"/>
  <c r="R230" i="1"/>
  <c r="E205" i="1"/>
  <c r="B20" i="2"/>
  <c r="B10" i="2" s="1"/>
  <c r="E203" i="1"/>
  <c r="E210" i="1"/>
  <c r="E208" i="1"/>
  <c r="E226" i="1"/>
  <c r="E225" i="1"/>
  <c r="E213" i="1"/>
  <c r="E220" i="1"/>
  <c r="E211" i="1"/>
  <c r="E218" i="1"/>
  <c r="E180" i="1"/>
  <c r="E188" i="1"/>
  <c r="E169" i="1"/>
  <c r="E163" i="1"/>
  <c r="E175" i="1"/>
  <c r="E184" i="1"/>
  <c r="E48" i="1"/>
  <c r="E166" i="1"/>
  <c r="E186" i="1"/>
  <c r="E177" i="1"/>
  <c r="E168" i="1"/>
  <c r="E189" i="1"/>
  <c r="E179" i="1"/>
  <c r="E164" i="1"/>
  <c r="E176" i="1"/>
  <c r="E170" i="1"/>
  <c r="E182" i="1"/>
  <c r="E171" i="1"/>
  <c r="E183" i="1"/>
  <c r="E162" i="1"/>
  <c r="E187" i="1"/>
  <c r="E174" i="1"/>
  <c r="E165" i="1"/>
  <c r="E178" i="1"/>
  <c r="E172" i="1"/>
  <c r="B18" i="2"/>
  <c r="B8" i="2" s="1"/>
  <c r="E173" i="1"/>
  <c r="E156" i="1"/>
  <c r="E158" i="1"/>
  <c r="E143" i="1"/>
  <c r="E116" i="1"/>
  <c r="E133" i="1"/>
  <c r="E145" i="1"/>
  <c r="E125" i="1"/>
  <c r="E117" i="1"/>
  <c r="E141" i="1"/>
  <c r="E118" i="1"/>
  <c r="E136" i="1"/>
  <c r="L225" i="1"/>
  <c r="L158" i="1"/>
  <c r="L153" i="1"/>
  <c r="B6" i="3"/>
  <c r="L229" i="1"/>
  <c r="T221" i="1"/>
  <c r="L155" i="1"/>
  <c r="L154" i="1"/>
  <c r="L157" i="1"/>
  <c r="C17" i="2"/>
  <c r="C7" i="2" s="1"/>
  <c r="E247" i="1"/>
  <c r="E245" i="1"/>
  <c r="L239" i="1"/>
  <c r="R195" i="1"/>
  <c r="L194" i="1"/>
  <c r="L193" i="1"/>
  <c r="B2" i="3"/>
  <c r="C19" i="2"/>
  <c r="C9" i="2" s="1"/>
  <c r="L210" i="1"/>
  <c r="L200" i="1"/>
  <c r="L211" i="1"/>
  <c r="L213" i="1"/>
  <c r="C20" i="2"/>
  <c r="C10" i="2" s="1"/>
  <c r="L199" i="1"/>
  <c r="L215" i="1"/>
  <c r="L209" i="1"/>
  <c r="L206" i="1"/>
  <c r="B4" i="3"/>
  <c r="L204" i="1"/>
  <c r="L214" i="1"/>
  <c r="L212" i="1"/>
  <c r="T25" i="1"/>
  <c r="L23" i="1"/>
  <c r="L11" i="1"/>
  <c r="B3" i="3"/>
  <c r="L20" i="1"/>
  <c r="L17" i="1"/>
  <c r="L22" i="1"/>
  <c r="L16" i="1"/>
  <c r="L18" i="1"/>
  <c r="L7" i="1"/>
  <c r="L13" i="1"/>
  <c r="L14" i="1"/>
  <c r="L12" i="1"/>
  <c r="L9" i="1"/>
  <c r="L10" i="1"/>
  <c r="L34" i="1"/>
  <c r="L8" i="1"/>
  <c r="L6" i="1"/>
  <c r="L24" i="1"/>
  <c r="C13" i="2"/>
  <c r="C3" i="2" s="1"/>
  <c r="L21" i="1"/>
  <c r="R25" i="1"/>
  <c r="L15" i="1"/>
  <c r="L94" i="1"/>
  <c r="L90" i="1"/>
  <c r="L248" i="1"/>
  <c r="L243" i="1"/>
  <c r="L245" i="1"/>
  <c r="L241" i="1"/>
  <c r="L207" i="1"/>
  <c r="L219" i="1"/>
  <c r="L205" i="1"/>
  <c r="L220" i="1"/>
  <c r="E30" i="1"/>
  <c r="T250" i="1"/>
  <c r="L246" i="1"/>
  <c r="L249" i="1"/>
  <c r="L244" i="1"/>
  <c r="L242" i="1"/>
  <c r="L240" i="1"/>
  <c r="L238" i="1"/>
  <c r="K150" i="1"/>
  <c r="L118" i="1" s="1"/>
  <c r="R118" i="1"/>
  <c r="R121" i="1"/>
  <c r="T69" i="1"/>
  <c r="L32" i="1"/>
  <c r="E55" i="1"/>
  <c r="L33" i="1"/>
  <c r="L43" i="1"/>
  <c r="E68" i="1"/>
  <c r="L63" i="1"/>
  <c r="L62" i="1"/>
  <c r="L67" i="1"/>
  <c r="E63" i="1"/>
  <c r="L47" i="1"/>
  <c r="E46" i="1"/>
  <c r="L31" i="1"/>
  <c r="E35" i="1"/>
  <c r="E61" i="1"/>
  <c r="E43" i="1"/>
  <c r="L29" i="1"/>
  <c r="E47" i="1"/>
  <c r="E31" i="1"/>
  <c r="E66" i="1"/>
  <c r="E95" i="1"/>
  <c r="L60" i="1"/>
  <c r="L42" i="1"/>
  <c r="E28" i="1"/>
  <c r="L46" i="1"/>
  <c r="L30" i="1"/>
  <c r="E64" i="1"/>
  <c r="L44" i="1"/>
  <c r="E59" i="1"/>
  <c r="E41" i="1"/>
  <c r="E44" i="1"/>
  <c r="E29" i="1"/>
  <c r="E62" i="1"/>
  <c r="E58" i="1"/>
  <c r="L57" i="1"/>
  <c r="L40" i="1"/>
  <c r="E42" i="1"/>
  <c r="L28" i="1"/>
  <c r="E60" i="1"/>
  <c r="B9" i="3"/>
  <c r="E56" i="1"/>
  <c r="E39" i="1"/>
  <c r="L41" i="1"/>
  <c r="E57" i="1"/>
  <c r="L95" i="1"/>
  <c r="L68" i="1"/>
  <c r="L55" i="1"/>
  <c r="E40" i="1"/>
  <c r="L51" i="1"/>
  <c r="L49" i="1"/>
  <c r="L52" i="1"/>
  <c r="E67" i="1"/>
  <c r="E54" i="1"/>
  <c r="E38" i="1"/>
  <c r="L39" i="1"/>
  <c r="L54" i="1"/>
  <c r="E49" i="1"/>
  <c r="L45" i="1"/>
  <c r="E52" i="1"/>
  <c r="C14" i="2"/>
  <c r="C4" i="2" s="1"/>
  <c r="L66" i="1"/>
  <c r="L53" i="1"/>
  <c r="L37" i="1"/>
  <c r="L65" i="1"/>
  <c r="L35" i="1"/>
  <c r="L58" i="1"/>
  <c r="E65" i="1"/>
  <c r="E51" i="1"/>
  <c r="E36" i="1"/>
  <c r="L38" i="1"/>
  <c r="E50" i="1"/>
  <c r="L56" i="1"/>
  <c r="E32" i="1"/>
  <c r="L64" i="1"/>
  <c r="L50" i="1"/>
  <c r="E33" i="1"/>
  <c r="E37" i="1"/>
  <c r="E53" i="1"/>
  <c r="L59" i="1"/>
  <c r="L61" i="1"/>
  <c r="R69" i="1"/>
  <c r="E241" i="1"/>
  <c r="E239" i="1"/>
  <c r="E242" i="1"/>
  <c r="E244" i="1"/>
  <c r="E246" i="1"/>
  <c r="E249" i="1"/>
  <c r="E240" i="1"/>
  <c r="R250" i="1"/>
  <c r="E219" i="1"/>
  <c r="E206" i="1"/>
  <c r="E199" i="1"/>
  <c r="E200" i="1"/>
  <c r="E215" i="1"/>
  <c r="E209" i="1"/>
  <c r="E227" i="1"/>
  <c r="E229" i="1"/>
  <c r="E214" i="1"/>
  <c r="R221" i="1"/>
  <c r="E212" i="1"/>
  <c r="T190" i="1"/>
  <c r="H222" i="1"/>
  <c r="H251" i="1" s="1"/>
  <c r="B17" i="2"/>
  <c r="B7" i="2" s="1"/>
  <c r="E155" i="1"/>
  <c r="R159" i="1"/>
  <c r="T150" i="1"/>
  <c r="E122" i="1"/>
  <c r="E149" i="1"/>
  <c r="E135" i="1"/>
  <c r="E123" i="1"/>
  <c r="E146" i="1"/>
  <c r="E128" i="1"/>
  <c r="E127" i="1"/>
  <c r="E138" i="1"/>
  <c r="E142" i="1"/>
  <c r="E130" i="1"/>
  <c r="E144" i="1"/>
  <c r="E134" i="1"/>
  <c r="E124" i="1"/>
  <c r="E119" i="1"/>
  <c r="E114" i="1"/>
  <c r="E137" i="1"/>
  <c r="E129" i="1"/>
  <c r="E115" i="1"/>
  <c r="E121" i="1"/>
  <c r="E83" i="1"/>
  <c r="E99" i="1"/>
  <c r="E94" i="1"/>
  <c r="E73" i="1"/>
  <c r="E87" i="1"/>
  <c r="E92" i="1"/>
  <c r="D222" i="1"/>
  <c r="E25" i="1" s="1"/>
  <c r="J12" i="4"/>
  <c r="O222" i="1"/>
  <c r="O251" i="1" s="1"/>
  <c r="L179" i="1"/>
  <c r="L171" i="1"/>
  <c r="L182" i="1"/>
  <c r="R190" i="1"/>
  <c r="B5" i="3"/>
  <c r="L162" i="1"/>
  <c r="L183" i="1"/>
  <c r="L48" i="1"/>
  <c r="L174" i="1"/>
  <c r="L173" i="1"/>
  <c r="L186" i="1"/>
  <c r="L172" i="1"/>
  <c r="L165" i="1"/>
  <c r="L166" i="1"/>
  <c r="L181" i="1"/>
  <c r="L178" i="1"/>
  <c r="C18" i="2"/>
  <c r="C8" i="2" s="1"/>
  <c r="L177" i="1"/>
  <c r="L185" i="1"/>
  <c r="L167" i="1"/>
  <c r="L184" i="1"/>
  <c r="L163" i="1"/>
  <c r="L169" i="1"/>
  <c r="L164" i="1"/>
  <c r="L175" i="1"/>
  <c r="L176" i="1"/>
  <c r="L187" i="1"/>
  <c r="L180" i="1"/>
  <c r="L168" i="1"/>
  <c r="L72" i="1"/>
  <c r="L98" i="1"/>
  <c r="L75" i="1"/>
  <c r="L96" i="1"/>
  <c r="L99" i="1"/>
  <c r="L106" i="1"/>
  <c r="L92" i="1"/>
  <c r="L73" i="1"/>
  <c r="L82" i="1"/>
  <c r="L136" i="1"/>
  <c r="L83" i="1"/>
  <c r="E76" i="1"/>
  <c r="L88" i="1"/>
  <c r="R110" i="1"/>
  <c r="L91" i="1"/>
  <c r="L86" i="1"/>
  <c r="L80" i="1"/>
  <c r="L84" i="1"/>
  <c r="C15" i="2"/>
  <c r="C5" i="2" s="1"/>
  <c r="L89" i="1"/>
  <c r="L97" i="1"/>
  <c r="L105" i="1"/>
  <c r="L81" i="1"/>
  <c r="B7" i="3"/>
  <c r="L87" i="1"/>
  <c r="L79" i="1"/>
  <c r="L107" i="1"/>
  <c r="L77" i="1"/>
  <c r="L102" i="1"/>
  <c r="L76" i="1"/>
  <c r="L93" i="1"/>
  <c r="L103" i="1"/>
  <c r="L109" i="1"/>
  <c r="L100" i="1"/>
  <c r="L74" i="1"/>
  <c r="L85" i="1"/>
  <c r="L108" i="1"/>
  <c r="L142" i="1" l="1"/>
  <c r="B8" i="3"/>
  <c r="L137" i="1"/>
  <c r="L128" i="1"/>
  <c r="L146" i="1"/>
  <c r="L143" i="1"/>
  <c r="L123" i="1"/>
  <c r="L140" i="1"/>
  <c r="L129" i="1"/>
  <c r="L124" i="1"/>
  <c r="R150" i="1"/>
  <c r="L121" i="1"/>
  <c r="L120" i="1"/>
  <c r="C16" i="2"/>
  <c r="C6" i="2" s="1"/>
  <c r="L147" i="1"/>
  <c r="L135" i="1"/>
  <c r="L145" i="1"/>
  <c r="K222" i="1"/>
  <c r="L150" i="1" s="1"/>
  <c r="L117" i="1"/>
  <c r="L116" i="1"/>
  <c r="L130" i="1"/>
  <c r="L148" i="1"/>
  <c r="L119" i="1"/>
  <c r="L114" i="1"/>
  <c r="L141" i="1"/>
  <c r="L139" i="1"/>
  <c r="L122" i="1"/>
  <c r="L138" i="1"/>
  <c r="L125" i="1"/>
  <c r="L144" i="1"/>
  <c r="L126" i="1"/>
  <c r="L133" i="1"/>
  <c r="L134" i="1"/>
  <c r="L115" i="1"/>
  <c r="L127" i="1"/>
  <c r="L149" i="1"/>
  <c r="E221" i="1"/>
  <c r="D251" i="1"/>
  <c r="E159" i="1"/>
  <c r="E195" i="1"/>
  <c r="E110" i="1"/>
  <c r="E190" i="1"/>
  <c r="E150" i="1"/>
  <c r="E69" i="1"/>
  <c r="L25" i="1" l="1"/>
  <c r="L69" i="1"/>
  <c r="L159" i="1"/>
  <c r="R222" i="1"/>
  <c r="L195" i="1"/>
  <c r="L190" i="1"/>
  <c r="K251" i="1"/>
  <c r="L221" i="1"/>
  <c r="L110" i="1"/>
</calcChain>
</file>

<file path=xl/sharedStrings.xml><?xml version="1.0" encoding="utf-8"?>
<sst xmlns="http://schemas.openxmlformats.org/spreadsheetml/2006/main" count="513" uniqueCount="324">
  <si>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</si>
  <si>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</si>
  <si>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</si>
  <si>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</si>
  <si>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</si>
  <si>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</si>
  <si>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</si>
  <si>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</si>
  <si>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</si>
  <si>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</si>
  <si>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</si>
  <si>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</si>
  <si>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</si>
  <si>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</si>
  <si>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</si>
  <si>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</si>
  <si>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</si>
  <si>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</si>
  <si>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</si>
  <si>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</si>
  <si>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</si>
  <si>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</si>
  <si>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</si>
  <si>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</si>
  <si>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</si>
  <si>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</si>
  <si>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</si>
  <si>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</si>
  <si>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</si>
  <si>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</si>
  <si>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</si>
  <si>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</si>
  <si>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</si>
  <si>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</si>
  <si>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</si>
  <si>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</si>
  <si>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</si>
  <si>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</si>
  <si>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</si>
  <si>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</si>
  <si>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</si>
  <si>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</si>
  <si>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</si>
  <si>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</si>
  <si>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</si>
  <si>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</si>
  <si>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</si>
  <si>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</si>
  <si>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</si>
  <si>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</si>
  <si>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</si>
  <si>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</si>
  <si>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</si>
  <si>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</si>
  <si>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</si>
  <si>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</si>
  <si>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</si>
  <si>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</si>
  <si>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</si>
  <si>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</si>
  <si>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</si>
  <si>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</si>
  <si>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</si>
  <si>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</si>
  <si>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</si>
  <si>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</si>
  <si>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</si>
  <si>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</si>
  <si>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</si>
  <si>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</si>
  <si>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</si>
  <si>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</si>
  <si>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</si>
  <si>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</si>
  <si>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</si>
  <si>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</si>
  <si>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</si>
  <si>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</si>
  <si>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</si>
  <si>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</si>
  <si>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</si>
  <si>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</si>
  <si>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</si>
  <si>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</si>
  <si>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</si>
  <si>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</si>
  <si>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</si>
  <si>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</si>
  <si>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</si>
  <si>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</si>
  <si>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</si>
  <si>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</si>
  <si>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</si>
  <si>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</si>
  <si>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</si>
  <si>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</si>
  <si>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</si>
  <si>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</si>
  <si>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</si>
  <si>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</si>
  <si>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</si>
  <si>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</si>
  <si>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</si>
  <si>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</si>
  <si>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</si>
  <si>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</si>
  <si>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</si>
  <si>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</si>
  <si>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</si>
  <si>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</si>
  <si>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</si>
  <si>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</si>
  <si>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</si>
  <si>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</si>
  <si>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</si>
  <si>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</si>
  <si>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</si>
  <si>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</si>
  <si>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</si>
  <si>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</si>
  <si>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</si>
  <si>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</si>
  <si>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</si>
  <si>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</si>
  <si>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</si>
  <si>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</si>
  <si>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</si>
  <si>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</si>
  <si>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</si>
  <si>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</si>
  <si>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</si>
  <si>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</si>
  <si>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</si>
  <si>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</si>
  <si>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</si>
  <si>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</si>
  <si>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</si>
  <si>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</si>
  <si>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</si>
  <si>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</si>
  <si>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</si>
  <si>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</si>
  <si>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</si>
  <si>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</si>
  <si>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</si>
  <si>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</si>
  <si>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</si>
  <si>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</si>
  <si>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</si>
  <si>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</si>
  <si>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</si>
  <si>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</si>
  <si>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</si>
  <si>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</si>
  <si>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</si>
  <si>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</si>
  <si>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</si>
  <si>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</si>
  <si>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</si>
  <si>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</si>
  <si>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</si>
  <si>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</si>
  <si>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</si>
  <si>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</si>
  <si>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</si>
  <si>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</si>
  <si>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</si>
  <si>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</si>
  <si>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</si>
  <si>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</si>
  <si>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</si>
  <si>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</si>
  <si>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</si>
  <si>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</si>
  <si>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</si>
  <si>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</si>
  <si>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</si>
  <si>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</si>
  <si>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</si>
  <si>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</si>
  <si>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</si>
  <si>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</si>
  <si>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</si>
  <si>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</si>
  <si>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</si>
  <si>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</si>
  <si>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</si>
  <si>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</si>
  <si>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</si>
  <si>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</si>
  <si>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</si>
  <si>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</si>
  <si>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</si>
  <si>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</si>
  <si>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</si>
  <si>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</si>
  <si>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</si>
  <si>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</si>
  <si>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</si>
  <si>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</si>
  <si>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</si>
  <si>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</si>
  <si>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</si>
  <si>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</si>
  <si>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</si>
  <si>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</si>
  <si>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</si>
  <si>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</si>
  <si>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</si>
  <si>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</si>
  <si>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</si>
  <si>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</si>
  <si>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</si>
  <si>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</si>
  <si>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</si>
  <si>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</si>
  <si>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</si>
  <si>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</si>
  <si>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</si>
  <si>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</si>
  <si>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</si>
  <si>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</si>
  <si>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</si>
  <si>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</si>
  <si>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</si>
  <si>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</si>
  <si>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</si>
  <si>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</si>
  <si>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</si>
  <si>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</si>
  <si>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</si>
  <si>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</si>
  <si>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</si>
  <si>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</si>
  <si>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</si>
  <si>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</si>
  <si>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</si>
  <si>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</si>
  <si>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</si>
  <si>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</si>
  <si>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</si>
  <si>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</si>
  <si>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</si>
  <si>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</si>
  <si>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</si>
  <si>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</si>
  <si>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</si>
  <si>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</si>
  <si>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</si>
  <si>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</si>
  <si>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</si>
  <si>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</si>
  <si>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</si>
  <si>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</si>
  <si>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</si>
  <si>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</si>
  <si>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</si>
  <si>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</si>
  <si>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</si>
  <si>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</si>
  <si>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</si>
  <si>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</si>
  <si>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</si>
  <si>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</si>
  <si>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</si>
  <si>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</si>
  <si>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</si>
  <si>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</si>
  <si>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</si>
  <si>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</si>
  <si>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</si>
  <si>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</si>
  <si>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</si>
  <si>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</si>
  <si>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</si>
  <si>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</si>
  <si>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</si>
  <si>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</si>
  <si>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</si>
  <si>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</si>
  <si>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</si>
  <si>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</si>
  <si>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</si>
  <si>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</si>
  <si>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</si>
  <si>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</si>
  <si>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</si>
  <si>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</si>
  <si>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</si>
  <si>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</si>
  <si>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</si>
  <si>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</si>
  <si>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</si>
  <si>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</si>
  <si>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</si>
  <si>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</si>
  <si>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</si>
  <si>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FCMB-TLG Private Debt Fund</t>
  </si>
  <si>
    <t>FSL Money Market Fund</t>
  </si>
  <si>
    <t>FSL Asset Management Limited</t>
  </si>
  <si>
    <t>FSL Eurobond Fund</t>
  </si>
  <si>
    <t>AVA GAM Money Market Fund</t>
  </si>
  <si>
    <t>Guaranty Trust Dollar Fund</t>
  </si>
  <si>
    <t>Parthian Capital Limited</t>
  </si>
  <si>
    <t>Parthian Money Market Fund</t>
  </si>
  <si>
    <t>Parthian Dollar Fixed Income Fund</t>
  </si>
  <si>
    <t>CardinalStone Balanced Fund</t>
  </si>
  <si>
    <t>Vetiva USD Fixed Income Fund</t>
  </si>
  <si>
    <t>Mango Asset Management Limited</t>
  </si>
  <si>
    <t>Mango Naira Money Market Fund</t>
  </si>
  <si>
    <t>FBN Blended Dollar Fund</t>
  </si>
  <si>
    <t>ValuAlliance Money Market Fund</t>
  </si>
  <si>
    <t>ARM Specialized Dollar Fund</t>
  </si>
  <si>
    <t>ARM Halal Balanced Fund</t>
  </si>
  <si>
    <t>MOFI Real Estate Investment Fund</t>
  </si>
  <si>
    <t>United Capital Children Investment Fund</t>
  </si>
  <si>
    <t>Trustbanc Fixed Income Fund</t>
  </si>
  <si>
    <t>First Asset Management Limited</t>
  </si>
  <si>
    <t>NAV, Unit Price and Yield as at Week Ended June 27, 2025</t>
  </si>
  <si>
    <t>Week Ended June 27, 2025</t>
  </si>
  <si>
    <t>WEEKLY VALUATION REPORT OF COLLECTIVE INVESTMENT SCHEMES AS AT WEEK ENDED FRIDAY, JULY 4, 2025</t>
  </si>
  <si>
    <t>NAV, Unit Price and Yield as at Week Ended July 4, 2025</t>
  </si>
  <si>
    <t>NFEM RATE NG₦/US$ as at 4th July, 2025 = N1528.5616</t>
  </si>
  <si>
    <t>Week Ended July 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</si>
</sst>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  <numFmt numFmtId="167" formatCode="_-* #,##0.0000_-;\-* #,##0.0000_-;_-* &quot;-&quot;??_-;_-@_-"/>
  </numFmts>
  <fonts count="5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sz val="8"/>
      <color theme="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21" borderId="0" applyNumberFormat="0" applyBorder="0" applyAlignment="0" applyProtection="0"/>
    <xf numFmtId="0" fontId="34" fillId="0" borderId="0"/>
    <xf numFmtId="0" fontId="37" fillId="0" borderId="0"/>
    <xf numFmtId="0" fontId="35" fillId="0" borderId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90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12" fillId="8" borderId="1" xfId="0" applyFont="1" applyFill="1" applyBorder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164" fontId="16" fillId="2" borderId="1" xfId="10" applyFont="1" applyFill="1" applyBorder="1"/>
    <xf numFmtId="10" fontId="16" fillId="8" borderId="1" xfId="2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/>
    </xf>
    <xf numFmtId="4" fontId="16" fillId="2" borderId="1" xfId="0" applyNumberFormat="1" applyFont="1" applyFill="1" applyBorder="1"/>
    <xf numFmtId="164" fontId="14" fillId="10" borderId="1" xfId="1" applyFont="1" applyFill="1" applyBorder="1" applyAlignment="1">
      <alignment horizontal="center"/>
    </xf>
    <xf numFmtId="164" fontId="16" fillId="2" borderId="1" xfId="1" applyFont="1" applyFill="1" applyBorder="1"/>
    <xf numFmtId="0" fontId="14" fillId="0" borderId="1" xfId="0" applyFont="1" applyBorder="1"/>
    <xf numFmtId="0" fontId="14" fillId="2" borderId="1" xfId="0" applyFont="1" applyFill="1" applyBorder="1"/>
    <xf numFmtId="0" fontId="13" fillId="2" borderId="1" xfId="0" applyFont="1" applyFill="1" applyBorder="1" applyAlignment="1">
      <alignment horizontal="right"/>
    </xf>
    <xf numFmtId="164" fontId="13" fillId="2" borderId="1" xfId="1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0" fontId="16" fillId="2" borderId="1" xfId="2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vertical="top" wrapText="1"/>
    </xf>
    <xf numFmtId="164" fontId="13" fillId="10" borderId="1" xfId="1" applyFont="1" applyFill="1" applyBorder="1" applyAlignment="1">
      <alignment horizontal="center"/>
    </xf>
    <xf numFmtId="164" fontId="16" fillId="2" borderId="1" xfId="10" applyFont="1" applyFill="1" applyBorder="1" applyAlignment="1">
      <alignment horizontal="right"/>
    </xf>
    <xf numFmtId="4" fontId="16" fillId="2" borderId="1" xfId="1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 wrapText="1"/>
    </xf>
    <xf numFmtId="164" fontId="13" fillId="2" borderId="1" xfId="1" applyFont="1" applyFill="1" applyBorder="1" applyAlignment="1">
      <alignment horizontal="right"/>
    </xf>
    <xf numFmtId="164" fontId="12" fillId="3" borderId="1" xfId="1" applyFont="1" applyFill="1" applyBorder="1" applyAlignment="1">
      <alignment horizontal="center" vertical="top"/>
    </xf>
    <xf numFmtId="10" fontId="16" fillId="10" borderId="1" xfId="2" applyNumberFormat="1" applyFont="1" applyFill="1" applyBorder="1" applyAlignment="1">
      <alignment horizontal="center"/>
    </xf>
    <xf numFmtId="10" fontId="14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 vertical="top" wrapText="1"/>
    </xf>
    <xf numFmtId="10" fontId="16" fillId="10" borderId="1" xfId="2" applyNumberFormat="1" applyFont="1" applyFill="1" applyBorder="1" applyAlignment="1">
      <alignment horizontal="center" wrapText="1"/>
    </xf>
    <xf numFmtId="10" fontId="16" fillId="8" borderId="1" xfId="2" applyNumberFormat="1" applyFont="1" applyFill="1" applyBorder="1" applyAlignment="1">
      <alignment horizontal="center" wrapText="1"/>
    </xf>
    <xf numFmtId="10" fontId="16" fillId="10" borderId="1" xfId="1" applyNumberFormat="1" applyFont="1" applyFill="1" applyBorder="1" applyAlignment="1">
      <alignment horizontal="center"/>
    </xf>
    <xf numFmtId="10" fontId="16" fillId="3" borderId="1" xfId="2" applyNumberFormat="1" applyFont="1" applyFill="1" applyBorder="1" applyAlignment="1">
      <alignment horizontal="center" vertical="top" wrapText="1"/>
    </xf>
    <xf numFmtId="10" fontId="14" fillId="3" borderId="1" xfId="2" applyNumberFormat="1" applyFont="1" applyFill="1" applyBorder="1" applyAlignment="1">
      <alignment horizontal="center" vertical="top" wrapText="1"/>
    </xf>
    <xf numFmtId="10" fontId="14" fillId="3" borderId="1" xfId="1" applyNumberFormat="1" applyFont="1" applyFill="1" applyBorder="1" applyAlignment="1">
      <alignment horizontal="center" vertical="top" wrapText="1"/>
    </xf>
    <xf numFmtId="10" fontId="18" fillId="11" borderId="0" xfId="0" applyNumberFormat="1" applyFont="1" applyFill="1" applyAlignment="1">
      <alignment horizontal="right" vertical="center" wrapText="1"/>
    </xf>
    <xf numFmtId="2" fontId="16" fillId="2" borderId="1" xfId="0" applyNumberFormat="1" applyFont="1" applyFill="1" applyBorder="1"/>
    <xf numFmtId="164" fontId="16" fillId="2" borderId="1" xfId="10" applyFont="1" applyFill="1" applyBorder="1" applyAlignment="1">
      <alignment wrapText="1"/>
    </xf>
    <xf numFmtId="164" fontId="16" fillId="12" borderId="1" xfId="1" applyFont="1" applyFill="1" applyBorder="1" applyAlignment="1">
      <alignment horizontal="center"/>
    </xf>
    <xf numFmtId="10" fontId="16" fillId="12" borderId="1" xfId="2" applyNumberFormat="1" applyFont="1" applyFill="1" applyBorder="1" applyAlignment="1">
      <alignment horizontal="center"/>
    </xf>
    <xf numFmtId="10" fontId="16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0" fillId="0" borderId="0" xfId="1" applyFont="1"/>
    <xf numFmtId="4" fontId="21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2" fillId="11" borderId="0" xfId="0" applyNumberFormat="1" applyFont="1" applyFill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4" fontId="24" fillId="0" borderId="1" xfId="0" applyNumberFormat="1" applyFont="1" applyFill="1" applyBorder="1" applyAlignment="1" applyProtection="1"/>
    <xf numFmtId="0" fontId="25" fillId="2" borderId="1" xfId="0" applyFont="1" applyFill="1" applyBorder="1"/>
    <xf numFmtId="4" fontId="16" fillId="2" borderId="1" xfId="1" applyNumberFormat="1" applyFont="1" applyFill="1" applyBorder="1" applyAlignment="1">
      <alignment horizontal="right" vertical="top" wrapText="1"/>
    </xf>
    <xf numFmtId="164" fontId="13" fillId="2" borderId="1" xfId="1" applyFont="1" applyFill="1" applyBorder="1"/>
    <xf numFmtId="43" fontId="16" fillId="2" borderId="1" xfId="0" applyNumberFormat="1" applyFont="1" applyFill="1" applyBorder="1"/>
    <xf numFmtId="4" fontId="16" fillId="2" borderId="1" xfId="1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 wrapText="1"/>
    </xf>
    <xf numFmtId="4" fontId="16" fillId="2" borderId="1" xfId="10" applyNumberFormat="1" applyFont="1" applyFill="1" applyBorder="1" applyAlignment="1">
      <alignment horizontal="right" wrapText="1"/>
    </xf>
    <xf numFmtId="4" fontId="16" fillId="10" borderId="1" xfId="1" applyNumberFormat="1" applyFont="1" applyFill="1" applyBorder="1" applyAlignment="1">
      <alignment horizontal="center"/>
    </xf>
    <xf numFmtId="4" fontId="16" fillId="10" borderId="1" xfId="1" applyNumberFormat="1" applyFont="1" applyFill="1" applyBorder="1" applyAlignment="1">
      <alignment horizontal="center" vertical="top" wrapText="1"/>
    </xf>
    <xf numFmtId="43" fontId="16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3" fillId="10" borderId="1" xfId="1" applyNumberFormat="1" applyFont="1" applyFill="1" applyBorder="1" applyAlignment="1">
      <alignment horizontal="right" vertical="top" wrapText="1"/>
    </xf>
    <xf numFmtId="0" fontId="16" fillId="15" borderId="1" xfId="0" applyFont="1" applyFill="1" applyBorder="1" applyAlignment="1">
      <alignment horizontal="right" vertical="center"/>
    </xf>
    <xf numFmtId="0" fontId="13" fillId="15" borderId="1" xfId="0" applyFont="1" applyFill="1" applyBorder="1" applyAlignment="1">
      <alignment horizontal="right" vertical="center"/>
    </xf>
    <xf numFmtId="164" fontId="13" fillId="15" borderId="1" xfId="1" applyFont="1" applyFill="1" applyBorder="1" applyAlignment="1">
      <alignment horizontal="right" vertical="center" wrapText="1"/>
    </xf>
    <xf numFmtId="10" fontId="16" fillId="15" borderId="1" xfId="1" applyNumberFormat="1" applyFont="1" applyFill="1" applyBorder="1" applyAlignment="1">
      <alignment horizontal="right" vertical="center" wrapText="1"/>
    </xf>
    <xf numFmtId="4" fontId="16" fillId="15" borderId="1" xfId="1" applyNumberFormat="1" applyFont="1" applyFill="1" applyBorder="1" applyAlignment="1">
      <alignment horizontal="right" vertical="center" wrapText="1"/>
    </xf>
    <xf numFmtId="164" fontId="13" fillId="15" borderId="1" xfId="1" applyFont="1" applyFill="1" applyBorder="1" applyAlignment="1">
      <alignment horizontal="right" vertical="top" wrapText="1"/>
    </xf>
    <xf numFmtId="4" fontId="16" fillId="2" borderId="1" xfId="10" applyNumberFormat="1" applyFont="1" applyFill="1" applyBorder="1" applyAlignment="1">
      <alignment horizontal="right" vertical="top" wrapText="1"/>
    </xf>
    <xf numFmtId="164" fontId="26" fillId="15" borderId="1" xfId="1" applyFont="1" applyFill="1" applyBorder="1" applyAlignment="1">
      <alignment horizontal="right" vertical="top" wrapText="1"/>
    </xf>
    <xf numFmtId="4" fontId="16" fillId="15" borderId="1" xfId="1" applyNumberFormat="1" applyFont="1" applyFill="1" applyBorder="1" applyAlignment="1">
      <alignment horizontal="right" vertical="top" wrapText="1"/>
    </xf>
    <xf numFmtId="164" fontId="16" fillId="2" borderId="1" xfId="10" applyFont="1" applyFill="1" applyBorder="1" applyAlignment="1">
      <alignment horizontal="right" vertical="top" wrapText="1"/>
    </xf>
    <xf numFmtId="10" fontId="16" fillId="8" borderId="1" xfId="2" applyNumberFormat="1" applyFont="1" applyFill="1" applyBorder="1" applyAlignment="1">
      <alignment horizontal="center" vertical="top" wrapText="1"/>
    </xf>
    <xf numFmtId="164" fontId="16" fillId="10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>
      <alignment horizontal="right" vertical="top" wrapText="1"/>
    </xf>
    <xf numFmtId="0" fontId="16" fillId="16" borderId="1" xfId="0" applyFont="1" applyFill="1" applyBorder="1" applyAlignment="1">
      <alignment horizontal="right" vertical="top" wrapText="1"/>
    </xf>
    <xf numFmtId="0" fontId="23" fillId="16" borderId="1" xfId="0" applyFont="1" applyFill="1" applyBorder="1" applyAlignment="1">
      <alignment horizontal="right" vertical="top" wrapText="1"/>
    </xf>
    <xf numFmtId="164" fontId="23" fillId="16" borderId="1" xfId="1" applyFont="1" applyFill="1" applyBorder="1" applyAlignment="1">
      <alignment horizontal="right" vertical="top" wrapText="1"/>
    </xf>
    <xf numFmtId="164" fontId="27" fillId="16" borderId="1" xfId="1" applyFont="1" applyFill="1" applyBorder="1" applyAlignment="1">
      <alignment horizontal="right" vertical="top" wrapText="1"/>
    </xf>
    <xf numFmtId="4" fontId="27" fillId="16" borderId="1" xfId="0" applyNumberFormat="1" applyFont="1" applyFill="1" applyBorder="1" applyAlignment="1">
      <alignment horizontal="right"/>
    </xf>
    <xf numFmtId="0" fontId="28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29" fillId="0" borderId="0" xfId="0" applyFont="1"/>
    <xf numFmtId="43" fontId="0" fillId="0" borderId="0" xfId="0" applyNumberFormat="1"/>
    <xf numFmtId="0" fontId="30" fillId="0" borderId="0" xfId="0" applyFont="1"/>
    <xf numFmtId="0" fontId="25" fillId="2" borderId="0" xfId="0" applyFont="1" applyFill="1" applyAlignment="1">
      <alignment wrapText="1"/>
    </xf>
    <xf numFmtId="43" fontId="30" fillId="0" borderId="0" xfId="11" applyFont="1" applyBorder="1"/>
    <xf numFmtId="2" fontId="30" fillId="0" borderId="0" xfId="0" applyNumberFormat="1" applyFont="1"/>
    <xf numFmtId="9" fontId="16" fillId="15" borderId="1" xfId="2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top" wrapText="1"/>
    </xf>
    <xf numFmtId="9" fontId="27" fillId="16" borderId="1" xfId="2" applyFont="1" applyFill="1" applyBorder="1" applyAlignment="1">
      <alignment horizontal="center"/>
    </xf>
    <xf numFmtId="4" fontId="27" fillId="16" borderId="1" xfId="0" applyNumberFormat="1" applyFont="1" applyFill="1" applyBorder="1" applyAlignment="1">
      <alignment horizontal="center"/>
    </xf>
    <xf numFmtId="10" fontId="30" fillId="0" borderId="0" xfId="2" applyNumberFormat="1" applyFont="1" applyBorder="1"/>
    <xf numFmtId="10" fontId="31" fillId="0" borderId="0" xfId="2" applyNumberFormat="1" applyFont="1" applyBorder="1"/>
    <xf numFmtId="10" fontId="14" fillId="15" borderId="1" xfId="2" applyNumberFormat="1" applyFont="1" applyFill="1" applyBorder="1" applyAlignment="1">
      <alignment horizontal="center" vertical="top" wrapText="1"/>
    </xf>
    <xf numFmtId="166" fontId="14" fillId="15" borderId="1" xfId="2" applyNumberFormat="1" applyFont="1" applyFill="1" applyBorder="1" applyAlignment="1">
      <alignment horizontal="center" vertical="top" wrapText="1"/>
    </xf>
    <xf numFmtId="10" fontId="14" fillId="15" borderId="1" xfId="1" applyNumberFormat="1" applyFont="1" applyFill="1" applyBorder="1" applyAlignment="1">
      <alignment horizontal="center" vertical="top" wrapText="1"/>
    </xf>
    <xf numFmtId="10" fontId="27" fillId="16" borderId="1" xfId="2" applyNumberFormat="1" applyFont="1" applyFill="1" applyBorder="1" applyAlignment="1">
      <alignment horizontal="center" vertical="top" wrapText="1"/>
    </xf>
    <xf numFmtId="166" fontId="27" fillId="16" borderId="1" xfId="2" applyNumberFormat="1" applyFont="1" applyFill="1" applyBorder="1" applyAlignment="1">
      <alignment horizontal="center" vertical="top" wrapText="1"/>
    </xf>
    <xf numFmtId="166" fontId="16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0" fontId="39" fillId="8" borderId="1" xfId="0" applyFont="1" applyFill="1" applyBorder="1"/>
    <xf numFmtId="0" fontId="40" fillId="0" borderId="0" xfId="0" applyFont="1"/>
    <xf numFmtId="0" fontId="28" fillId="6" borderId="1" xfId="0" applyFont="1" applyFill="1" applyBorder="1" applyAlignment="1">
      <alignment horizontal="left" vertical="center"/>
    </xf>
    <xf numFmtId="4" fontId="20" fillId="0" borderId="0" xfId="0" applyNumberFormat="1" applyFont="1"/>
    <xf numFmtId="0" fontId="16" fillId="15" borderId="1" xfId="0" applyFont="1" applyFill="1" applyBorder="1" applyAlignment="1">
      <alignment horizontal="right"/>
    </xf>
    <xf numFmtId="0" fontId="13" fillId="15" borderId="1" xfId="0" applyFont="1" applyFill="1" applyBorder="1" applyAlignment="1">
      <alignment horizontal="right"/>
    </xf>
    <xf numFmtId="43" fontId="8" fillId="0" borderId="0" xfId="0" applyNumberFormat="1" applyFont="1"/>
    <xf numFmtId="164" fontId="16" fillId="2" borderId="1" xfId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 wrapText="1"/>
    </xf>
    <xf numFmtId="0" fontId="6" fillId="7" borderId="1" xfId="0" applyFont="1" applyFill="1" applyBorder="1"/>
    <xf numFmtId="0" fontId="6" fillId="0" borderId="1" xfId="0" applyFont="1" applyBorder="1"/>
    <xf numFmtId="4" fontId="5" fillId="2" borderId="0" xfId="0" applyNumberFormat="1" applyFont="1" applyFill="1" applyAlignment="1">
      <alignment horizontal="right"/>
    </xf>
    <xf numFmtId="0" fontId="42" fillId="0" borderId="0" xfId="0" applyFont="1"/>
    <xf numFmtId="167" fontId="41" fillId="0" borderId="0" xfId="1" applyNumberFormat="1" applyFont="1"/>
    <xf numFmtId="4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43" fillId="0" borderId="0" xfId="0" applyFont="1"/>
    <xf numFmtId="4" fontId="5" fillId="2" borderId="0" xfId="0" applyNumberFormat="1" applyFont="1" applyFill="1"/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164" fontId="5" fillId="2" borderId="0" xfId="1" applyFont="1" applyFill="1" applyBorder="1" applyAlignment="1">
      <alignment horizontal="right" vertical="top" wrapText="1"/>
    </xf>
    <xf numFmtId="4" fontId="16" fillId="0" borderId="1" xfId="0" applyNumberFormat="1" applyFont="1" applyBorder="1" applyAlignment="1">
      <alignment wrapText="1"/>
    </xf>
    <xf numFmtId="49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9" fillId="13" borderId="1" xfId="0" applyFont="1" applyFill="1" applyBorder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27" fillId="2" borderId="0" xfId="0" applyFont="1" applyFill="1" applyAlignment="1">
      <alignment horizontal="center" wrapText="1"/>
    </xf>
    <xf numFmtId="0" fontId="45" fillId="0" borderId="0" xfId="0" applyFont="1" applyBorder="1" applyAlignment="1">
      <alignment horizontal="right"/>
    </xf>
    <xf numFmtId="16" fontId="46" fillId="2" borderId="0" xfId="0" applyNumberFormat="1" applyFont="1" applyFill="1" applyBorder="1"/>
    <xf numFmtId="0" fontId="46" fillId="0" borderId="0" xfId="0" applyFont="1" applyBorder="1" applyAlignment="1">
      <alignment horizontal="right"/>
    </xf>
    <xf numFmtId="4" fontId="47" fillId="2" borderId="0" xfId="0" applyNumberFormat="1" applyFont="1" applyFill="1" applyBorder="1"/>
    <xf numFmtId="164" fontId="47" fillId="2" borderId="0" xfId="1" applyFont="1" applyFill="1" applyBorder="1" applyAlignment="1">
      <alignment horizontal="right" vertical="top" wrapText="1"/>
    </xf>
    <xf numFmtId="4" fontId="47" fillId="2" borderId="0" xfId="0" applyNumberFormat="1" applyFont="1" applyFill="1" applyBorder="1" applyAlignment="1">
      <alignment horizontal="right"/>
    </xf>
    <xf numFmtId="0" fontId="10" fillId="0" borderId="0" xfId="0" applyFont="1" applyBorder="1"/>
    <xf numFmtId="164" fontId="10" fillId="0" borderId="0" xfId="1" applyFont="1" applyBorder="1"/>
    <xf numFmtId="0" fontId="48" fillId="0" borderId="0" xfId="0" applyFont="1" applyBorder="1" applyAlignment="1">
      <alignment horizontal="right"/>
    </xf>
    <xf numFmtId="16" fontId="48" fillId="2" borderId="0" xfId="0" applyNumberFormat="1" applyFont="1" applyFill="1" applyBorder="1" applyAlignment="1">
      <alignment horizontal="center" wrapText="1"/>
    </xf>
    <xf numFmtId="0" fontId="49" fillId="0" borderId="0" xfId="0" applyFont="1" applyBorder="1"/>
    <xf numFmtId="0" fontId="48" fillId="0" borderId="0" xfId="0" applyFont="1" applyBorder="1" applyAlignment="1">
      <alignment horizontal="right" wrapText="1"/>
    </xf>
    <xf numFmtId="4" fontId="50" fillId="2" borderId="0" xfId="0" applyNumberFormat="1" applyFont="1" applyFill="1" applyBorder="1"/>
    <xf numFmtId="4" fontId="50" fillId="2" borderId="0" xfId="0" applyNumberFormat="1" applyFont="1" applyFill="1" applyBorder="1" applyAlignment="1">
      <alignment horizontal="right"/>
    </xf>
    <xf numFmtId="164" fontId="50" fillId="2" borderId="0" xfId="1" applyFont="1" applyFill="1" applyBorder="1" applyAlignment="1">
      <alignment horizontal="right" vertical="top" wrapText="1"/>
    </xf>
    <xf numFmtId="0" fontId="51" fillId="0" borderId="0" xfId="0" applyFont="1" applyBorder="1" applyAlignment="1">
      <alignment horizontal="right" wrapText="1"/>
    </xf>
    <xf numFmtId="164" fontId="41" fillId="0" borderId="0" xfId="1" applyFont="1" applyBorder="1"/>
    <xf numFmtId="4" fontId="41" fillId="2" borderId="0" xfId="0" applyNumberFormat="1" applyFont="1" applyFill="1" applyBorder="1"/>
    <xf numFmtId="0" fontId="51" fillId="0" borderId="0" xfId="0" applyFont="1" applyBorder="1" applyAlignment="1">
      <alignment horizontal="right"/>
    </xf>
    <xf numFmtId="4" fontId="41" fillId="2" borderId="0" xfId="0" applyNumberFormat="1" applyFont="1" applyFill="1" applyBorder="1" applyAlignment="1">
      <alignment horizontal="right"/>
    </xf>
    <xf numFmtId="164" fontId="41" fillId="2" borderId="0" xfId="1" applyFont="1" applyFill="1" applyBorder="1" applyAlignment="1">
      <alignment horizontal="right" vertical="top" wrapText="1"/>
    </xf>
    <xf numFmtId="0" fontId="46" fillId="0" borderId="0" xfId="0" applyFont="1" applyAlignment="1">
      <alignment horizontal="right"/>
    </xf>
    <xf numFmtId="4" fontId="47" fillId="2" borderId="0" xfId="0" applyNumberFormat="1" applyFont="1" applyFill="1"/>
    <xf numFmtId="0" fontId="44" fillId="0" borderId="0" xfId="0" applyFont="1"/>
    <xf numFmtId="16" fontId="52" fillId="2" borderId="0" xfId="0" applyNumberFormat="1" applyFont="1" applyFill="1"/>
    <xf numFmtId="164" fontId="53" fillId="0" borderId="0" xfId="1" applyFont="1"/>
    <xf numFmtId="43" fontId="53" fillId="0" borderId="0" xfId="0" applyNumberFormat="1" applyFont="1"/>
    <xf numFmtId="4" fontId="53" fillId="0" borderId="0" xfId="0" applyNumberFormat="1" applyFont="1"/>
  </cellXfs>
  <cellStyles count="36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15 2" xfId="34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3" xfId="33"/>
    <cellStyle name="Normal 6 2" xfId="31"/>
    <cellStyle name="Percent" xfId="2" builtinId="5"/>
    <cellStyle name="Percent 13" xfId="29"/>
    <cellStyle name="Percent 13 2" xfId="35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June 27,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47.767435566352702</c:v>
                </c:pt>
                <c:pt idx="1">
                  <c:v>3143.9721279913156</c:v>
                </c:pt>
                <c:pt idx="2">
                  <c:v>209.22973471064913</c:v>
                </c:pt>
                <c:pt idx="3">
                  <c:v>1919.9030689790252</c:v>
                </c:pt>
                <c:pt idx="4">
                  <c:v>358.38497647111234</c:v>
                </c:pt>
                <c:pt idx="5" formatCode="_-* #,##0.00_-;\-* #,##0.00_-;_-* &quot;-&quot;??_-;_-@_-">
                  <c:v>65.74149181611628</c:v>
                </c:pt>
                <c:pt idx="6">
                  <c:v>6.7713561673599996</c:v>
                </c:pt>
                <c:pt idx="7">
                  <c:v>60.500393707422546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July 4,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48.773441499237897</c:v>
                </c:pt>
                <c:pt idx="1">
                  <c:v>3240.091962076584</c:v>
                </c:pt>
                <c:pt idx="2">
                  <c:v>209.30261295389982</c:v>
                </c:pt>
                <c:pt idx="3">
                  <c:v>1920.4307165455255</c:v>
                </c:pt>
                <c:pt idx="4">
                  <c:v>359.56648171030395</c:v>
                </c:pt>
                <c:pt idx="5" formatCode="_-* #,##0.00_-;\-* #,##0.00_-;_-* &quot;-&quot;??_-;_-@_-">
                  <c:v>66.337534088000552</c:v>
                </c:pt>
                <c:pt idx="6">
                  <c:v>6.8072478203100006</c:v>
                </c:pt>
                <c:pt idx="7">
                  <c:v>60.835003138819403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4TH JULY,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4175604054306885"/>
          <c:y val="1.653327529846503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4-Jul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25613431746621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6807247820.3100004</c:v>
                </c:pt>
                <c:pt idx="1">
                  <c:v>48773441499.2379</c:v>
                </c:pt>
                <c:pt idx="2" formatCode="_-* #,##0.00_-;\-* #,##0.00_-;_-* &quot;-&quot;??_-;_-@_-">
                  <c:v>60835003138.819405</c:v>
                </c:pt>
                <c:pt idx="3">
                  <c:v>66337534088.000557</c:v>
                </c:pt>
                <c:pt idx="4">
                  <c:v>359566481710.30396</c:v>
                </c:pt>
                <c:pt idx="5">
                  <c:v>209302612953.89981</c:v>
                </c:pt>
                <c:pt idx="6">
                  <c:v>1920430716545.5254</c:v>
                </c:pt>
                <c:pt idx="7">
                  <c:v>3240091962076.584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45793</c:v>
                </c:pt>
                <c:pt idx="1">
                  <c:v>45800</c:v>
                </c:pt>
                <c:pt idx="2">
                  <c:v>45807</c:v>
                </c:pt>
                <c:pt idx="3">
                  <c:v>45813</c:v>
                </c:pt>
                <c:pt idx="4">
                  <c:v>45821</c:v>
                </c:pt>
                <c:pt idx="5">
                  <c:v>45828</c:v>
                </c:pt>
                <c:pt idx="6">
                  <c:v>45835</c:v>
                </c:pt>
                <c:pt idx="7">
                  <c:v>45842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5600.7611033252406</c:v>
                </c:pt>
                <c:pt idx="1">
                  <c:v>5614.7878514083422</c:v>
                </c:pt>
                <c:pt idx="2">
                  <c:v>5661.0011217265082</c:v>
                </c:pt>
                <c:pt idx="3">
                  <c:v>5706.8748281549615</c:v>
                </c:pt>
                <c:pt idx="4">
                  <c:v>5739.2216808320509</c:v>
                </c:pt>
                <c:pt idx="5">
                  <c:v>5778.470729655005</c:v>
                </c:pt>
                <c:pt idx="6">
                  <c:v>5812.2705854093538</c:v>
                </c:pt>
                <c:pt idx="7">
                  <c:v>5912.1449998326807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45793</c:v>
                </c:pt>
                <c:pt idx="1">
                  <c:v>45800</c:v>
                </c:pt>
                <c:pt idx="2">
                  <c:v>45807</c:v>
                </c:pt>
                <c:pt idx="3">
                  <c:v>45813</c:v>
                </c:pt>
                <c:pt idx="4">
                  <c:v>45821</c:v>
                </c:pt>
                <c:pt idx="5">
                  <c:v>45828</c:v>
                </c:pt>
                <c:pt idx="6">
                  <c:v>45835</c:v>
                </c:pt>
                <c:pt idx="7">
                  <c:v>45842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13.906596090597997</c:v>
                </c:pt>
                <c:pt idx="1">
                  <c:v>13.574054999743</c:v>
                </c:pt>
                <c:pt idx="2">
                  <c:v>13.663574619923001</c:v>
                </c:pt>
                <c:pt idx="3">
                  <c:v>13.910462089520001</c:v>
                </c:pt>
                <c:pt idx="4">
                  <c:v>14.097996343838002</c:v>
                </c:pt>
                <c:pt idx="5">
                  <c:v>14.438197157056999</c:v>
                </c:pt>
                <c:pt idx="6">
                  <c:v>14.649626500489999</c:v>
                </c:pt>
                <c:pt idx="7">
                  <c:v>14.538175757549999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22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191846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58"/>
  <sheetViews>
    <sheetView tabSelected="1" zoomScale="120" zoomScaleNormal="120" zoomScaleSheetLayoutView="10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51" t="s">
        <v>320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</row>
    <row r="2" spans="1:25" ht="15" customHeight="1">
      <c r="A2" s="132"/>
      <c r="B2" s="21"/>
      <c r="C2" s="123"/>
      <c r="D2" s="152" t="s">
        <v>318</v>
      </c>
      <c r="E2" s="152"/>
      <c r="F2" s="152"/>
      <c r="G2" s="152"/>
      <c r="H2" s="152"/>
      <c r="I2" s="152"/>
      <c r="J2" s="152"/>
      <c r="K2" s="152" t="s">
        <v>321</v>
      </c>
      <c r="L2" s="152"/>
      <c r="M2" s="152"/>
      <c r="N2" s="152"/>
      <c r="O2" s="152"/>
      <c r="P2" s="152"/>
      <c r="Q2" s="152"/>
      <c r="R2" s="152" t="s">
        <v>0</v>
      </c>
      <c r="S2" s="152"/>
      <c r="T2" s="152"/>
      <c r="U2" s="152" t="s">
        <v>1</v>
      </c>
      <c r="V2" s="152"/>
    </row>
    <row r="3" spans="1:25" ht="20.399999999999999">
      <c r="A3" s="22" t="s">
        <v>2</v>
      </c>
      <c r="B3" s="23" t="s">
        <v>3</v>
      </c>
      <c r="C3" s="24" t="s">
        <v>4</v>
      </c>
      <c r="D3" s="25" t="s">
        <v>5</v>
      </c>
      <c r="E3" s="26" t="s">
        <v>6</v>
      </c>
      <c r="F3" s="26" t="s">
        <v>284</v>
      </c>
      <c r="G3" s="26" t="s">
        <v>8</v>
      </c>
      <c r="H3" s="26" t="s">
        <v>9</v>
      </c>
      <c r="I3" s="26" t="s">
        <v>10</v>
      </c>
      <c r="J3" s="26" t="s">
        <v>11</v>
      </c>
      <c r="K3" s="47" t="s">
        <v>5</v>
      </c>
      <c r="L3" s="26" t="s">
        <v>6</v>
      </c>
      <c r="M3" s="26" t="s">
        <v>7</v>
      </c>
      <c r="N3" s="26" t="s">
        <v>8</v>
      </c>
      <c r="O3" s="26" t="s">
        <v>9</v>
      </c>
      <c r="P3" s="26" t="s">
        <v>10</v>
      </c>
      <c r="Q3" s="26" t="s">
        <v>11</v>
      </c>
      <c r="R3" s="25" t="s">
        <v>12</v>
      </c>
      <c r="S3" s="26" t="s">
        <v>13</v>
      </c>
      <c r="T3" s="26" t="s">
        <v>14</v>
      </c>
      <c r="U3" s="26" t="s">
        <v>15</v>
      </c>
      <c r="V3" s="26" t="s">
        <v>16</v>
      </c>
    </row>
    <row r="4" spans="1:25" ht="5.25" customHeight="1">
      <c r="A4" s="13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</row>
    <row r="5" spans="1:25" ht="15" customHeight="1">
      <c r="A5" s="154" t="s">
        <v>17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</row>
    <row r="6" spans="1:25">
      <c r="A6" s="141">
        <v>1</v>
      </c>
      <c r="B6" s="137" t="s">
        <v>18</v>
      </c>
      <c r="C6" s="138" t="s">
        <v>19</v>
      </c>
      <c r="D6" s="27">
        <v>2003603543.48</v>
      </c>
      <c r="E6" s="28">
        <f t="shared" ref="E6:E22" si="0">(D6/$D$25)</f>
        <v>4.1944967732187304E-2</v>
      </c>
      <c r="F6" s="29">
        <v>489.1037</v>
      </c>
      <c r="G6" s="29">
        <v>493.67219999999998</v>
      </c>
      <c r="H6" s="30">
        <v>1689</v>
      </c>
      <c r="I6" s="48">
        <v>1.9599999999999999E-2</v>
      </c>
      <c r="J6" s="48">
        <v>0.23039999999999999</v>
      </c>
      <c r="K6" s="27">
        <v>2113035972.9000001</v>
      </c>
      <c r="L6" s="28">
        <f t="shared" ref="L6:L22" si="1">(K6/$K$25)</f>
        <v>4.3323495491557978E-2</v>
      </c>
      <c r="M6" s="29">
        <v>491.7192</v>
      </c>
      <c r="N6" s="29">
        <v>496.2715</v>
      </c>
      <c r="O6" s="30">
        <v>1689</v>
      </c>
      <c r="P6" s="48">
        <v>5.3E-3</v>
      </c>
      <c r="Q6" s="48">
        <v>0.23699999999999999</v>
      </c>
      <c r="R6" s="54">
        <f>((K6-D6)/D6)</f>
        <v>5.4617805890845104E-2</v>
      </c>
      <c r="S6" s="54">
        <f>((N6-G6)/G6)</f>
        <v>5.2652347043241005E-3</v>
      </c>
      <c r="T6" s="54">
        <f>((O6-H6)/H6)</f>
        <v>0</v>
      </c>
      <c r="U6" s="55">
        <f>P6-I6</f>
        <v>-1.43E-2</v>
      </c>
      <c r="V6" s="56">
        <f>Q6-J6</f>
        <v>6.5999999999999948E-3</v>
      </c>
    </row>
    <row r="7" spans="1:25">
      <c r="A7" s="141">
        <v>2</v>
      </c>
      <c r="B7" s="137" t="s">
        <v>20</v>
      </c>
      <c r="C7" s="138" t="s">
        <v>21</v>
      </c>
      <c r="D7" s="31">
        <v>815800561.40999997</v>
      </c>
      <c r="E7" s="28">
        <f t="shared" si="0"/>
        <v>1.7078592386999492E-2</v>
      </c>
      <c r="F7" s="31">
        <v>328.67290000000003</v>
      </c>
      <c r="G7" s="31">
        <v>332.63029999999998</v>
      </c>
      <c r="H7" s="30">
        <v>506</v>
      </c>
      <c r="I7" s="48">
        <v>-4.7019999999999996E-3</v>
      </c>
      <c r="J7" s="48">
        <v>0.22600000000000001</v>
      </c>
      <c r="K7" s="31">
        <v>817582684.24000001</v>
      </c>
      <c r="L7" s="28">
        <f t="shared" si="1"/>
        <v>1.6762866410662759E-2</v>
      </c>
      <c r="M7" s="31">
        <v>332.40629999999999</v>
      </c>
      <c r="N7" s="31">
        <v>336.45209999999997</v>
      </c>
      <c r="O7" s="30">
        <v>513</v>
      </c>
      <c r="P7" s="48">
        <v>-1.052E-3</v>
      </c>
      <c r="Q7" s="48">
        <v>0.2908</v>
      </c>
      <c r="R7" s="54">
        <f t="shared" ref="R7:R25" si="2">((K7-D7)/D7)</f>
        <v>2.1845079720463623E-3</v>
      </c>
      <c r="S7" s="54">
        <f t="shared" ref="S7:S25" si="3">((N7-G7)/G7)</f>
        <v>1.148963278450579E-2</v>
      </c>
      <c r="T7" s="54">
        <f t="shared" ref="T7:T25" si="4">((O7-H7)/H7)</f>
        <v>1.383399209486166E-2</v>
      </c>
      <c r="U7" s="55">
        <f t="shared" ref="U7:U25" si="5">P7-I7</f>
        <v>3.6499999999999996E-3</v>
      </c>
      <c r="V7" s="56">
        <f t="shared" ref="V7:V25" si="6">Q7-J7</f>
        <v>6.4799999999999996E-2</v>
      </c>
    </row>
    <row r="8" spans="1:25">
      <c r="A8" s="141">
        <v>3</v>
      </c>
      <c r="B8" s="137" t="s">
        <v>22</v>
      </c>
      <c r="C8" s="138" t="s">
        <v>23</v>
      </c>
      <c r="D8" s="31">
        <v>4696733813.1899996</v>
      </c>
      <c r="E8" s="28">
        <f t="shared" si="0"/>
        <v>9.8325014887304746E-2</v>
      </c>
      <c r="F8" s="31">
        <v>41.205199999999998</v>
      </c>
      <c r="G8" s="31">
        <v>42.447600000000001</v>
      </c>
      <c r="H8" s="32">
        <v>6763</v>
      </c>
      <c r="I8" s="49">
        <v>0.13031999999999999</v>
      </c>
      <c r="J8" s="49">
        <v>0.33260000000000001</v>
      </c>
      <c r="K8" s="31">
        <v>4792028096.3900003</v>
      </c>
      <c r="L8" s="28">
        <f t="shared" si="1"/>
        <v>9.8250768227312338E-2</v>
      </c>
      <c r="M8" s="31">
        <v>41.5379</v>
      </c>
      <c r="N8" s="31">
        <v>42.790300000000002</v>
      </c>
      <c r="O8" s="32">
        <v>6786</v>
      </c>
      <c r="P8" s="49">
        <v>0.42099999999999999</v>
      </c>
      <c r="Q8" s="49">
        <v>0.33850000000000002</v>
      </c>
      <c r="R8" s="54">
        <f t="shared" si="2"/>
        <v>2.0289479240314309E-2</v>
      </c>
      <c r="S8" s="54">
        <f t="shared" si="3"/>
        <v>8.0734835420612858E-3</v>
      </c>
      <c r="T8" s="54">
        <f t="shared" si="4"/>
        <v>3.4008576075706047E-3</v>
      </c>
      <c r="U8" s="55">
        <f t="shared" si="5"/>
        <v>0.29067999999999999</v>
      </c>
      <c r="V8" s="56">
        <f t="shared" si="6"/>
        <v>5.9000000000000163E-3</v>
      </c>
      <c r="X8" s="57"/>
      <c r="Y8" s="57"/>
    </row>
    <row r="9" spans="1:25">
      <c r="A9" s="141">
        <v>4</v>
      </c>
      <c r="B9" s="137" t="s">
        <v>24</v>
      </c>
      <c r="C9" s="138" t="s">
        <v>25</v>
      </c>
      <c r="D9" s="31">
        <v>743784156.15999997</v>
      </c>
      <c r="E9" s="28">
        <f t="shared" si="0"/>
        <v>1.5570945924589685E-2</v>
      </c>
      <c r="F9" s="31">
        <v>250.9693</v>
      </c>
      <c r="G9" s="31">
        <v>250.9693</v>
      </c>
      <c r="H9" s="30">
        <v>1971</v>
      </c>
      <c r="I9" s="48">
        <v>1.7299999999999999E-2</v>
      </c>
      <c r="J9" s="48">
        <v>0.14610000000000001</v>
      </c>
      <c r="K9" s="31">
        <v>750386596.87</v>
      </c>
      <c r="L9" s="28">
        <f t="shared" si="1"/>
        <v>1.5385147609108639E-2</v>
      </c>
      <c r="M9" s="31">
        <v>252.5497</v>
      </c>
      <c r="N9" s="31">
        <v>252.5497</v>
      </c>
      <c r="O9" s="30">
        <v>1974</v>
      </c>
      <c r="P9" s="48">
        <v>6.3E-3</v>
      </c>
      <c r="Q9" s="48">
        <v>0.15329999999999999</v>
      </c>
      <c r="R9" s="54">
        <f t="shared" si="2"/>
        <v>8.8768235452702307E-3</v>
      </c>
      <c r="S9" s="54">
        <f t="shared" si="3"/>
        <v>6.2971845560393135E-3</v>
      </c>
      <c r="T9" s="54">
        <f t="shared" si="4"/>
        <v>1.5220700152207001E-3</v>
      </c>
      <c r="U9" s="55">
        <f t="shared" si="5"/>
        <v>-1.0999999999999999E-2</v>
      </c>
      <c r="V9" s="56">
        <f t="shared" si="6"/>
        <v>7.1999999999999842E-3</v>
      </c>
    </row>
    <row r="10" spans="1:25">
      <c r="A10" s="141">
        <v>5</v>
      </c>
      <c r="B10" s="137" t="s">
        <v>26</v>
      </c>
      <c r="C10" s="138" t="s">
        <v>27</v>
      </c>
      <c r="D10" s="31">
        <v>1215147302.3099999</v>
      </c>
      <c r="E10" s="28">
        <f t="shared" si="0"/>
        <v>2.5438822241609881E-2</v>
      </c>
      <c r="F10" s="31">
        <v>1.4861</v>
      </c>
      <c r="G10" s="31">
        <v>1.5019</v>
      </c>
      <c r="H10" s="30">
        <v>531</v>
      </c>
      <c r="I10" s="48">
        <v>2.0500000000000001E-2</v>
      </c>
      <c r="J10" s="48">
        <v>0.19850000000000001</v>
      </c>
      <c r="K10" s="31">
        <v>1241325566.6400001</v>
      </c>
      <c r="L10" s="28">
        <f t="shared" si="1"/>
        <v>2.5450850472780277E-2</v>
      </c>
      <c r="M10" s="31">
        <v>1.4905999999999999</v>
      </c>
      <c r="N10" s="31">
        <v>1.5063</v>
      </c>
      <c r="O10" s="30">
        <v>540</v>
      </c>
      <c r="P10" s="48">
        <v>7.6E-3</v>
      </c>
      <c r="Q10" s="48">
        <v>0.20200000000000001</v>
      </c>
      <c r="R10" s="54">
        <f t="shared" si="2"/>
        <v>2.1543284736126374E-2</v>
      </c>
      <c r="S10" s="54">
        <f t="shared" si="3"/>
        <v>2.9296224781942604E-3</v>
      </c>
      <c r="T10" s="54">
        <f t="shared" si="4"/>
        <v>1.6949152542372881E-2</v>
      </c>
      <c r="U10" s="55">
        <f t="shared" si="5"/>
        <v>-1.2900000000000002E-2</v>
      </c>
      <c r="V10" s="56">
        <f t="shared" si="6"/>
        <v>3.5000000000000031E-3</v>
      </c>
    </row>
    <row r="11" spans="1:25">
      <c r="A11" s="141">
        <v>6</v>
      </c>
      <c r="B11" s="137" t="s">
        <v>28</v>
      </c>
      <c r="C11" s="138" t="s">
        <v>29</v>
      </c>
      <c r="D11" s="33">
        <v>124292828.58</v>
      </c>
      <c r="E11" s="28">
        <f t="shared" si="0"/>
        <v>2.6020410580205326E-3</v>
      </c>
      <c r="F11" s="31">
        <v>183.24369999999999</v>
      </c>
      <c r="G11" s="31">
        <v>184.27070000000001</v>
      </c>
      <c r="H11" s="32">
        <v>75</v>
      </c>
      <c r="I11" s="49">
        <v>4.9049999999999996E-3</v>
      </c>
      <c r="J11" s="49">
        <v>0.1298</v>
      </c>
      <c r="K11" s="33">
        <v>124292828.58</v>
      </c>
      <c r="L11" s="28">
        <f t="shared" si="1"/>
        <v>2.5483710962233845E-3</v>
      </c>
      <c r="M11" s="31">
        <v>183.24369999999999</v>
      </c>
      <c r="N11" s="31">
        <v>184.27070000000001</v>
      </c>
      <c r="O11" s="32">
        <v>75</v>
      </c>
      <c r="P11" s="49">
        <v>4.9049999999999996E-3</v>
      </c>
      <c r="Q11" s="49">
        <v>0.1298</v>
      </c>
      <c r="R11" s="54">
        <f t="shared" si="2"/>
        <v>0</v>
      </c>
      <c r="S11" s="54">
        <f t="shared" si="3"/>
        <v>0</v>
      </c>
      <c r="T11" s="54">
        <f t="shared" si="4"/>
        <v>0</v>
      </c>
      <c r="U11" s="55">
        <f t="shared" si="5"/>
        <v>0</v>
      </c>
      <c r="V11" s="56">
        <f t="shared" si="6"/>
        <v>0</v>
      </c>
    </row>
    <row r="12" spans="1:25">
      <c r="A12" s="141">
        <v>7</v>
      </c>
      <c r="B12" s="137" t="s">
        <v>30</v>
      </c>
      <c r="C12" s="138" t="s">
        <v>31</v>
      </c>
      <c r="D12" s="31">
        <v>1831564109.3099999</v>
      </c>
      <c r="E12" s="28">
        <f t="shared" si="0"/>
        <v>3.834336274480999E-2</v>
      </c>
      <c r="F12" s="31">
        <v>420.56</v>
      </c>
      <c r="G12" s="31">
        <v>425.89</v>
      </c>
      <c r="H12" s="32">
        <v>1684</v>
      </c>
      <c r="I12" s="49">
        <v>2.6700000000000002E-2</v>
      </c>
      <c r="J12" s="49">
        <v>0.29880000000000001</v>
      </c>
      <c r="K12" s="31">
        <v>1871656681.0999999</v>
      </c>
      <c r="L12" s="28">
        <f t="shared" si="1"/>
        <v>3.8374505131634908E-2</v>
      </c>
      <c r="M12" s="31">
        <v>423.82</v>
      </c>
      <c r="N12" s="31">
        <v>429.13</v>
      </c>
      <c r="O12" s="32">
        <v>1691</v>
      </c>
      <c r="P12" s="49">
        <v>7.7000000000000002E-3</v>
      </c>
      <c r="Q12" s="49">
        <v>0.30880000000000002</v>
      </c>
      <c r="R12" s="54">
        <f t="shared" si="2"/>
        <v>2.1889799863518796E-2</v>
      </c>
      <c r="S12" s="54">
        <f t="shared" si="3"/>
        <v>7.6075982061095801E-3</v>
      </c>
      <c r="T12" s="54">
        <f t="shared" si="4"/>
        <v>4.1567695961995249E-3</v>
      </c>
      <c r="U12" s="55">
        <f t="shared" si="5"/>
        <v>-1.9000000000000003E-2</v>
      </c>
      <c r="V12" s="56">
        <f t="shared" si="6"/>
        <v>1.0000000000000009E-2</v>
      </c>
    </row>
    <row r="13" spans="1:25">
      <c r="A13" s="141">
        <v>8</v>
      </c>
      <c r="B13" s="137" t="s">
        <v>32</v>
      </c>
      <c r="C13" s="138" t="s">
        <v>33</v>
      </c>
      <c r="D13" s="27">
        <v>468469965.75999999</v>
      </c>
      <c r="E13" s="28">
        <f t="shared" si="0"/>
        <v>9.8073082677687107E-3</v>
      </c>
      <c r="F13" s="31">
        <v>233.46</v>
      </c>
      <c r="G13" s="31">
        <v>242.96</v>
      </c>
      <c r="H13" s="30">
        <v>2469</v>
      </c>
      <c r="I13" s="48">
        <v>3.7499999999999999E-2</v>
      </c>
      <c r="J13" s="48">
        <v>0.1024</v>
      </c>
      <c r="K13" s="27">
        <v>454853109.94</v>
      </c>
      <c r="L13" s="28">
        <f t="shared" si="1"/>
        <v>9.3258358639118633E-3</v>
      </c>
      <c r="M13" s="31">
        <v>226.68</v>
      </c>
      <c r="N13" s="31">
        <v>237.37</v>
      </c>
      <c r="O13" s="30">
        <v>2469</v>
      </c>
      <c r="P13" s="48">
        <v>-2.9000000000000001E-2</v>
      </c>
      <c r="Q13" s="48">
        <v>7.0400000000000004E-2</v>
      </c>
      <c r="R13" s="54">
        <f t="shared" si="2"/>
        <v>-2.9066657022311631E-2</v>
      </c>
      <c r="S13" s="54">
        <f t="shared" si="3"/>
        <v>-2.3007902535396786E-2</v>
      </c>
      <c r="T13" s="54">
        <f t="shared" si="4"/>
        <v>0</v>
      </c>
      <c r="U13" s="55">
        <f t="shared" si="5"/>
        <v>-6.6500000000000004E-2</v>
      </c>
      <c r="V13" s="56">
        <f t="shared" si="6"/>
        <v>-3.2000000000000001E-2</v>
      </c>
    </row>
    <row r="14" spans="1:25">
      <c r="A14" s="141">
        <v>9</v>
      </c>
      <c r="B14" s="137" t="s">
        <v>34</v>
      </c>
      <c r="C14" s="138" t="s">
        <v>35</v>
      </c>
      <c r="D14" s="33">
        <v>76628521.952700004</v>
      </c>
      <c r="E14" s="28">
        <f t="shared" si="0"/>
        <v>1.6042000380417534E-3</v>
      </c>
      <c r="F14" s="31">
        <v>270.78100000000001</v>
      </c>
      <c r="G14" s="31">
        <v>279.34620000000001</v>
      </c>
      <c r="H14" s="30">
        <v>18</v>
      </c>
      <c r="I14" s="48">
        <v>4.4299999999999999E-2</v>
      </c>
      <c r="J14" s="48">
        <v>0.22559999999999999</v>
      </c>
      <c r="K14" s="33">
        <v>78790754.377900004</v>
      </c>
      <c r="L14" s="28">
        <f t="shared" si="1"/>
        <v>1.6154438144195982E-3</v>
      </c>
      <c r="M14" s="31">
        <v>278.39</v>
      </c>
      <c r="N14" s="31">
        <v>287.26</v>
      </c>
      <c r="O14" s="30">
        <v>18</v>
      </c>
      <c r="P14" s="48">
        <v>2.8199999999999999E-2</v>
      </c>
      <c r="Q14" s="48">
        <v>0.26019999999999999</v>
      </c>
      <c r="R14" s="54">
        <f t="shared" si="2"/>
        <v>2.8217070747295216E-2</v>
      </c>
      <c r="S14" s="54">
        <f t="shared" si="3"/>
        <v>2.832972132787194E-2</v>
      </c>
      <c r="T14" s="54">
        <f t="shared" si="4"/>
        <v>0</v>
      </c>
      <c r="U14" s="55">
        <f t="shared" si="5"/>
        <v>-1.61E-2</v>
      </c>
      <c r="V14" s="56">
        <f t="shared" si="6"/>
        <v>3.4599999999999992E-2</v>
      </c>
    </row>
    <row r="15" spans="1:25" ht="14.25" customHeight="1">
      <c r="A15" s="141">
        <v>10</v>
      </c>
      <c r="B15" s="137" t="s">
        <v>36</v>
      </c>
      <c r="C15" s="138" t="s">
        <v>37</v>
      </c>
      <c r="D15" s="27">
        <v>1200110773.0899999</v>
      </c>
      <c r="E15" s="28">
        <f t="shared" si="0"/>
        <v>2.5124036048009158E-2</v>
      </c>
      <c r="F15" s="31">
        <v>3.2720280000000002</v>
      </c>
      <c r="G15" s="31">
        <v>3.2968470000000001</v>
      </c>
      <c r="H15" s="30">
        <v>667</v>
      </c>
      <c r="I15" s="48">
        <v>8.2466215400332166E-2</v>
      </c>
      <c r="J15" s="48">
        <v>0.56207549935144852</v>
      </c>
      <c r="K15" s="27">
        <v>1245293504.3900001</v>
      </c>
      <c r="L15" s="28">
        <f t="shared" si="1"/>
        <v>2.5532204948249513E-2</v>
      </c>
      <c r="M15" s="31">
        <v>3.2457099999999999</v>
      </c>
      <c r="N15" s="31">
        <v>3.2710490000000001</v>
      </c>
      <c r="O15" s="30">
        <v>693</v>
      </c>
      <c r="P15" s="48">
        <v>-8.0433297025576111E-3</v>
      </c>
      <c r="Q15" s="48">
        <v>0.54951121108987744</v>
      </c>
      <c r="R15" s="54">
        <f t="shared" si="2"/>
        <v>3.7648800688344294E-2</v>
      </c>
      <c r="S15" s="54">
        <f t="shared" si="3"/>
        <v>-7.8250522393062179E-3</v>
      </c>
      <c r="T15" s="54">
        <f t="shared" si="4"/>
        <v>3.8980509745127435E-2</v>
      </c>
      <c r="U15" s="55">
        <f t="shared" si="5"/>
        <v>-9.0509545102889777E-2</v>
      </c>
      <c r="V15" s="56">
        <f t="shared" si="6"/>
        <v>-1.2564288261571077E-2</v>
      </c>
    </row>
    <row r="16" spans="1:25" ht="14.25" customHeight="1">
      <c r="A16" s="141">
        <v>11</v>
      </c>
      <c r="B16" s="137" t="s">
        <v>38</v>
      </c>
      <c r="C16" s="138" t="s">
        <v>39</v>
      </c>
      <c r="D16" s="27">
        <v>45410476.149999999</v>
      </c>
      <c r="E16" s="28">
        <f t="shared" si="0"/>
        <v>9.5065761039068758E-4</v>
      </c>
      <c r="F16" s="31">
        <v>19.02</v>
      </c>
      <c r="G16" s="31">
        <v>19.61</v>
      </c>
      <c r="H16" s="30">
        <v>31</v>
      </c>
      <c r="I16" s="48">
        <v>7.6700000000000004E-2</v>
      </c>
      <c r="J16" s="48">
        <v>0.9</v>
      </c>
      <c r="K16" s="27">
        <v>45585498.789999999</v>
      </c>
      <c r="L16" s="28">
        <f t="shared" si="1"/>
        <v>9.3463773292914521E-4</v>
      </c>
      <c r="M16" s="31">
        <v>19.09</v>
      </c>
      <c r="N16" s="31">
        <v>19.7</v>
      </c>
      <c r="O16" s="30">
        <v>31</v>
      </c>
      <c r="P16" s="48">
        <v>3.7000000000000002E-3</v>
      </c>
      <c r="Q16" s="48">
        <v>0.9</v>
      </c>
      <c r="R16" s="54">
        <f t="shared" ref="R16" si="7">((K16-D16)/D16)</f>
        <v>3.8542348558924019E-3</v>
      </c>
      <c r="S16" s="54">
        <f t="shared" ref="S16" si="8">((N16-G16)/G16)</f>
        <v>4.5894951555328842E-3</v>
      </c>
      <c r="T16" s="54">
        <f t="shared" ref="T16" si="9">((O16-H16)/H16)</f>
        <v>0</v>
      </c>
      <c r="U16" s="55">
        <f t="shared" ref="U16" si="10">P16-I16</f>
        <v>-7.3000000000000009E-2</v>
      </c>
      <c r="V16" s="56">
        <f t="shared" ref="V16" si="11">Q16-J16</f>
        <v>0</v>
      </c>
    </row>
    <row r="17" spans="1:22">
      <c r="A17" s="141">
        <v>12</v>
      </c>
      <c r="B17" s="137" t="s">
        <v>40</v>
      </c>
      <c r="C17" s="138" t="s">
        <v>41</v>
      </c>
      <c r="D17" s="126">
        <v>2170021923.1799998</v>
      </c>
      <c r="E17" s="28">
        <f t="shared" si="0"/>
        <v>4.5428897269682182E-2</v>
      </c>
      <c r="F17" s="31">
        <v>4.43</v>
      </c>
      <c r="G17" s="31">
        <v>4.53</v>
      </c>
      <c r="H17" s="30">
        <v>3640</v>
      </c>
      <c r="I17" s="48">
        <v>1.9199999999999998E-2</v>
      </c>
      <c r="J17" s="48">
        <v>0.21790000000000001</v>
      </c>
      <c r="K17" s="126">
        <v>2192899182.3800001</v>
      </c>
      <c r="L17" s="28">
        <f t="shared" si="1"/>
        <v>4.496092781179415E-2</v>
      </c>
      <c r="M17" s="31">
        <v>4.4800000000000004</v>
      </c>
      <c r="N17" s="31">
        <v>4.57</v>
      </c>
      <c r="O17" s="30">
        <v>3641</v>
      </c>
      <c r="P17" s="48">
        <v>-1E-4</v>
      </c>
      <c r="Q17" s="48">
        <v>0.23080000000000001</v>
      </c>
      <c r="R17" s="54">
        <f t="shared" si="2"/>
        <v>1.0542409252011347E-2</v>
      </c>
      <c r="S17" s="54">
        <f t="shared" si="3"/>
        <v>8.8300220750551946E-3</v>
      </c>
      <c r="T17" s="54">
        <f t="shared" si="4"/>
        <v>2.7472527472527473E-4</v>
      </c>
      <c r="U17" s="55">
        <f t="shared" si="5"/>
        <v>-1.9299999999999998E-2</v>
      </c>
      <c r="V17" s="56">
        <f t="shared" si="6"/>
        <v>1.2899999999999995E-2</v>
      </c>
    </row>
    <row r="18" spans="1:22">
      <c r="A18" s="141">
        <v>13</v>
      </c>
      <c r="B18" s="137" t="s">
        <v>42</v>
      </c>
      <c r="C18" s="138" t="s">
        <v>43</v>
      </c>
      <c r="D18" s="31">
        <v>1100315559.95</v>
      </c>
      <c r="E18" s="28">
        <f t="shared" si="0"/>
        <v>2.3034846792676901E-2</v>
      </c>
      <c r="F18" s="31">
        <v>28.656841</v>
      </c>
      <c r="G18" s="31">
        <v>28.804615999999999</v>
      </c>
      <c r="H18" s="30">
        <v>507</v>
      </c>
      <c r="I18" s="48">
        <v>2.8899999999999999E-2</v>
      </c>
      <c r="J18" s="48">
        <v>0.22489999999999999</v>
      </c>
      <c r="K18" s="31">
        <v>1144438359.6299999</v>
      </c>
      <c r="L18" s="28">
        <f t="shared" si="1"/>
        <v>2.3464375784265339E-2</v>
      </c>
      <c r="M18" s="31">
        <v>28.704501</v>
      </c>
      <c r="N18" s="31">
        <v>28.856619999999999</v>
      </c>
      <c r="O18" s="30">
        <v>517</v>
      </c>
      <c r="P18" s="48">
        <v>1.6999999999999999E-3</v>
      </c>
      <c r="Q18" s="48">
        <v>0.22689999999999999</v>
      </c>
      <c r="R18" s="54">
        <f t="shared" si="2"/>
        <v>4.0100132440192733E-2</v>
      </c>
      <c r="S18" s="54">
        <f t="shared" si="3"/>
        <v>1.8054050781305387E-3</v>
      </c>
      <c r="T18" s="54">
        <f t="shared" si="4"/>
        <v>1.9723865877712032E-2</v>
      </c>
      <c r="U18" s="55">
        <f t="shared" si="5"/>
        <v>-2.7199999999999998E-2</v>
      </c>
      <c r="V18" s="56">
        <f t="shared" si="6"/>
        <v>2.0000000000000018E-3</v>
      </c>
    </row>
    <row r="19" spans="1:22">
      <c r="A19" s="141">
        <v>14</v>
      </c>
      <c r="B19" s="137" t="s">
        <v>44</v>
      </c>
      <c r="C19" s="138" t="s">
        <v>45</v>
      </c>
      <c r="D19" s="31">
        <v>145172649.68000001</v>
      </c>
      <c r="E19" s="28">
        <f t="shared" si="0"/>
        <v>3.0391551892783495E-3</v>
      </c>
      <c r="F19" s="31">
        <v>1.579631</v>
      </c>
      <c r="G19" s="31">
        <v>1.6456630000000001</v>
      </c>
      <c r="H19" s="30">
        <v>22</v>
      </c>
      <c r="I19" s="48">
        <v>2.46E-2</v>
      </c>
      <c r="J19" s="48">
        <v>0.13519999999999999</v>
      </c>
      <c r="K19" s="31">
        <v>137835924.91999999</v>
      </c>
      <c r="L19" s="28">
        <f t="shared" si="1"/>
        <v>2.8260446809387791E-3</v>
      </c>
      <c r="M19" s="31">
        <v>1.4997990000000001</v>
      </c>
      <c r="N19" s="31">
        <v>1.5665070000000001</v>
      </c>
      <c r="O19" s="30">
        <v>22</v>
      </c>
      <c r="P19" s="48">
        <v>-4.8599999999999997E-2</v>
      </c>
      <c r="Q19" s="48">
        <v>7.9299999999999995E-2</v>
      </c>
      <c r="R19" s="54">
        <f t="shared" si="2"/>
        <v>-5.0537926917860604E-2</v>
      </c>
      <c r="S19" s="54">
        <f t="shared" si="3"/>
        <v>-4.8099762831150729E-2</v>
      </c>
      <c r="T19" s="54">
        <f t="shared" si="4"/>
        <v>0</v>
      </c>
      <c r="U19" s="55">
        <f t="shared" si="5"/>
        <v>-7.3200000000000001E-2</v>
      </c>
      <c r="V19" s="56">
        <f t="shared" si="6"/>
        <v>-5.5899999999999991E-2</v>
      </c>
    </row>
    <row r="20" spans="1:22">
      <c r="A20" s="141">
        <v>15</v>
      </c>
      <c r="B20" s="137" t="s">
        <v>46</v>
      </c>
      <c r="C20" s="138" t="s">
        <v>47</v>
      </c>
      <c r="D20" s="27">
        <v>4293107486.5599999</v>
      </c>
      <c r="E20" s="28">
        <f t="shared" si="0"/>
        <v>8.9875192914564944E-2</v>
      </c>
      <c r="F20" s="31">
        <v>44.28</v>
      </c>
      <c r="G20" s="31">
        <v>44.69</v>
      </c>
      <c r="H20" s="30">
        <v>8944</v>
      </c>
      <c r="I20" s="48">
        <v>4.9799999999999997E-2</v>
      </c>
      <c r="J20" s="48">
        <v>0.40660000000000002</v>
      </c>
      <c r="K20" s="27">
        <v>4153387161.2399998</v>
      </c>
      <c r="L20" s="28">
        <f t="shared" si="1"/>
        <v>8.515673763363403E-2</v>
      </c>
      <c r="M20" s="31">
        <v>43.48</v>
      </c>
      <c r="N20" s="31">
        <v>43.9</v>
      </c>
      <c r="O20" s="30">
        <v>8944</v>
      </c>
      <c r="P20" s="48">
        <v>1.52E-2</v>
      </c>
      <c r="Q20" s="48">
        <v>0.42799999999999999</v>
      </c>
      <c r="R20" s="54">
        <f t="shared" si="2"/>
        <v>-3.2545266047358135E-2</v>
      </c>
      <c r="S20" s="54">
        <f t="shared" si="3"/>
        <v>-1.7677332736630101E-2</v>
      </c>
      <c r="T20" s="54">
        <f t="shared" si="4"/>
        <v>0</v>
      </c>
      <c r="U20" s="55">
        <f t="shared" si="5"/>
        <v>-3.4599999999999999E-2</v>
      </c>
      <c r="V20" s="56">
        <f t="shared" si="6"/>
        <v>2.1399999999999975E-2</v>
      </c>
    </row>
    <row r="21" spans="1:22" ht="12.75" customHeight="1">
      <c r="A21" s="141">
        <v>16</v>
      </c>
      <c r="B21" s="137" t="s">
        <v>48</v>
      </c>
      <c r="C21" s="138" t="s">
        <v>49</v>
      </c>
      <c r="D21" s="31">
        <v>1163896808.96</v>
      </c>
      <c r="E21" s="28">
        <f t="shared" si="0"/>
        <v>2.4365905248215733E-2</v>
      </c>
      <c r="F21" s="31">
        <v>10463.6</v>
      </c>
      <c r="G21" s="31">
        <v>10594</v>
      </c>
      <c r="H21" s="30">
        <v>24</v>
      </c>
      <c r="I21" s="48">
        <v>3.85E-2</v>
      </c>
      <c r="J21" s="48">
        <v>0.30609999999999998</v>
      </c>
      <c r="K21" s="31">
        <v>1329166171.6800001</v>
      </c>
      <c r="L21" s="28">
        <f t="shared" si="1"/>
        <v>2.7251843028152294E-2</v>
      </c>
      <c r="M21" s="31">
        <v>10638.3</v>
      </c>
      <c r="N21" s="31">
        <v>10747.58</v>
      </c>
      <c r="O21" s="30">
        <v>24</v>
      </c>
      <c r="P21" s="48">
        <v>1.4500000000000001E-2</v>
      </c>
      <c r="Q21" s="48">
        <v>0.3251</v>
      </c>
      <c r="R21" s="54">
        <f t="shared" si="2"/>
        <v>0.14199657688526224</v>
      </c>
      <c r="S21" s="54">
        <f t="shared" si="3"/>
        <v>1.4496885029261839E-2</v>
      </c>
      <c r="T21" s="54">
        <f t="shared" si="4"/>
        <v>0</v>
      </c>
      <c r="U21" s="55">
        <f t="shared" si="5"/>
        <v>-2.4E-2</v>
      </c>
      <c r="V21" s="56">
        <f t="shared" si="6"/>
        <v>1.9000000000000017E-2</v>
      </c>
    </row>
    <row r="22" spans="1:22">
      <c r="A22" s="141">
        <v>17</v>
      </c>
      <c r="B22" s="137" t="s">
        <v>50</v>
      </c>
      <c r="C22" s="138" t="s">
        <v>49</v>
      </c>
      <c r="D22" s="31">
        <v>16897860462.59</v>
      </c>
      <c r="E22" s="28">
        <f t="shared" si="0"/>
        <v>0.35375272426164794</v>
      </c>
      <c r="F22" s="31">
        <v>33070.660000000003</v>
      </c>
      <c r="G22" s="31">
        <v>33554.870000000003</v>
      </c>
      <c r="H22" s="30">
        <v>17903</v>
      </c>
      <c r="I22" s="48">
        <v>4.6800000000000001E-2</v>
      </c>
      <c r="J22" s="48">
        <v>0.30559999999999998</v>
      </c>
      <c r="K22" s="31">
        <v>17329835969.639999</v>
      </c>
      <c r="L22" s="28">
        <f t="shared" si="1"/>
        <v>0.35531296207405794</v>
      </c>
      <c r="M22" s="31">
        <v>33721.42</v>
      </c>
      <c r="N22" s="31">
        <v>34205.69</v>
      </c>
      <c r="O22" s="30">
        <v>17946</v>
      </c>
      <c r="P22" s="48">
        <v>1.9400000000000001E-2</v>
      </c>
      <c r="Q22" s="48">
        <v>0.33090000000000003</v>
      </c>
      <c r="R22" s="54">
        <f t="shared" si="2"/>
        <v>2.5563917278542177E-2</v>
      </c>
      <c r="S22" s="54">
        <f t="shared" si="3"/>
        <v>1.939569427627047E-2</v>
      </c>
      <c r="T22" s="54">
        <f t="shared" si="4"/>
        <v>2.4018320951795786E-3</v>
      </c>
      <c r="U22" s="55">
        <f t="shared" si="5"/>
        <v>-2.7400000000000001E-2</v>
      </c>
      <c r="V22" s="56">
        <f t="shared" si="6"/>
        <v>2.5300000000000045E-2</v>
      </c>
    </row>
    <row r="23" spans="1:22">
      <c r="A23" s="141">
        <v>18</v>
      </c>
      <c r="B23" s="138" t="s">
        <v>51</v>
      </c>
      <c r="C23" s="138" t="s">
        <v>52</v>
      </c>
      <c r="D23" s="31">
        <v>4785477780.8000002</v>
      </c>
      <c r="E23" s="28">
        <f t="shared" ref="E23" si="12">(D23/$D$25)</f>
        <v>0.10018284892335486</v>
      </c>
      <c r="F23" s="31">
        <v>1.59</v>
      </c>
      <c r="G23" s="29">
        <v>1.6061000000000001</v>
      </c>
      <c r="H23" s="30">
        <v>5014</v>
      </c>
      <c r="I23" s="48">
        <v>3.9899999999999998E-2</v>
      </c>
      <c r="J23" s="48">
        <v>0.25109999999999999</v>
      </c>
      <c r="K23" s="31">
        <v>4875700655.9399996</v>
      </c>
      <c r="L23" s="28">
        <f t="shared" ref="L23" si="13">(K23/$K$25)</f>
        <v>9.9966303505898468E-2</v>
      </c>
      <c r="M23" s="31">
        <v>1.6019000000000001</v>
      </c>
      <c r="N23" s="29">
        <v>1.6180000000000001</v>
      </c>
      <c r="O23" s="30">
        <v>5086</v>
      </c>
      <c r="P23" s="48">
        <v>7.4999999999999997E-3</v>
      </c>
      <c r="Q23" s="48">
        <v>0.2591</v>
      </c>
      <c r="R23" s="54">
        <f t="shared" ref="R23" si="14">((K23-D23)/D23)</f>
        <v>1.8853472792619803E-2</v>
      </c>
      <c r="S23" s="54">
        <f t="shared" ref="S23" si="15">((N23-G23)/G23)</f>
        <v>7.4092522258888118E-3</v>
      </c>
      <c r="T23" s="54">
        <f t="shared" ref="T23" si="16">((O23-H23)/H23)</f>
        <v>1.4359792580773833E-2</v>
      </c>
      <c r="U23" s="55">
        <f t="shared" ref="U23" si="17">P23-I23</f>
        <v>-3.2399999999999998E-2</v>
      </c>
      <c r="V23" s="56">
        <f t="shared" ref="V23" si="18">Q23-J23</f>
        <v>8.0000000000000071E-3</v>
      </c>
    </row>
    <row r="24" spans="1:22">
      <c r="A24" s="141">
        <v>19</v>
      </c>
      <c r="B24" s="138" t="s">
        <v>292</v>
      </c>
      <c r="C24" s="138" t="s">
        <v>293</v>
      </c>
      <c r="D24" s="31">
        <v>3990036843.2399998</v>
      </c>
      <c r="E24" s="28">
        <f>(D24/$D$25)</f>
        <v>8.3530480460847156E-2</v>
      </c>
      <c r="F24" s="31">
        <v>173.24</v>
      </c>
      <c r="G24" s="29">
        <v>176.15</v>
      </c>
      <c r="H24" s="30">
        <v>39</v>
      </c>
      <c r="I24" s="48">
        <v>3.6400000000000002E-2</v>
      </c>
      <c r="J24" s="48">
        <v>0.4234</v>
      </c>
      <c r="K24" s="31">
        <v>4075346779.5900002</v>
      </c>
      <c r="L24" s="28">
        <f>(K24/$K$25)</f>
        <v>8.3556678682468591E-2</v>
      </c>
      <c r="M24" s="31">
        <v>176</v>
      </c>
      <c r="N24" s="29">
        <v>179.07</v>
      </c>
      <c r="O24" s="30">
        <v>41</v>
      </c>
      <c r="P24" s="48">
        <v>1.6199999999999999E-2</v>
      </c>
      <c r="Q24" s="48">
        <v>0.4466</v>
      </c>
      <c r="R24" s="54">
        <f t="shared" si="2"/>
        <v>2.1380739001078192E-2</v>
      </c>
      <c r="S24" s="54">
        <f t="shared" si="3"/>
        <v>1.6576781152426837E-2</v>
      </c>
      <c r="T24" s="54">
        <f t="shared" si="4"/>
        <v>5.128205128205128E-2</v>
      </c>
      <c r="U24" s="55">
        <f t="shared" si="5"/>
        <v>-2.0200000000000003E-2</v>
      </c>
      <c r="V24" s="56">
        <f t="shared" si="6"/>
        <v>2.3199999999999998E-2</v>
      </c>
    </row>
    <row r="25" spans="1:22">
      <c r="A25" s="34"/>
      <c r="B25" s="35"/>
      <c r="C25" s="36" t="s">
        <v>53</v>
      </c>
      <c r="D25" s="37">
        <f>SUM(D6:D24)</f>
        <v>47767435566.352699</v>
      </c>
      <c r="E25" s="38">
        <f>(D25/$D$222)</f>
        <v>8.2183778033775891E-3</v>
      </c>
      <c r="F25" s="39"/>
      <c r="G25" s="40"/>
      <c r="H25" s="41">
        <f>SUM(H6:H24)</f>
        <v>52497</v>
      </c>
      <c r="I25" s="50"/>
      <c r="J25" s="30">
        <v>0</v>
      </c>
      <c r="K25" s="37">
        <f>SUM(K6:K24)</f>
        <v>48773441499.2379</v>
      </c>
      <c r="L25" s="38">
        <f>(K25/$K$222)</f>
        <v>8.2497031958144191E-3</v>
      </c>
      <c r="M25" s="39"/>
      <c r="N25" s="40"/>
      <c r="O25" s="41">
        <f>SUM(O6:O24)</f>
        <v>52700</v>
      </c>
      <c r="P25" s="50"/>
      <c r="Q25" s="41"/>
      <c r="R25" s="54">
        <f t="shared" si="2"/>
        <v>2.106049698832544E-2</v>
      </c>
      <c r="S25" s="54" t="e">
        <f t="shared" si="3"/>
        <v>#DIV/0!</v>
      </c>
      <c r="T25" s="54">
        <f t="shared" si="4"/>
        <v>3.8668876316741911E-3</v>
      </c>
      <c r="U25" s="55">
        <f t="shared" si="5"/>
        <v>0</v>
      </c>
      <c r="V25" s="56">
        <f t="shared" si="6"/>
        <v>0</v>
      </c>
    </row>
    <row r="26" spans="1:22" ht="4.5" customHeight="1">
      <c r="A26" s="34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</row>
    <row r="27" spans="1:22" ht="15" customHeight="1">
      <c r="A27" s="154" t="s">
        <v>54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</row>
    <row r="28" spans="1:22">
      <c r="A28" s="139">
        <v>20</v>
      </c>
      <c r="B28" s="137" t="s">
        <v>55</v>
      </c>
      <c r="C28" s="138" t="s">
        <v>19</v>
      </c>
      <c r="D28" s="42">
        <v>3666649765.3600001</v>
      </c>
      <c r="E28" s="28">
        <f t="shared" ref="E28:E33" si="19">(D28/$K$69)</f>
        <v>1.1316499063224225E-3</v>
      </c>
      <c r="F28" s="29">
        <v>100</v>
      </c>
      <c r="G28" s="29">
        <v>100</v>
      </c>
      <c r="H28" s="30">
        <v>851</v>
      </c>
      <c r="I28" s="48">
        <v>0.18540000000000001</v>
      </c>
      <c r="J28" s="48">
        <v>0.18540000000000001</v>
      </c>
      <c r="K28" s="42">
        <v>3686355498.8000002</v>
      </c>
      <c r="L28" s="28">
        <f t="shared" ref="L28:L33" si="20">(K28/$K$69)</f>
        <v>1.1377317501931039E-3</v>
      </c>
      <c r="M28" s="29">
        <v>100</v>
      </c>
      <c r="N28" s="29">
        <v>100</v>
      </c>
      <c r="O28" s="30">
        <v>851</v>
      </c>
      <c r="P28" s="48">
        <v>0.1817</v>
      </c>
      <c r="Q28" s="48">
        <v>0.1817</v>
      </c>
      <c r="R28" s="54">
        <f>((K28-D28)/D28)</f>
        <v>5.3743157108067296E-3</v>
      </c>
      <c r="S28" s="54">
        <f>((N28-G28)/G28)</f>
        <v>0</v>
      </c>
      <c r="T28" s="54">
        <f>((O28-H28)/H28)</f>
        <v>0</v>
      </c>
      <c r="U28" s="55">
        <f>P28-I28</f>
        <v>-3.7000000000000088E-3</v>
      </c>
      <c r="V28" s="56">
        <f>Q28-J28</f>
        <v>-3.7000000000000088E-3</v>
      </c>
    </row>
    <row r="29" spans="1:22">
      <c r="A29" s="139">
        <v>21</v>
      </c>
      <c r="B29" s="137" t="s">
        <v>56</v>
      </c>
      <c r="C29" s="138" t="s">
        <v>57</v>
      </c>
      <c r="D29" s="42">
        <v>22060627721.759998</v>
      </c>
      <c r="E29" s="28">
        <f t="shared" si="19"/>
        <v>6.8086424644630394E-3</v>
      </c>
      <c r="F29" s="29">
        <v>100</v>
      </c>
      <c r="G29" s="29">
        <v>100</v>
      </c>
      <c r="H29" s="30">
        <v>2965</v>
      </c>
      <c r="I29" s="48">
        <v>0.210427</v>
      </c>
      <c r="J29" s="48">
        <v>0.210427</v>
      </c>
      <c r="K29" s="42">
        <v>21857095237.080002</v>
      </c>
      <c r="L29" s="28">
        <f t="shared" si="20"/>
        <v>6.7458255793060046E-3</v>
      </c>
      <c r="M29" s="29">
        <v>100</v>
      </c>
      <c r="N29" s="29">
        <v>100</v>
      </c>
      <c r="O29" s="30">
        <v>2995</v>
      </c>
      <c r="P29" s="48">
        <v>0.198745</v>
      </c>
      <c r="Q29" s="48">
        <v>0.198745</v>
      </c>
      <c r="R29" s="54">
        <f t="shared" ref="R29:R69" si="21">((K29-D29)/D29)</f>
        <v>-9.2260513729279618E-3</v>
      </c>
      <c r="S29" s="54">
        <f t="shared" ref="S29:S69" si="22">((N29-G29)/G29)</f>
        <v>0</v>
      </c>
      <c r="T29" s="54">
        <f t="shared" ref="T29:T69" si="23">((O29-H29)/H29)</f>
        <v>1.0118043844856661E-2</v>
      </c>
      <c r="U29" s="55">
        <f t="shared" ref="U29:U69" si="24">P29-I29</f>
        <v>-1.1681999999999998E-2</v>
      </c>
      <c r="V29" s="56">
        <f t="shared" ref="V29:V69" si="25">Q29-J29</f>
        <v>-1.1681999999999998E-2</v>
      </c>
    </row>
    <row r="30" spans="1:22">
      <c r="A30" s="139">
        <v>22</v>
      </c>
      <c r="B30" s="137" t="s">
        <v>58</v>
      </c>
      <c r="C30" s="138" t="s">
        <v>21</v>
      </c>
      <c r="D30" s="42">
        <v>2272983398.6700001</v>
      </c>
      <c r="E30" s="28">
        <f t="shared" si="19"/>
        <v>7.0151817456848926E-4</v>
      </c>
      <c r="F30" s="29">
        <v>100</v>
      </c>
      <c r="G30" s="29">
        <v>100</v>
      </c>
      <c r="H30" s="30">
        <v>2033</v>
      </c>
      <c r="I30" s="48">
        <v>0.20130000000000001</v>
      </c>
      <c r="J30" s="48">
        <v>0.20130000000000001</v>
      </c>
      <c r="K30" s="42">
        <v>2227203910.75</v>
      </c>
      <c r="L30" s="28">
        <f t="shared" si="20"/>
        <v>6.8738910401869541E-4</v>
      </c>
      <c r="M30" s="29">
        <v>100</v>
      </c>
      <c r="N30" s="29">
        <v>100</v>
      </c>
      <c r="O30" s="30">
        <v>2050</v>
      </c>
      <c r="P30" s="48">
        <v>0.19839999999999999</v>
      </c>
      <c r="Q30" s="48">
        <v>0.19839999999999999</v>
      </c>
      <c r="R30" s="54">
        <f t="shared" si="21"/>
        <v>-2.0140704919704742E-2</v>
      </c>
      <c r="S30" s="54">
        <f t="shared" si="22"/>
        <v>0</v>
      </c>
      <c r="T30" s="54">
        <f t="shared" si="23"/>
        <v>8.362026561731432E-3</v>
      </c>
      <c r="U30" s="55">
        <f t="shared" si="24"/>
        <v>-2.9000000000000137E-3</v>
      </c>
      <c r="V30" s="56">
        <f t="shared" si="25"/>
        <v>-2.9000000000000137E-3</v>
      </c>
    </row>
    <row r="31" spans="1:22">
      <c r="A31" s="139">
        <v>23</v>
      </c>
      <c r="B31" s="137" t="s">
        <v>59</v>
      </c>
      <c r="C31" s="138" t="s">
        <v>23</v>
      </c>
      <c r="D31" s="42">
        <v>221086667897.17999</v>
      </c>
      <c r="E31" s="28">
        <f t="shared" si="19"/>
        <v>6.823468916465103E-2</v>
      </c>
      <c r="F31" s="29">
        <v>1</v>
      </c>
      <c r="G31" s="29">
        <v>1</v>
      </c>
      <c r="H31" s="30">
        <v>71468</v>
      </c>
      <c r="I31" s="48">
        <v>0.21970000000000001</v>
      </c>
      <c r="J31" s="48">
        <v>0.21970000000000001</v>
      </c>
      <c r="K31" s="42">
        <v>232253117579.10001</v>
      </c>
      <c r="L31" s="28">
        <f t="shared" si="20"/>
        <v>7.1681026433042458E-2</v>
      </c>
      <c r="M31" s="29">
        <v>1</v>
      </c>
      <c r="N31" s="29">
        <v>1</v>
      </c>
      <c r="O31" s="30">
        <v>71911</v>
      </c>
      <c r="P31" s="48">
        <v>0.21759999999999999</v>
      </c>
      <c r="Q31" s="48">
        <v>0.21759999999999999</v>
      </c>
      <c r="R31" s="54">
        <f t="shared" si="21"/>
        <v>5.0507114644801447E-2</v>
      </c>
      <c r="S31" s="54">
        <f t="shared" si="22"/>
        <v>0</v>
      </c>
      <c r="T31" s="54">
        <f t="shared" si="23"/>
        <v>6.1985783847316282E-3</v>
      </c>
      <c r="U31" s="55">
        <f t="shared" si="24"/>
        <v>-2.1000000000000185E-3</v>
      </c>
      <c r="V31" s="56">
        <f t="shared" si="25"/>
        <v>-2.1000000000000185E-3</v>
      </c>
    </row>
    <row r="32" spans="1:22">
      <c r="A32" s="139">
        <v>24</v>
      </c>
      <c r="B32" s="137" t="s">
        <v>301</v>
      </c>
      <c r="C32" s="138" t="s">
        <v>115</v>
      </c>
      <c r="D32" s="42">
        <v>912708659.96000004</v>
      </c>
      <c r="E32" s="28">
        <f t="shared" si="19"/>
        <v>2.8169220832085351E-4</v>
      </c>
      <c r="F32" s="29">
        <v>1</v>
      </c>
      <c r="G32" s="29">
        <v>1</v>
      </c>
      <c r="H32" s="30">
        <v>290</v>
      </c>
      <c r="I32" s="48">
        <v>0.20630000000000001</v>
      </c>
      <c r="J32" s="48">
        <v>0.20630000000000001</v>
      </c>
      <c r="K32" s="42">
        <v>934548959.25999999</v>
      </c>
      <c r="L32" s="28">
        <f t="shared" si="20"/>
        <v>2.8843285011609517E-4</v>
      </c>
      <c r="M32" s="29">
        <v>1</v>
      </c>
      <c r="N32" s="29">
        <v>1</v>
      </c>
      <c r="O32" s="30">
        <v>290</v>
      </c>
      <c r="P32" s="48">
        <v>0.2009</v>
      </c>
      <c r="Q32" s="48">
        <v>0.2009</v>
      </c>
      <c r="R32" s="54">
        <f t="shared" si="21"/>
        <v>2.3929102744524321E-2</v>
      </c>
      <c r="S32" s="54">
        <f t="shared" si="22"/>
        <v>0</v>
      </c>
      <c r="T32" s="54">
        <f t="shared" si="23"/>
        <v>0</v>
      </c>
      <c r="U32" s="55">
        <f t="shared" si="24"/>
        <v>-5.4000000000000159E-3</v>
      </c>
      <c r="V32" s="56">
        <f t="shared" si="25"/>
        <v>-5.4000000000000159E-3</v>
      </c>
    </row>
    <row r="33" spans="1:22">
      <c r="A33" s="139">
        <v>25</v>
      </c>
      <c r="B33" s="137" t="s">
        <v>60</v>
      </c>
      <c r="C33" s="138" t="s">
        <v>25</v>
      </c>
      <c r="D33" s="42">
        <v>129046254556.27</v>
      </c>
      <c r="E33" s="28">
        <f t="shared" si="19"/>
        <v>3.9827960461209844E-2</v>
      </c>
      <c r="F33" s="29">
        <v>1</v>
      </c>
      <c r="G33" s="29">
        <v>1</v>
      </c>
      <c r="H33" s="30">
        <v>34140</v>
      </c>
      <c r="I33" s="48">
        <v>0.20119999999999999</v>
      </c>
      <c r="J33" s="48">
        <v>0.20119999999999999</v>
      </c>
      <c r="K33" s="42">
        <v>131450887161.94</v>
      </c>
      <c r="L33" s="28">
        <f t="shared" si="20"/>
        <v>4.0570109953821425E-2</v>
      </c>
      <c r="M33" s="29">
        <v>1</v>
      </c>
      <c r="N33" s="29">
        <v>1</v>
      </c>
      <c r="O33" s="30">
        <v>34443</v>
      </c>
      <c r="P33" s="48">
        <v>0.1963</v>
      </c>
      <c r="Q33" s="48">
        <v>0.1963</v>
      </c>
      <c r="R33" s="54">
        <f t="shared" si="21"/>
        <v>1.8633881424442812E-2</v>
      </c>
      <c r="S33" s="54">
        <f t="shared" si="22"/>
        <v>0</v>
      </c>
      <c r="T33" s="54">
        <f t="shared" si="23"/>
        <v>8.8752196836555369E-3</v>
      </c>
      <c r="U33" s="55">
        <f t="shared" si="24"/>
        <v>-4.8999999999999877E-3</v>
      </c>
      <c r="V33" s="56">
        <f t="shared" si="25"/>
        <v>-4.8999999999999877E-3</v>
      </c>
    </row>
    <row r="34" spans="1:22">
      <c r="A34" s="139">
        <v>26</v>
      </c>
      <c r="B34" s="137" t="s">
        <v>286</v>
      </c>
      <c r="C34" s="138" t="s">
        <v>27</v>
      </c>
      <c r="D34" s="31">
        <v>6848759347.3599997</v>
      </c>
      <c r="E34" s="28">
        <f t="shared" ref="E34" si="26">(D34/$D$25)</f>
        <v>0.14337716199661876</v>
      </c>
      <c r="F34" s="31">
        <v>1</v>
      </c>
      <c r="G34" s="31">
        <v>1</v>
      </c>
      <c r="H34" s="30">
        <v>931</v>
      </c>
      <c r="I34" s="48">
        <v>0.2165</v>
      </c>
      <c r="J34" s="48">
        <v>0.2165</v>
      </c>
      <c r="K34" s="31">
        <v>7299600207.3599997</v>
      </c>
      <c r="L34" s="28">
        <f t="shared" ref="L34" si="27">(K34/$K$25)</f>
        <v>0.14966342302242622</v>
      </c>
      <c r="M34" s="31">
        <v>1</v>
      </c>
      <c r="N34" s="31">
        <v>1</v>
      </c>
      <c r="O34" s="30">
        <v>988</v>
      </c>
      <c r="P34" s="48">
        <v>0.20230000000000001</v>
      </c>
      <c r="Q34" s="48">
        <v>0.20230000000000001</v>
      </c>
      <c r="R34" s="54">
        <f t="shared" si="21"/>
        <v>6.5828106542214285E-2</v>
      </c>
      <c r="S34" s="54">
        <f t="shared" si="22"/>
        <v>0</v>
      </c>
      <c r="T34" s="54">
        <f t="shared" si="23"/>
        <v>6.1224489795918366E-2</v>
      </c>
      <c r="U34" s="55">
        <f t="shared" si="24"/>
        <v>-1.419999999999999E-2</v>
      </c>
      <c r="V34" s="56">
        <f t="shared" si="25"/>
        <v>-1.419999999999999E-2</v>
      </c>
    </row>
    <row r="35" spans="1:22" ht="15" customHeight="1">
      <c r="A35" s="139">
        <v>27</v>
      </c>
      <c r="B35" s="137" t="s">
        <v>61</v>
      </c>
      <c r="C35" s="138" t="s">
        <v>47</v>
      </c>
      <c r="D35" s="42">
        <v>23698373986</v>
      </c>
      <c r="E35" s="28">
        <f t="shared" ref="E35:E47" si="28">(D35/$K$69)</f>
        <v>7.3141053597786301E-3</v>
      </c>
      <c r="F35" s="29">
        <v>100</v>
      </c>
      <c r="G35" s="29">
        <v>100</v>
      </c>
      <c r="H35" s="30">
        <v>2083</v>
      </c>
      <c r="I35" s="48">
        <v>0.22850000000000001</v>
      </c>
      <c r="J35" s="48">
        <v>0.22850000000000001</v>
      </c>
      <c r="K35" s="42">
        <v>25421380089</v>
      </c>
      <c r="L35" s="28">
        <f t="shared" ref="L35:L47" si="29">(K35/$K$69)</f>
        <v>7.8458822732634312E-3</v>
      </c>
      <c r="M35" s="29">
        <v>100</v>
      </c>
      <c r="N35" s="29">
        <v>100</v>
      </c>
      <c r="O35" s="30">
        <v>2083</v>
      </c>
      <c r="P35" s="48">
        <v>0.21060000000000001</v>
      </c>
      <c r="Q35" s="48">
        <v>0.21060000000000001</v>
      </c>
      <c r="R35" s="54">
        <f t="shared" si="21"/>
        <v>7.2705667655421399E-2</v>
      </c>
      <c r="S35" s="54">
        <f t="shared" si="22"/>
        <v>0</v>
      </c>
      <c r="T35" s="54">
        <f t="shared" si="23"/>
        <v>0</v>
      </c>
      <c r="U35" s="55">
        <f t="shared" si="24"/>
        <v>-1.7899999999999999E-2</v>
      </c>
      <c r="V35" s="56">
        <f t="shared" si="25"/>
        <v>-1.7899999999999999E-2</v>
      </c>
    </row>
    <row r="36" spans="1:22" ht="15" customHeight="1">
      <c r="A36" s="139">
        <v>28</v>
      </c>
      <c r="B36" s="137" t="s">
        <v>62</v>
      </c>
      <c r="C36" s="138" t="s">
        <v>63</v>
      </c>
      <c r="D36" s="42">
        <v>1353031395.1600001</v>
      </c>
      <c r="E36" s="28">
        <f t="shared" si="28"/>
        <v>4.1759042983855263E-4</v>
      </c>
      <c r="F36" s="29">
        <v>1</v>
      </c>
      <c r="G36" s="29">
        <v>1</v>
      </c>
      <c r="H36" s="30">
        <v>470</v>
      </c>
      <c r="I36" s="48">
        <v>0.2</v>
      </c>
      <c r="J36" s="48">
        <v>0.2</v>
      </c>
      <c r="K36" s="42">
        <v>1386227084.01</v>
      </c>
      <c r="L36" s="28">
        <f t="shared" si="29"/>
        <v>4.2783572202116237E-4</v>
      </c>
      <c r="M36" s="29">
        <v>1</v>
      </c>
      <c r="N36" s="29">
        <v>1</v>
      </c>
      <c r="O36" s="30">
        <v>485</v>
      </c>
      <c r="P36" s="48">
        <v>0.2</v>
      </c>
      <c r="Q36" s="48">
        <v>0.2</v>
      </c>
      <c r="R36" s="54">
        <f t="shared" si="21"/>
        <v>2.4534307902053087E-2</v>
      </c>
      <c r="S36" s="54">
        <f t="shared" si="22"/>
        <v>0</v>
      </c>
      <c r="T36" s="54">
        <f t="shared" si="23"/>
        <v>3.1914893617021274E-2</v>
      </c>
      <c r="U36" s="55">
        <f t="shared" si="24"/>
        <v>0</v>
      </c>
      <c r="V36" s="56">
        <f t="shared" si="25"/>
        <v>0</v>
      </c>
    </row>
    <row r="37" spans="1:22">
      <c r="A37" s="139">
        <v>29</v>
      </c>
      <c r="B37" s="137" t="s">
        <v>64</v>
      </c>
      <c r="C37" s="138" t="s">
        <v>65</v>
      </c>
      <c r="D37" s="42">
        <v>60830490964.5</v>
      </c>
      <c r="E37" s="28">
        <f t="shared" si="28"/>
        <v>1.8774310012334827E-2</v>
      </c>
      <c r="F37" s="29">
        <v>100</v>
      </c>
      <c r="G37" s="29">
        <v>100</v>
      </c>
      <c r="H37" s="30">
        <v>4493</v>
      </c>
      <c r="I37" s="48">
        <v>0.21284786364563499</v>
      </c>
      <c r="J37" s="48">
        <v>0.21284786364563499</v>
      </c>
      <c r="K37" s="42">
        <v>64221555272.809998</v>
      </c>
      <c r="L37" s="28">
        <f t="shared" si="29"/>
        <v>1.982090509296848E-2</v>
      </c>
      <c r="M37" s="29">
        <v>100</v>
      </c>
      <c r="N37" s="29">
        <v>100</v>
      </c>
      <c r="O37" s="30">
        <v>4548</v>
      </c>
      <c r="P37" s="48">
        <v>0.20370033486865699</v>
      </c>
      <c r="Q37" s="48">
        <v>0.20370033486865699</v>
      </c>
      <c r="R37" s="54">
        <f t="shared" si="21"/>
        <v>5.5746127551214164E-2</v>
      </c>
      <c r="S37" s="54">
        <f t="shared" si="22"/>
        <v>0</v>
      </c>
      <c r="T37" s="54">
        <f t="shared" si="23"/>
        <v>1.2241264188738037E-2</v>
      </c>
      <c r="U37" s="55">
        <f t="shared" si="24"/>
        <v>-9.1475287769779978E-3</v>
      </c>
      <c r="V37" s="56">
        <f t="shared" si="25"/>
        <v>-9.1475287769779978E-3</v>
      </c>
    </row>
    <row r="38" spans="1:22">
      <c r="A38" s="139">
        <v>30</v>
      </c>
      <c r="B38" s="137" t="s">
        <v>66</v>
      </c>
      <c r="C38" s="138" t="s">
        <v>67</v>
      </c>
      <c r="D38" s="42">
        <v>38534903317.389999</v>
      </c>
      <c r="E38" s="28">
        <f t="shared" si="28"/>
        <v>1.1893151110653314E-2</v>
      </c>
      <c r="F38" s="29">
        <v>100</v>
      </c>
      <c r="G38" s="29">
        <v>100</v>
      </c>
      <c r="H38" s="30">
        <v>5022</v>
      </c>
      <c r="I38" s="48">
        <v>0.2072</v>
      </c>
      <c r="J38" s="48">
        <v>0.2072</v>
      </c>
      <c r="K38" s="42">
        <v>34142105699.529999</v>
      </c>
      <c r="L38" s="28">
        <f t="shared" si="29"/>
        <v>1.0537387857858278E-2</v>
      </c>
      <c r="M38" s="29">
        <v>100</v>
      </c>
      <c r="N38" s="29">
        <v>100</v>
      </c>
      <c r="O38" s="30">
        <v>5047</v>
      </c>
      <c r="P38" s="48">
        <v>0.21</v>
      </c>
      <c r="Q38" s="48">
        <v>0.21</v>
      </c>
      <c r="R38" s="54">
        <f t="shared" si="21"/>
        <v>-0.1139952936089922</v>
      </c>
      <c r="S38" s="54">
        <f t="shared" si="22"/>
        <v>0</v>
      </c>
      <c r="T38" s="54">
        <f t="shared" si="23"/>
        <v>4.9780963759458383E-3</v>
      </c>
      <c r="U38" s="55">
        <f t="shared" si="24"/>
        <v>2.7999999999999969E-3</v>
      </c>
      <c r="V38" s="56">
        <f t="shared" si="25"/>
        <v>2.7999999999999969E-3</v>
      </c>
    </row>
    <row r="39" spans="1:22">
      <c r="A39" s="139">
        <v>31</v>
      </c>
      <c r="B39" s="137" t="s">
        <v>68</v>
      </c>
      <c r="C39" s="138" t="s">
        <v>296</v>
      </c>
      <c r="D39" s="42">
        <v>28384031943.220001</v>
      </c>
      <c r="E39" s="28">
        <f t="shared" si="28"/>
        <v>8.76025504073304E-3</v>
      </c>
      <c r="F39" s="29">
        <v>1</v>
      </c>
      <c r="G39" s="29">
        <v>1</v>
      </c>
      <c r="H39" s="30">
        <v>6485</v>
      </c>
      <c r="I39" s="48">
        <v>0.2374</v>
      </c>
      <c r="J39" s="48">
        <v>0.2374</v>
      </c>
      <c r="K39" s="42">
        <v>29793829773.119999</v>
      </c>
      <c r="L39" s="28">
        <f t="shared" si="29"/>
        <v>9.1953654778443548E-3</v>
      </c>
      <c r="M39" s="29">
        <v>1</v>
      </c>
      <c r="N39" s="29">
        <v>1</v>
      </c>
      <c r="O39" s="30">
        <v>6836</v>
      </c>
      <c r="P39" s="48">
        <v>0.2087</v>
      </c>
      <c r="Q39" s="48">
        <v>0.2087</v>
      </c>
      <c r="R39" s="54">
        <f t="shared" si="21"/>
        <v>4.9668695156494545E-2</v>
      </c>
      <c r="S39" s="54">
        <f t="shared" si="22"/>
        <v>0</v>
      </c>
      <c r="T39" s="54">
        <f t="shared" si="23"/>
        <v>5.4124903623747112E-2</v>
      </c>
      <c r="U39" s="55">
        <f t="shared" si="24"/>
        <v>-2.8700000000000003E-2</v>
      </c>
      <c r="V39" s="56">
        <f t="shared" si="25"/>
        <v>-2.8700000000000003E-2</v>
      </c>
    </row>
    <row r="40" spans="1:22">
      <c r="A40" s="139">
        <v>32</v>
      </c>
      <c r="B40" s="137" t="s">
        <v>69</v>
      </c>
      <c r="C40" s="138" t="s">
        <v>70</v>
      </c>
      <c r="D40" s="42">
        <v>68676686689.120003</v>
      </c>
      <c r="E40" s="28">
        <f t="shared" si="28"/>
        <v>2.1195906626398628E-2</v>
      </c>
      <c r="F40" s="43">
        <v>100</v>
      </c>
      <c r="G40" s="43">
        <v>100</v>
      </c>
      <c r="H40" s="30">
        <v>3848</v>
      </c>
      <c r="I40" s="48">
        <v>0.20710000000000001</v>
      </c>
      <c r="J40" s="48">
        <v>0.20710000000000001</v>
      </c>
      <c r="K40" s="42">
        <v>70441025858.710007</v>
      </c>
      <c r="L40" s="28">
        <f t="shared" si="29"/>
        <v>2.174044029712174E-2</v>
      </c>
      <c r="M40" s="43">
        <v>100</v>
      </c>
      <c r="N40" s="43">
        <v>100</v>
      </c>
      <c r="O40" s="30">
        <v>3848</v>
      </c>
      <c r="P40" s="48">
        <v>0.19470000000000001</v>
      </c>
      <c r="Q40" s="48">
        <v>0.19470000000000001</v>
      </c>
      <c r="R40" s="54">
        <f t="shared" si="21"/>
        <v>2.5690510923694818E-2</v>
      </c>
      <c r="S40" s="54">
        <f t="shared" si="22"/>
        <v>0</v>
      </c>
      <c r="T40" s="54">
        <f t="shared" si="23"/>
        <v>0</v>
      </c>
      <c r="U40" s="55">
        <f t="shared" si="24"/>
        <v>-1.2399999999999994E-2</v>
      </c>
      <c r="V40" s="56">
        <f t="shared" si="25"/>
        <v>-1.2399999999999994E-2</v>
      </c>
    </row>
    <row r="41" spans="1:22">
      <c r="A41" s="139">
        <v>33</v>
      </c>
      <c r="B41" s="137" t="s">
        <v>71</v>
      </c>
      <c r="C41" s="138" t="s">
        <v>70</v>
      </c>
      <c r="D41" s="42">
        <v>6729941938.2399998</v>
      </c>
      <c r="E41" s="28">
        <f t="shared" si="28"/>
        <v>2.0770836189250509E-3</v>
      </c>
      <c r="F41" s="43">
        <v>1000000</v>
      </c>
      <c r="G41" s="43">
        <v>1000000</v>
      </c>
      <c r="H41" s="30">
        <v>26</v>
      </c>
      <c r="I41" s="48">
        <v>0.217</v>
      </c>
      <c r="J41" s="48">
        <v>0.217</v>
      </c>
      <c r="K41" s="42">
        <v>7025677190</v>
      </c>
      <c r="L41" s="28">
        <f t="shared" si="29"/>
        <v>2.168357340542033E-3</v>
      </c>
      <c r="M41" s="43">
        <v>1000000</v>
      </c>
      <c r="N41" s="43">
        <v>1000000</v>
      </c>
      <c r="O41" s="30">
        <v>26</v>
      </c>
      <c r="P41" s="48">
        <v>0.1973</v>
      </c>
      <c r="Q41" s="48">
        <v>0.1973</v>
      </c>
      <c r="R41" s="54">
        <f t="shared" si="21"/>
        <v>4.394320998218601E-2</v>
      </c>
      <c r="S41" s="54">
        <f t="shared" si="22"/>
        <v>0</v>
      </c>
      <c r="T41" s="54">
        <f t="shared" si="23"/>
        <v>0</v>
      </c>
      <c r="U41" s="55">
        <f t="shared" si="24"/>
        <v>-1.9699999999999995E-2</v>
      </c>
      <c r="V41" s="56">
        <f t="shared" si="25"/>
        <v>-1.9699999999999995E-2</v>
      </c>
    </row>
    <row r="42" spans="1:22">
      <c r="A42" s="139">
        <v>34</v>
      </c>
      <c r="B42" s="137" t="s">
        <v>72</v>
      </c>
      <c r="C42" s="138" t="s">
        <v>73</v>
      </c>
      <c r="D42" s="42">
        <v>4828664008.3900003</v>
      </c>
      <c r="E42" s="28">
        <f t="shared" si="28"/>
        <v>1.4902860983289179E-3</v>
      </c>
      <c r="F42" s="29">
        <v>1</v>
      </c>
      <c r="G42" s="29">
        <v>1</v>
      </c>
      <c r="H42" s="30">
        <v>925</v>
      </c>
      <c r="I42" s="48">
        <v>0.21410000000000001</v>
      </c>
      <c r="J42" s="48">
        <v>0.21410000000000001</v>
      </c>
      <c r="K42" s="42">
        <v>4865007668.5799999</v>
      </c>
      <c r="L42" s="28">
        <f t="shared" si="29"/>
        <v>1.501502959027744E-3</v>
      </c>
      <c r="M42" s="29">
        <v>1</v>
      </c>
      <c r="N42" s="29">
        <v>1</v>
      </c>
      <c r="O42" s="30">
        <v>945</v>
      </c>
      <c r="P42" s="48">
        <v>0.21310000000000001</v>
      </c>
      <c r="Q42" s="48">
        <v>0.21310000000000001</v>
      </c>
      <c r="R42" s="54">
        <f t="shared" si="21"/>
        <v>7.5266492195048135E-3</v>
      </c>
      <c r="S42" s="54">
        <f t="shared" si="22"/>
        <v>0</v>
      </c>
      <c r="T42" s="54">
        <f t="shared" si="23"/>
        <v>2.1621621621621623E-2</v>
      </c>
      <c r="U42" s="55">
        <f t="shared" si="24"/>
        <v>-1.0000000000000009E-3</v>
      </c>
      <c r="V42" s="56">
        <f t="shared" si="25"/>
        <v>-1.0000000000000009E-3</v>
      </c>
    </row>
    <row r="43" spans="1:22">
      <c r="A43" s="139">
        <v>35</v>
      </c>
      <c r="B43" s="137" t="s">
        <v>74</v>
      </c>
      <c r="C43" s="138" t="s">
        <v>317</v>
      </c>
      <c r="D43" s="42">
        <v>525539991820.88</v>
      </c>
      <c r="E43" s="28">
        <f t="shared" si="28"/>
        <v>0.16219909742440147</v>
      </c>
      <c r="F43" s="29">
        <v>100</v>
      </c>
      <c r="G43" s="29">
        <v>100</v>
      </c>
      <c r="H43" s="30">
        <v>16251</v>
      </c>
      <c r="I43" s="48">
        <v>0.21540000000000001</v>
      </c>
      <c r="J43" s="48">
        <v>0.21540000000000001</v>
      </c>
      <c r="K43" s="42">
        <v>549235086770.5</v>
      </c>
      <c r="L43" s="28">
        <f t="shared" si="29"/>
        <v>0.16951219076463919</v>
      </c>
      <c r="M43" s="29">
        <v>100</v>
      </c>
      <c r="N43" s="29">
        <v>100</v>
      </c>
      <c r="O43" s="30">
        <v>15301</v>
      </c>
      <c r="P43" s="48">
        <v>0.2044</v>
      </c>
      <c r="Q43" s="48">
        <v>0.2044</v>
      </c>
      <c r="R43" s="54">
        <f t="shared" si="21"/>
        <v>4.5087139548641623E-2</v>
      </c>
      <c r="S43" s="54">
        <f t="shared" si="22"/>
        <v>0</v>
      </c>
      <c r="T43" s="54">
        <f t="shared" si="23"/>
        <v>-5.8457941049781553E-2</v>
      </c>
      <c r="U43" s="55">
        <f t="shared" si="24"/>
        <v>-1.100000000000001E-2</v>
      </c>
      <c r="V43" s="56">
        <f t="shared" si="25"/>
        <v>-1.100000000000001E-2</v>
      </c>
    </row>
    <row r="44" spans="1:22">
      <c r="A44" s="139">
        <v>36</v>
      </c>
      <c r="B44" s="137" t="s">
        <v>75</v>
      </c>
      <c r="C44" s="138" t="s">
        <v>76</v>
      </c>
      <c r="D44" s="42">
        <v>2112448037.3099999</v>
      </c>
      <c r="E44" s="28">
        <f t="shared" si="28"/>
        <v>6.5197162982871826E-4</v>
      </c>
      <c r="F44" s="29">
        <v>1</v>
      </c>
      <c r="G44" s="29">
        <v>1</v>
      </c>
      <c r="H44" s="44">
        <v>1335</v>
      </c>
      <c r="I44" s="51">
        <v>3.5999999999999999E-3</v>
      </c>
      <c r="J44" s="51">
        <v>-8.5000000000000006E-3</v>
      </c>
      <c r="K44" s="42">
        <v>2119792952.8699999</v>
      </c>
      <c r="L44" s="28">
        <f t="shared" si="29"/>
        <v>6.5423851473382828E-4</v>
      </c>
      <c r="M44" s="29">
        <v>1</v>
      </c>
      <c r="N44" s="29">
        <v>1</v>
      </c>
      <c r="O44" s="44">
        <v>1346</v>
      </c>
      <c r="P44" s="51">
        <v>0.19409999999999999</v>
      </c>
      <c r="Q44" s="51">
        <v>0.19409999999999999</v>
      </c>
      <c r="R44" s="54">
        <f t="shared" si="21"/>
        <v>3.4769686308369452E-3</v>
      </c>
      <c r="S44" s="54">
        <f t="shared" si="22"/>
        <v>0</v>
      </c>
      <c r="T44" s="54">
        <f t="shared" si="23"/>
        <v>8.2397003745318352E-3</v>
      </c>
      <c r="U44" s="55">
        <f t="shared" si="24"/>
        <v>0.1905</v>
      </c>
      <c r="V44" s="56">
        <f t="shared" si="25"/>
        <v>0.2026</v>
      </c>
    </row>
    <row r="45" spans="1:22">
      <c r="A45" s="139">
        <v>37</v>
      </c>
      <c r="B45" s="137" t="s">
        <v>298</v>
      </c>
      <c r="C45" s="138" t="s">
        <v>299</v>
      </c>
      <c r="D45" s="42">
        <v>1705691697.5</v>
      </c>
      <c r="E45" s="28">
        <f t="shared" si="28"/>
        <v>5.2643311284498767E-4</v>
      </c>
      <c r="F45" s="29">
        <v>1</v>
      </c>
      <c r="G45" s="29">
        <v>1</v>
      </c>
      <c r="H45" s="44">
        <v>259</v>
      </c>
      <c r="I45" s="51">
        <v>0.19950000000000001</v>
      </c>
      <c r="J45" s="51">
        <v>0.19950000000000001</v>
      </c>
      <c r="K45" s="42">
        <v>1772744149.74</v>
      </c>
      <c r="L45" s="28">
        <f t="shared" si="29"/>
        <v>5.4712772677101523E-4</v>
      </c>
      <c r="M45" s="29">
        <v>1</v>
      </c>
      <c r="N45" s="29">
        <v>1</v>
      </c>
      <c r="O45" s="44">
        <v>275</v>
      </c>
      <c r="P45" s="51">
        <v>0.1865</v>
      </c>
      <c r="Q45" s="51">
        <v>0.1865</v>
      </c>
      <c r="R45" s="54">
        <f t="shared" si="21"/>
        <v>3.9311003470485037E-2</v>
      </c>
      <c r="S45" s="54">
        <f t="shared" si="22"/>
        <v>0</v>
      </c>
      <c r="T45" s="54">
        <f t="shared" si="23"/>
        <v>6.1776061776061778E-2</v>
      </c>
      <c r="U45" s="55">
        <f t="shared" si="24"/>
        <v>-1.3000000000000012E-2</v>
      </c>
      <c r="V45" s="56">
        <f t="shared" si="25"/>
        <v>-1.3000000000000012E-2</v>
      </c>
    </row>
    <row r="46" spans="1:22">
      <c r="A46" s="139">
        <v>38</v>
      </c>
      <c r="B46" s="137" t="s">
        <v>77</v>
      </c>
      <c r="C46" s="138" t="s">
        <v>78</v>
      </c>
      <c r="D46" s="42">
        <v>1124780699.29</v>
      </c>
      <c r="E46" s="28">
        <f t="shared" si="28"/>
        <v>3.4714468368642379E-4</v>
      </c>
      <c r="F46" s="29">
        <v>10</v>
      </c>
      <c r="G46" s="29">
        <v>10</v>
      </c>
      <c r="H46" s="30">
        <v>470</v>
      </c>
      <c r="I46" s="48">
        <v>0.1817</v>
      </c>
      <c r="J46" s="48">
        <v>0.1817</v>
      </c>
      <c r="K46" s="42">
        <v>1197568021.97</v>
      </c>
      <c r="L46" s="28">
        <f t="shared" si="29"/>
        <v>3.696092691154591E-4</v>
      </c>
      <c r="M46" s="29">
        <v>10</v>
      </c>
      <c r="N46" s="29">
        <v>10</v>
      </c>
      <c r="O46" s="30">
        <v>468</v>
      </c>
      <c r="P46" s="48">
        <v>0.1787</v>
      </c>
      <c r="Q46" s="48">
        <v>0.1787</v>
      </c>
      <c r="R46" s="54">
        <f t="shared" si="21"/>
        <v>6.4712457038021642E-2</v>
      </c>
      <c r="S46" s="54">
        <f t="shared" si="22"/>
        <v>0</v>
      </c>
      <c r="T46" s="54">
        <f t="shared" si="23"/>
        <v>-4.2553191489361703E-3</v>
      </c>
      <c r="U46" s="55">
        <f t="shared" si="24"/>
        <v>-3.0000000000000027E-3</v>
      </c>
      <c r="V46" s="56">
        <f t="shared" si="25"/>
        <v>-3.0000000000000027E-3</v>
      </c>
    </row>
    <row r="47" spans="1:22">
      <c r="A47" s="139">
        <v>39</v>
      </c>
      <c r="B47" s="137" t="s">
        <v>79</v>
      </c>
      <c r="C47" s="138" t="s">
        <v>80</v>
      </c>
      <c r="D47" s="42">
        <v>7371066016.3400002</v>
      </c>
      <c r="E47" s="28">
        <f t="shared" si="28"/>
        <v>2.2749558045308885E-3</v>
      </c>
      <c r="F47" s="29">
        <v>100</v>
      </c>
      <c r="G47" s="29">
        <v>100</v>
      </c>
      <c r="H47" s="30">
        <v>921</v>
      </c>
      <c r="I47" s="48">
        <v>0.16669999999999999</v>
      </c>
      <c r="J47" s="48">
        <v>0.16669999999999999</v>
      </c>
      <c r="K47" s="42">
        <v>7665865124.8400002</v>
      </c>
      <c r="L47" s="28">
        <f t="shared" si="29"/>
        <v>2.3659406012435913E-3</v>
      </c>
      <c r="M47" s="29">
        <v>100</v>
      </c>
      <c r="N47" s="29">
        <v>100</v>
      </c>
      <c r="O47" s="30">
        <v>926</v>
      </c>
      <c r="P47" s="48">
        <v>0.197854</v>
      </c>
      <c r="Q47" s="48">
        <v>0.197854</v>
      </c>
      <c r="R47" s="54">
        <f t="shared" si="21"/>
        <v>3.9994094184816212E-2</v>
      </c>
      <c r="S47" s="54">
        <f t="shared" si="22"/>
        <v>0</v>
      </c>
      <c r="T47" s="54">
        <f t="shared" si="23"/>
        <v>5.4288816503800215E-3</v>
      </c>
      <c r="U47" s="55">
        <f t="shared" si="24"/>
        <v>3.1154000000000015E-2</v>
      </c>
      <c r="V47" s="56">
        <f t="shared" si="25"/>
        <v>3.1154000000000015E-2</v>
      </c>
    </row>
    <row r="48" spans="1:22">
      <c r="A48" s="139">
        <v>40</v>
      </c>
      <c r="B48" s="137" t="s">
        <v>81</v>
      </c>
      <c r="C48" s="137" t="s">
        <v>82</v>
      </c>
      <c r="D48" s="130">
        <v>100103765.33742501</v>
      </c>
      <c r="E48" s="28">
        <f>(D48/$D$190)</f>
        <v>1.5226877664629591E-3</v>
      </c>
      <c r="F48" s="31">
        <v>1</v>
      </c>
      <c r="G48" s="31">
        <v>1</v>
      </c>
      <c r="H48" s="30">
        <v>91</v>
      </c>
      <c r="I48" s="48">
        <v>0.18010000000000001</v>
      </c>
      <c r="J48" s="48">
        <v>0.18010000000000001</v>
      </c>
      <c r="K48" s="130">
        <v>97883799.52638489</v>
      </c>
      <c r="L48" s="52">
        <f>(K48/$K$190)</f>
        <v>1.475541725692372E-3</v>
      </c>
      <c r="M48" s="31">
        <v>1</v>
      </c>
      <c r="N48" s="31">
        <v>1</v>
      </c>
      <c r="O48" s="30">
        <v>85</v>
      </c>
      <c r="P48" s="48">
        <v>-2.2176646438394832E-2</v>
      </c>
      <c r="Q48" s="48">
        <v>0.18970000000000001</v>
      </c>
      <c r="R48" s="55">
        <f t="shared" si="21"/>
        <v>-2.2176646438394832E-2</v>
      </c>
      <c r="S48" s="55">
        <f t="shared" si="22"/>
        <v>0</v>
      </c>
      <c r="T48" s="55">
        <f t="shared" si="23"/>
        <v>-6.5934065934065936E-2</v>
      </c>
      <c r="U48" s="55">
        <f t="shared" si="24"/>
        <v>-0.20227664643839485</v>
      </c>
      <c r="V48" s="56">
        <f t="shared" si="25"/>
        <v>9.5999999999999974E-3</v>
      </c>
    </row>
    <row r="49" spans="1:22">
      <c r="A49" s="139">
        <v>41</v>
      </c>
      <c r="B49" s="137" t="s">
        <v>285</v>
      </c>
      <c r="C49" s="138" t="s">
        <v>37</v>
      </c>
      <c r="D49" s="42">
        <v>453564799.94999999</v>
      </c>
      <c r="E49" s="28">
        <f t="shared" ref="E49" si="30">(D49/$K$69)</f>
        <v>1.3998516253819815E-4</v>
      </c>
      <c r="F49" s="29">
        <v>100</v>
      </c>
      <c r="G49" s="29">
        <v>100</v>
      </c>
      <c r="H49" s="30">
        <v>2996</v>
      </c>
      <c r="I49" s="48">
        <v>0.17873775</v>
      </c>
      <c r="J49" s="48">
        <v>0.17873775</v>
      </c>
      <c r="K49" s="42">
        <v>454498380.33999997</v>
      </c>
      <c r="L49" s="28">
        <f t="shared" ref="L49" si="31">(K49/$K$69)</f>
        <v>1.4027329645566934E-4</v>
      </c>
      <c r="M49" s="29">
        <v>100</v>
      </c>
      <c r="N49" s="29">
        <v>100</v>
      </c>
      <c r="O49" s="30">
        <v>3110</v>
      </c>
      <c r="P49" s="48">
        <v>0.19040000000000001</v>
      </c>
      <c r="Q49" s="48">
        <v>0.19040000000000001</v>
      </c>
      <c r="R49" s="54">
        <f t="shared" ref="R49" si="32">((K49-D49)/D49)</f>
        <v>2.0583175548519231E-3</v>
      </c>
      <c r="S49" s="54">
        <f t="shared" ref="S49" si="33">((N49-G49)/G49)</f>
        <v>0</v>
      </c>
      <c r="T49" s="54">
        <f t="shared" ref="T49" si="34">((O49-H49)/H49)</f>
        <v>3.8050734312416554E-2</v>
      </c>
      <c r="U49" s="55">
        <f t="shared" ref="U49" si="35">P49-I49</f>
        <v>1.1662250000000013E-2</v>
      </c>
      <c r="V49" s="56">
        <f t="shared" ref="V49" si="36">Q49-J49</f>
        <v>1.1662250000000013E-2</v>
      </c>
    </row>
    <row r="50" spans="1:22">
      <c r="A50" s="139">
        <v>42</v>
      </c>
      <c r="B50" s="137" t="s">
        <v>83</v>
      </c>
      <c r="C50" s="138" t="s">
        <v>37</v>
      </c>
      <c r="D50" s="42">
        <v>95801186692.910004</v>
      </c>
      <c r="E50" s="28">
        <f t="shared" ref="E50:E68" si="37">(D50/$K$69)</f>
        <v>2.9567428274940306E-2</v>
      </c>
      <c r="F50" s="29">
        <v>100</v>
      </c>
      <c r="G50" s="29">
        <v>100</v>
      </c>
      <c r="H50" s="30">
        <v>12762</v>
      </c>
      <c r="I50" s="48">
        <v>0.21104248</v>
      </c>
      <c r="J50" s="48">
        <v>0.21104248</v>
      </c>
      <c r="K50" s="42">
        <v>98868940891.429993</v>
      </c>
      <c r="L50" s="28">
        <f t="shared" ref="L50:L68" si="38">(K50/$K$69)</f>
        <v>3.0514239116862785E-2</v>
      </c>
      <c r="M50" s="29">
        <v>100</v>
      </c>
      <c r="N50" s="29">
        <v>100</v>
      </c>
      <c r="O50" s="30">
        <v>13054</v>
      </c>
      <c r="P50" s="48">
        <v>0.20130000000000001</v>
      </c>
      <c r="Q50" s="48">
        <v>0.20130000000000001</v>
      </c>
      <c r="R50" s="54">
        <f t="shared" si="21"/>
        <v>3.2022089750867622E-2</v>
      </c>
      <c r="S50" s="54">
        <f t="shared" si="22"/>
        <v>0</v>
      </c>
      <c r="T50" s="54">
        <f t="shared" si="23"/>
        <v>2.288042626547563E-2</v>
      </c>
      <c r="U50" s="55">
        <f t="shared" si="24"/>
        <v>-9.7424799999999978E-3</v>
      </c>
      <c r="V50" s="56">
        <f t="shared" si="25"/>
        <v>-9.7424799999999978E-3</v>
      </c>
    </row>
    <row r="51" spans="1:22">
      <c r="A51" s="139">
        <v>43</v>
      </c>
      <c r="B51" s="137" t="s">
        <v>84</v>
      </c>
      <c r="C51" s="138" t="s">
        <v>41</v>
      </c>
      <c r="D51" s="42">
        <v>21937407187.27</v>
      </c>
      <c r="E51" s="28">
        <f t="shared" si="37"/>
        <v>6.7706125147170993E-3</v>
      </c>
      <c r="F51" s="29">
        <v>1</v>
      </c>
      <c r="G51" s="29">
        <v>1</v>
      </c>
      <c r="H51" s="30">
        <v>1883</v>
      </c>
      <c r="I51" s="48">
        <v>0.2097</v>
      </c>
      <c r="J51" s="48">
        <v>0.2097</v>
      </c>
      <c r="K51" s="42">
        <v>22963171517.490002</v>
      </c>
      <c r="L51" s="28">
        <f t="shared" si="38"/>
        <v>7.0871974580538882E-3</v>
      </c>
      <c r="M51" s="29">
        <v>1</v>
      </c>
      <c r="N51" s="29">
        <v>1</v>
      </c>
      <c r="O51" s="30">
        <v>1921</v>
      </c>
      <c r="P51" s="48">
        <v>0.1993</v>
      </c>
      <c r="Q51" s="48">
        <v>0.1993</v>
      </c>
      <c r="R51" s="54">
        <f t="shared" si="21"/>
        <v>4.6758685812935963E-2</v>
      </c>
      <c r="S51" s="54">
        <f t="shared" si="22"/>
        <v>0</v>
      </c>
      <c r="T51" s="54">
        <f t="shared" si="23"/>
        <v>2.0180562931492299E-2</v>
      </c>
      <c r="U51" s="55">
        <f t="shared" si="24"/>
        <v>-1.0399999999999993E-2</v>
      </c>
      <c r="V51" s="56">
        <f t="shared" si="25"/>
        <v>-1.0399999999999993E-2</v>
      </c>
    </row>
    <row r="52" spans="1:22">
      <c r="A52" s="139">
        <v>44</v>
      </c>
      <c r="B52" s="137" t="s">
        <v>309</v>
      </c>
      <c r="C52" s="138" t="s">
        <v>308</v>
      </c>
      <c r="D52" s="42">
        <v>1977035605.6862075</v>
      </c>
      <c r="E52" s="28">
        <f t="shared" si="37"/>
        <v>6.1017885567023222E-4</v>
      </c>
      <c r="F52" s="29">
        <v>100</v>
      </c>
      <c r="G52" s="29">
        <v>100</v>
      </c>
      <c r="H52" s="30">
        <v>153</v>
      </c>
      <c r="I52" s="48">
        <v>0.21210000000000001</v>
      </c>
      <c r="J52" s="48">
        <v>0.21210000000000001</v>
      </c>
      <c r="K52" s="42">
        <v>2053913554.7733574</v>
      </c>
      <c r="L52" s="28">
        <f t="shared" si="38"/>
        <v>6.3390594427974146E-4</v>
      </c>
      <c r="M52" s="29">
        <v>100</v>
      </c>
      <c r="N52" s="29">
        <v>100</v>
      </c>
      <c r="O52" s="30">
        <v>156</v>
      </c>
      <c r="P52" s="48">
        <v>0.2039</v>
      </c>
      <c r="Q52" s="48">
        <v>0.2039</v>
      </c>
      <c r="R52" s="54">
        <f t="shared" si="21"/>
        <v>3.8885465120627585E-2</v>
      </c>
      <c r="S52" s="54">
        <f t="shared" si="22"/>
        <v>0</v>
      </c>
      <c r="T52" s="54">
        <f t="shared" si="23"/>
        <v>1.9607843137254902E-2</v>
      </c>
      <c r="U52" s="55">
        <f t="shared" si="24"/>
        <v>-8.2000000000000128E-3</v>
      </c>
      <c r="V52" s="56">
        <f t="shared" si="25"/>
        <v>-8.2000000000000128E-3</v>
      </c>
    </row>
    <row r="53" spans="1:22">
      <c r="A53" s="139">
        <v>45</v>
      </c>
      <c r="B53" s="137" t="s">
        <v>85</v>
      </c>
      <c r="C53" s="138" t="s">
        <v>43</v>
      </c>
      <c r="D53" s="45">
        <v>45458788561.260002</v>
      </c>
      <c r="E53" s="28">
        <f t="shared" si="37"/>
        <v>1.4030092075573477E-2</v>
      </c>
      <c r="F53" s="29">
        <v>10</v>
      </c>
      <c r="G53" s="29">
        <v>10</v>
      </c>
      <c r="H53" s="30">
        <v>5065</v>
      </c>
      <c r="I53" s="48">
        <v>0.2286</v>
      </c>
      <c r="J53" s="48">
        <v>0.2286</v>
      </c>
      <c r="K53" s="45">
        <v>45331403160.909996</v>
      </c>
      <c r="L53" s="28">
        <f t="shared" si="38"/>
        <v>1.3990776709886028E-2</v>
      </c>
      <c r="M53" s="29">
        <v>10</v>
      </c>
      <c r="N53" s="29">
        <v>10</v>
      </c>
      <c r="O53" s="30">
        <v>5408</v>
      </c>
      <c r="P53" s="48">
        <v>0.2286</v>
      </c>
      <c r="Q53" s="48">
        <v>0.2286</v>
      </c>
      <c r="R53" s="54">
        <f t="shared" si="21"/>
        <v>-2.8022172253521949E-3</v>
      </c>
      <c r="S53" s="54">
        <f t="shared" si="22"/>
        <v>0</v>
      </c>
      <c r="T53" s="54">
        <f t="shared" si="23"/>
        <v>6.7719644619940775E-2</v>
      </c>
      <c r="U53" s="55">
        <f t="shared" si="24"/>
        <v>0</v>
      </c>
      <c r="V53" s="56">
        <f t="shared" si="25"/>
        <v>0</v>
      </c>
    </row>
    <row r="54" spans="1:22">
      <c r="A54" s="139">
        <v>46</v>
      </c>
      <c r="B54" s="137" t="s">
        <v>86</v>
      </c>
      <c r="C54" s="138" t="s">
        <v>87</v>
      </c>
      <c r="D54" s="42">
        <v>21020685258</v>
      </c>
      <c r="E54" s="28">
        <f t="shared" si="37"/>
        <v>6.4876816781853884E-3</v>
      </c>
      <c r="F54" s="29">
        <v>100</v>
      </c>
      <c r="G54" s="29">
        <v>100</v>
      </c>
      <c r="H54" s="30">
        <v>4315</v>
      </c>
      <c r="I54" s="48">
        <v>0.2114</v>
      </c>
      <c r="J54" s="48">
        <v>0.2114</v>
      </c>
      <c r="K54" s="42">
        <v>22238329763</v>
      </c>
      <c r="L54" s="28">
        <f t="shared" si="38"/>
        <v>6.8634872168095475E-3</v>
      </c>
      <c r="M54" s="29">
        <v>100</v>
      </c>
      <c r="N54" s="29">
        <v>100</v>
      </c>
      <c r="O54" s="30">
        <v>4363</v>
      </c>
      <c r="P54" s="48">
        <v>0.20319999999999999</v>
      </c>
      <c r="Q54" s="48">
        <v>0.20319999999999999</v>
      </c>
      <c r="R54" s="54">
        <f t="shared" si="21"/>
        <v>5.7926013831380303E-2</v>
      </c>
      <c r="S54" s="54">
        <f t="shared" si="22"/>
        <v>0</v>
      </c>
      <c r="T54" s="54">
        <f t="shared" si="23"/>
        <v>1.1123986095017382E-2</v>
      </c>
      <c r="U54" s="55">
        <f t="shared" si="24"/>
        <v>-8.2000000000000128E-3</v>
      </c>
      <c r="V54" s="56">
        <f t="shared" si="25"/>
        <v>-8.2000000000000128E-3</v>
      </c>
    </row>
    <row r="55" spans="1:22">
      <c r="A55" s="139">
        <v>47</v>
      </c>
      <c r="B55" s="137" t="s">
        <v>88</v>
      </c>
      <c r="C55" s="138" t="s">
        <v>89</v>
      </c>
      <c r="D55" s="42">
        <v>285077509.66000003</v>
      </c>
      <c r="E55" s="28">
        <f t="shared" si="37"/>
        <v>8.7984388405226943E-5</v>
      </c>
      <c r="F55" s="29">
        <v>1</v>
      </c>
      <c r="G55" s="29">
        <v>1</v>
      </c>
      <c r="H55" s="30">
        <v>100</v>
      </c>
      <c r="I55" s="48">
        <v>0.18160000000000001</v>
      </c>
      <c r="J55" s="48">
        <v>0.18160000000000001</v>
      </c>
      <c r="K55" s="42">
        <v>284636672.99000001</v>
      </c>
      <c r="L55" s="28">
        <f t="shared" si="38"/>
        <v>8.7848331566359482E-5</v>
      </c>
      <c r="M55" s="29">
        <v>1</v>
      </c>
      <c r="N55" s="29">
        <v>1</v>
      </c>
      <c r="O55" s="30">
        <v>100</v>
      </c>
      <c r="P55" s="48">
        <v>0.191</v>
      </c>
      <c r="Q55" s="48">
        <v>0.191</v>
      </c>
      <c r="R55" s="54">
        <f t="shared" si="21"/>
        <v>-1.5463747754980183E-3</v>
      </c>
      <c r="S55" s="54">
        <f t="shared" si="22"/>
        <v>0</v>
      </c>
      <c r="T55" s="54">
        <f t="shared" si="23"/>
        <v>0</v>
      </c>
      <c r="U55" s="55">
        <f t="shared" si="24"/>
        <v>9.3999999999999917E-3</v>
      </c>
      <c r="V55" s="56">
        <f t="shared" si="25"/>
        <v>9.3999999999999917E-3</v>
      </c>
    </row>
    <row r="56" spans="1:22">
      <c r="A56" s="139">
        <v>48</v>
      </c>
      <c r="B56" s="137" t="s">
        <v>90</v>
      </c>
      <c r="C56" s="138" t="s">
        <v>45</v>
      </c>
      <c r="D56" s="45">
        <v>1472097800.01</v>
      </c>
      <c r="E56" s="28">
        <f t="shared" si="37"/>
        <v>4.5433827719708558E-4</v>
      </c>
      <c r="F56" s="29">
        <v>10</v>
      </c>
      <c r="G56" s="29">
        <v>10</v>
      </c>
      <c r="H56" s="30">
        <v>818</v>
      </c>
      <c r="I56" s="48">
        <v>0.17660000000000001</v>
      </c>
      <c r="J56" s="48">
        <v>0.17660000000000001</v>
      </c>
      <c r="K56" s="45">
        <v>1423174778.53</v>
      </c>
      <c r="L56" s="28">
        <f t="shared" si="38"/>
        <v>4.392390077773852E-4</v>
      </c>
      <c r="M56" s="29">
        <v>10</v>
      </c>
      <c r="N56" s="29">
        <v>10</v>
      </c>
      <c r="O56" s="30">
        <v>828</v>
      </c>
      <c r="P56" s="48">
        <v>0.191</v>
      </c>
      <c r="Q56" s="48">
        <v>0.191</v>
      </c>
      <c r="R56" s="54">
        <f t="shared" si="21"/>
        <v>-3.3233540244179217E-2</v>
      </c>
      <c r="S56" s="54">
        <f t="shared" si="22"/>
        <v>0</v>
      </c>
      <c r="T56" s="54">
        <f t="shared" si="23"/>
        <v>1.2224938875305624E-2</v>
      </c>
      <c r="U56" s="55">
        <f t="shared" si="24"/>
        <v>1.4399999999999996E-2</v>
      </c>
      <c r="V56" s="56">
        <f t="shared" si="25"/>
        <v>1.4399999999999996E-2</v>
      </c>
    </row>
    <row r="57" spans="1:22">
      <c r="A57" s="139">
        <v>49</v>
      </c>
      <c r="B57" s="137" t="s">
        <v>91</v>
      </c>
      <c r="C57" s="138" t="s">
        <v>92</v>
      </c>
      <c r="D57" s="45">
        <v>930574975</v>
      </c>
      <c r="E57" s="28">
        <f t="shared" si="37"/>
        <v>2.8720634657653107E-4</v>
      </c>
      <c r="F57" s="29">
        <v>1</v>
      </c>
      <c r="G57" s="29">
        <v>1</v>
      </c>
      <c r="H57" s="30">
        <v>107</v>
      </c>
      <c r="I57" s="48">
        <v>0.22270000000000001</v>
      </c>
      <c r="J57" s="48">
        <v>0.22270000000000001</v>
      </c>
      <c r="K57" s="45">
        <v>973224561</v>
      </c>
      <c r="L57" s="28">
        <f t="shared" si="38"/>
        <v>3.0036942543330088E-4</v>
      </c>
      <c r="M57" s="29">
        <v>1</v>
      </c>
      <c r="N57" s="29">
        <v>1</v>
      </c>
      <c r="O57" s="30">
        <v>107</v>
      </c>
      <c r="P57" s="48">
        <v>0.21299999999999999</v>
      </c>
      <c r="Q57" s="48">
        <v>0.21299999999999999</v>
      </c>
      <c r="R57" s="54">
        <f t="shared" si="21"/>
        <v>4.5831434484900048E-2</v>
      </c>
      <c r="S57" s="54">
        <f t="shared" si="22"/>
        <v>0</v>
      </c>
      <c r="T57" s="54">
        <f t="shared" si="23"/>
        <v>0</v>
      </c>
      <c r="U57" s="55">
        <f t="shared" si="24"/>
        <v>-9.7000000000000142E-3</v>
      </c>
      <c r="V57" s="56">
        <f t="shared" si="25"/>
        <v>-9.7000000000000142E-3</v>
      </c>
    </row>
    <row r="58" spans="1:22">
      <c r="A58" s="139">
        <v>50</v>
      </c>
      <c r="B58" s="137" t="s">
        <v>304</v>
      </c>
      <c r="C58" s="138" t="s">
        <v>303</v>
      </c>
      <c r="D58" s="45">
        <v>616085376.07000005</v>
      </c>
      <c r="E58" s="28">
        <f t="shared" si="37"/>
        <v>1.9014441049233343E-4</v>
      </c>
      <c r="F58" s="29">
        <v>1</v>
      </c>
      <c r="G58" s="29">
        <v>1</v>
      </c>
      <c r="H58" s="30">
        <v>514</v>
      </c>
      <c r="I58" s="48">
        <v>0.18140000000000001</v>
      </c>
      <c r="J58" s="48">
        <v>0.18140000000000001</v>
      </c>
      <c r="K58" s="45">
        <v>629731799.25</v>
      </c>
      <c r="L58" s="28">
        <f t="shared" si="38"/>
        <v>1.9435614995520162E-4</v>
      </c>
      <c r="M58" s="29">
        <v>1</v>
      </c>
      <c r="N58" s="29">
        <v>1</v>
      </c>
      <c r="O58" s="30">
        <v>556</v>
      </c>
      <c r="P58" s="48">
        <v>0.17549999999999999</v>
      </c>
      <c r="Q58" s="48">
        <v>0.17549999999999999</v>
      </c>
      <c r="R58" s="54">
        <f t="shared" si="21"/>
        <v>2.215021441841436E-2</v>
      </c>
      <c r="S58" s="54">
        <f t="shared" si="22"/>
        <v>0</v>
      </c>
      <c r="T58" s="54">
        <f t="shared" si="23"/>
        <v>8.171206225680934E-2</v>
      </c>
      <c r="U58" s="55">
        <f t="shared" si="24"/>
        <v>-5.9000000000000163E-3</v>
      </c>
      <c r="V58" s="56">
        <f t="shared" si="25"/>
        <v>-5.9000000000000163E-3</v>
      </c>
    </row>
    <row r="59" spans="1:22">
      <c r="A59" s="139">
        <v>51</v>
      </c>
      <c r="B59" s="137" t="s">
        <v>93</v>
      </c>
      <c r="C59" s="138" t="s">
        <v>94</v>
      </c>
      <c r="D59" s="45">
        <v>11548372503.542101</v>
      </c>
      <c r="E59" s="28">
        <f t="shared" si="37"/>
        <v>3.5642113368105507E-3</v>
      </c>
      <c r="F59" s="29">
        <v>100</v>
      </c>
      <c r="G59" s="29">
        <v>100</v>
      </c>
      <c r="H59" s="30">
        <v>128</v>
      </c>
      <c r="I59" s="48">
        <v>0.21149999999999999</v>
      </c>
      <c r="J59" s="48">
        <v>0.21149999999999999</v>
      </c>
      <c r="K59" s="45">
        <v>12171076417.548201</v>
      </c>
      <c r="L59" s="28">
        <f t="shared" si="38"/>
        <v>3.7563984479464354E-3</v>
      </c>
      <c r="M59" s="29">
        <v>100</v>
      </c>
      <c r="N59" s="29">
        <v>100</v>
      </c>
      <c r="O59" s="30">
        <v>129</v>
      </c>
      <c r="P59" s="48">
        <v>0.2036</v>
      </c>
      <c r="Q59" s="48">
        <v>0.2036</v>
      </c>
      <c r="R59" s="54">
        <f t="shared" si="21"/>
        <v>5.3921356781235177E-2</v>
      </c>
      <c r="S59" s="54">
        <f t="shared" si="22"/>
        <v>0</v>
      </c>
      <c r="T59" s="54">
        <f t="shared" si="23"/>
        <v>7.8125E-3</v>
      </c>
      <c r="U59" s="55">
        <f t="shared" si="24"/>
        <v>-7.8999999999999904E-3</v>
      </c>
      <c r="V59" s="56">
        <f t="shared" si="25"/>
        <v>-7.8999999999999904E-3</v>
      </c>
    </row>
    <row r="60" spans="1:22">
      <c r="A60" s="139">
        <v>52</v>
      </c>
      <c r="B60" s="137" t="s">
        <v>95</v>
      </c>
      <c r="C60" s="138" t="s">
        <v>96</v>
      </c>
      <c r="D60" s="45">
        <v>71368997.260326654</v>
      </c>
      <c r="E60" s="28">
        <f t="shared" si="37"/>
        <v>2.2026843094473794E-5</v>
      </c>
      <c r="F60" s="29">
        <v>1000</v>
      </c>
      <c r="G60" s="29">
        <v>1000</v>
      </c>
      <c r="H60" s="30">
        <v>23</v>
      </c>
      <c r="I60" s="48">
        <v>0.18859999999999999</v>
      </c>
      <c r="J60" s="48">
        <v>0.18859999999999999</v>
      </c>
      <c r="K60" s="45">
        <v>72805243.835734978</v>
      </c>
      <c r="L60" s="28">
        <f t="shared" si="38"/>
        <v>2.2470116492950987E-5</v>
      </c>
      <c r="M60" s="29">
        <v>1000</v>
      </c>
      <c r="N60" s="29">
        <v>1000</v>
      </c>
      <c r="O60" s="30">
        <v>23</v>
      </c>
      <c r="P60" s="48">
        <v>0.18859999999999999</v>
      </c>
      <c r="Q60" s="48">
        <v>0.18859999999999999</v>
      </c>
      <c r="R60" s="54">
        <f t="shared" si="21"/>
        <v>2.0124236440781835E-2</v>
      </c>
      <c r="S60" s="54">
        <f t="shared" si="22"/>
        <v>0</v>
      </c>
      <c r="T60" s="54">
        <f t="shared" si="23"/>
        <v>0</v>
      </c>
      <c r="U60" s="55">
        <f t="shared" si="24"/>
        <v>0</v>
      </c>
      <c r="V60" s="56">
        <f t="shared" si="25"/>
        <v>0</v>
      </c>
    </row>
    <row r="61" spans="1:22">
      <c r="A61" s="139">
        <v>53</v>
      </c>
      <c r="B61" s="137" t="s">
        <v>97</v>
      </c>
      <c r="C61" s="138" t="s">
        <v>49</v>
      </c>
      <c r="D61" s="42">
        <v>1525148351013.6899</v>
      </c>
      <c r="E61" s="28">
        <f t="shared" si="37"/>
        <v>0.47071143932477094</v>
      </c>
      <c r="F61" s="29">
        <v>100</v>
      </c>
      <c r="G61" s="29">
        <v>100</v>
      </c>
      <c r="H61" s="30">
        <v>192628</v>
      </c>
      <c r="I61" s="48">
        <v>0.20080000000000001</v>
      </c>
      <c r="J61" s="48">
        <v>0.20080000000000001</v>
      </c>
      <c r="K61" s="42">
        <v>1562995989384.29</v>
      </c>
      <c r="L61" s="28">
        <f t="shared" si="38"/>
        <v>0.48239247764515963</v>
      </c>
      <c r="M61" s="29">
        <v>100</v>
      </c>
      <c r="N61" s="29">
        <v>100</v>
      </c>
      <c r="O61" s="30">
        <v>195323</v>
      </c>
      <c r="P61" s="48">
        <v>0.20130000000000001</v>
      </c>
      <c r="Q61" s="48">
        <v>0.20130000000000001</v>
      </c>
      <c r="R61" s="54">
        <f t="shared" si="21"/>
        <v>2.4815709465537999E-2</v>
      </c>
      <c r="S61" s="54">
        <f t="shared" si="22"/>
        <v>0</v>
      </c>
      <c r="T61" s="54">
        <f t="shared" si="23"/>
        <v>1.3990697094918703E-2</v>
      </c>
      <c r="U61" s="55">
        <f t="shared" si="24"/>
        <v>5.0000000000000044E-4</v>
      </c>
      <c r="V61" s="56">
        <f t="shared" si="25"/>
        <v>5.0000000000000044E-4</v>
      </c>
    </row>
    <row r="62" spans="1:22">
      <c r="A62" s="139">
        <v>54</v>
      </c>
      <c r="B62" s="137" t="s">
        <v>98</v>
      </c>
      <c r="C62" s="137" t="s">
        <v>99</v>
      </c>
      <c r="D62" s="42">
        <v>4522450067.6400003</v>
      </c>
      <c r="E62" s="28">
        <f t="shared" si="37"/>
        <v>1.3957783052372221E-3</v>
      </c>
      <c r="F62" s="29">
        <v>100</v>
      </c>
      <c r="G62" s="29">
        <v>100</v>
      </c>
      <c r="H62" s="30">
        <v>644</v>
      </c>
      <c r="I62" s="48">
        <v>0.215</v>
      </c>
      <c r="J62" s="48">
        <v>0.215</v>
      </c>
      <c r="K62" s="42">
        <v>4707759102.04</v>
      </c>
      <c r="L62" s="28">
        <f t="shared" si="38"/>
        <v>1.4529708283411759E-3</v>
      </c>
      <c r="M62" s="29">
        <v>100</v>
      </c>
      <c r="N62" s="29">
        <v>100</v>
      </c>
      <c r="O62" s="30">
        <v>672</v>
      </c>
      <c r="P62" s="48">
        <v>0.2019</v>
      </c>
      <c r="Q62" s="48">
        <v>0.2019</v>
      </c>
      <c r="R62" s="54">
        <f t="shared" si="21"/>
        <v>4.0975363271772168E-2</v>
      </c>
      <c r="S62" s="54">
        <f t="shared" si="22"/>
        <v>0</v>
      </c>
      <c r="T62" s="54">
        <f t="shared" si="23"/>
        <v>4.3478260869565216E-2</v>
      </c>
      <c r="U62" s="55">
        <f t="shared" si="24"/>
        <v>-1.3100000000000001E-2</v>
      </c>
      <c r="V62" s="56">
        <f t="shared" si="25"/>
        <v>-1.3100000000000001E-2</v>
      </c>
    </row>
    <row r="63" spans="1:22">
      <c r="A63" s="139">
        <v>55</v>
      </c>
      <c r="B63" s="137" t="s">
        <v>100</v>
      </c>
      <c r="C63" s="138" t="s">
        <v>101</v>
      </c>
      <c r="D63" s="42">
        <v>5062250609.79</v>
      </c>
      <c r="E63" s="28">
        <f t="shared" si="37"/>
        <v>1.5623786821611042E-3</v>
      </c>
      <c r="F63" s="29">
        <v>1</v>
      </c>
      <c r="G63" s="29">
        <v>1</v>
      </c>
      <c r="H63" s="30">
        <v>498</v>
      </c>
      <c r="I63" s="48">
        <v>0.228052</v>
      </c>
      <c r="J63" s="48">
        <v>0.228052</v>
      </c>
      <c r="K63" s="42">
        <v>5021148024.5</v>
      </c>
      <c r="L63" s="28">
        <f t="shared" si="38"/>
        <v>1.5496930591074743E-3</v>
      </c>
      <c r="M63" s="29">
        <v>1</v>
      </c>
      <c r="N63" s="29">
        <v>1</v>
      </c>
      <c r="O63" s="30">
        <v>507</v>
      </c>
      <c r="P63" s="48">
        <v>0.20171500000000001</v>
      </c>
      <c r="Q63" s="48">
        <v>0.20171500000000001</v>
      </c>
      <c r="R63" s="54">
        <f t="shared" si="21"/>
        <v>-8.1194291745475319E-3</v>
      </c>
      <c r="S63" s="54">
        <f t="shared" si="22"/>
        <v>0</v>
      </c>
      <c r="T63" s="54">
        <f t="shared" si="23"/>
        <v>1.8072289156626505E-2</v>
      </c>
      <c r="U63" s="55">
        <f t="shared" si="24"/>
        <v>-2.6336999999999999E-2</v>
      </c>
      <c r="V63" s="56">
        <f t="shared" si="25"/>
        <v>-2.6336999999999999E-2</v>
      </c>
    </row>
    <row r="64" spans="1:22">
      <c r="A64" s="139">
        <v>56</v>
      </c>
      <c r="B64" s="137" t="s">
        <v>102</v>
      </c>
      <c r="C64" s="138" t="s">
        <v>52</v>
      </c>
      <c r="D64" s="42">
        <v>139224191223.60999</v>
      </c>
      <c r="E64" s="28">
        <f t="shared" si="37"/>
        <v>4.296920977958317E-2</v>
      </c>
      <c r="F64" s="29">
        <v>1</v>
      </c>
      <c r="G64" s="29">
        <v>1</v>
      </c>
      <c r="H64" s="30">
        <v>59730</v>
      </c>
      <c r="I64" s="48">
        <v>0.19980000000000001</v>
      </c>
      <c r="J64" s="48">
        <v>0.19980000000000001</v>
      </c>
      <c r="K64" s="42">
        <v>148617505842.42999</v>
      </c>
      <c r="L64" s="28">
        <f t="shared" si="38"/>
        <v>4.5868298672356395E-2</v>
      </c>
      <c r="M64" s="29">
        <v>1</v>
      </c>
      <c r="N64" s="29">
        <v>1</v>
      </c>
      <c r="O64" s="30">
        <v>60710</v>
      </c>
      <c r="P64" s="48">
        <v>0.19339999999999999</v>
      </c>
      <c r="Q64" s="48">
        <v>0.19339999999999999</v>
      </c>
      <c r="R64" s="54">
        <f t="shared" si="21"/>
        <v>6.7468983200866792E-2</v>
      </c>
      <c r="S64" s="54">
        <f t="shared" si="22"/>
        <v>0</v>
      </c>
      <c r="T64" s="54">
        <f t="shared" si="23"/>
        <v>1.6407165578436297E-2</v>
      </c>
      <c r="U64" s="55">
        <f t="shared" si="24"/>
        <v>-6.4000000000000168E-3</v>
      </c>
      <c r="V64" s="56">
        <f t="shared" si="25"/>
        <v>-6.4000000000000168E-3</v>
      </c>
    </row>
    <row r="65" spans="1:22">
      <c r="A65" s="139">
        <v>57</v>
      </c>
      <c r="B65" s="137" t="s">
        <v>311</v>
      </c>
      <c r="C65" s="138" t="s">
        <v>103</v>
      </c>
      <c r="D65" s="42">
        <v>1690420410.55</v>
      </c>
      <c r="E65" s="28">
        <f t="shared" si="37"/>
        <v>5.217198864524218E-4</v>
      </c>
      <c r="F65" s="29">
        <v>1</v>
      </c>
      <c r="G65" s="29">
        <v>1</v>
      </c>
      <c r="H65" s="30">
        <v>157</v>
      </c>
      <c r="I65" s="48">
        <v>0.20699999999999999</v>
      </c>
      <c r="J65" s="48">
        <v>0.20699999999999999</v>
      </c>
      <c r="K65" s="42">
        <v>1703955974.5999999</v>
      </c>
      <c r="L65" s="28">
        <f t="shared" si="38"/>
        <v>5.2589741110555693E-4</v>
      </c>
      <c r="M65" s="29">
        <v>1</v>
      </c>
      <c r="N65" s="29">
        <v>1</v>
      </c>
      <c r="O65" s="30">
        <v>156</v>
      </c>
      <c r="P65" s="48">
        <v>0.19819999999999999</v>
      </c>
      <c r="Q65" s="48">
        <v>0.19819999999999999</v>
      </c>
      <c r="R65" s="54">
        <f t="shared" si="21"/>
        <v>8.007217592454402E-3</v>
      </c>
      <c r="S65" s="54">
        <f t="shared" si="22"/>
        <v>0</v>
      </c>
      <c r="T65" s="54">
        <f t="shared" si="23"/>
        <v>-6.369426751592357E-3</v>
      </c>
      <c r="U65" s="55">
        <f t="shared" si="24"/>
        <v>-8.8000000000000023E-3</v>
      </c>
      <c r="V65" s="56">
        <f t="shared" si="25"/>
        <v>-8.8000000000000023E-3</v>
      </c>
    </row>
    <row r="66" spans="1:22">
      <c r="A66" s="139">
        <v>58</v>
      </c>
      <c r="B66" s="137" t="s">
        <v>104</v>
      </c>
      <c r="C66" s="138" t="s">
        <v>105</v>
      </c>
      <c r="D66" s="42">
        <v>4953001052.0100002</v>
      </c>
      <c r="E66" s="28">
        <f t="shared" si="37"/>
        <v>1.5286606398775199E-3</v>
      </c>
      <c r="F66" s="29">
        <v>1</v>
      </c>
      <c r="G66" s="29">
        <v>1</v>
      </c>
      <c r="H66" s="30">
        <v>439</v>
      </c>
      <c r="I66" s="48">
        <v>0.2109</v>
      </c>
      <c r="J66" s="48">
        <v>0.2109</v>
      </c>
      <c r="K66" s="42">
        <v>5028676075.3400002</v>
      </c>
      <c r="L66" s="28">
        <f t="shared" si="38"/>
        <v>1.5520164656428787E-3</v>
      </c>
      <c r="M66" s="29">
        <v>1</v>
      </c>
      <c r="N66" s="29">
        <v>1</v>
      </c>
      <c r="O66" s="30">
        <v>452</v>
      </c>
      <c r="P66" s="48">
        <v>0.20599999999999999</v>
      </c>
      <c r="Q66" s="48">
        <v>0.20710000000000001</v>
      </c>
      <c r="R66" s="54">
        <f t="shared" si="21"/>
        <v>1.5278620483896303E-2</v>
      </c>
      <c r="S66" s="54">
        <f t="shared" si="22"/>
        <v>0</v>
      </c>
      <c r="T66" s="54">
        <f t="shared" si="23"/>
        <v>2.9612756264236904E-2</v>
      </c>
      <c r="U66" s="55">
        <f t="shared" si="24"/>
        <v>-4.9000000000000155E-3</v>
      </c>
      <c r="V66" s="56">
        <f t="shared" si="25"/>
        <v>-3.7999999999999978E-3</v>
      </c>
    </row>
    <row r="67" spans="1:22">
      <c r="A67" s="139">
        <v>59</v>
      </c>
      <c r="B67" s="137" t="s">
        <v>106</v>
      </c>
      <c r="C67" s="138" t="s">
        <v>107</v>
      </c>
      <c r="D67" s="42">
        <v>5951634146.8400002</v>
      </c>
      <c r="E67" s="28">
        <f t="shared" si="37"/>
        <v>1.836871982801865E-3</v>
      </c>
      <c r="F67" s="29">
        <v>1</v>
      </c>
      <c r="G67" s="29">
        <v>1</v>
      </c>
      <c r="H67" s="30">
        <v>3807</v>
      </c>
      <c r="I67" s="48">
        <v>0.23</v>
      </c>
      <c r="J67" s="48">
        <v>0.23</v>
      </c>
      <c r="K67" s="42">
        <v>6009025751.5799999</v>
      </c>
      <c r="L67" s="28">
        <f t="shared" si="38"/>
        <v>1.8545849383018124E-3</v>
      </c>
      <c r="M67" s="29">
        <v>1</v>
      </c>
      <c r="N67" s="29">
        <v>1</v>
      </c>
      <c r="O67" s="30">
        <v>3866</v>
      </c>
      <c r="P67" s="48">
        <v>0.22489999999999999</v>
      </c>
      <c r="Q67" s="48">
        <v>0.22489999999999999</v>
      </c>
      <c r="R67" s="54">
        <f t="shared" si="21"/>
        <v>9.6429994391492701E-3</v>
      </c>
      <c r="S67" s="54">
        <f t="shared" si="22"/>
        <v>0</v>
      </c>
      <c r="T67" s="54">
        <f t="shared" si="23"/>
        <v>1.5497767270816917E-2</v>
      </c>
      <c r="U67" s="55">
        <f t="shared" si="24"/>
        <v>-5.1000000000000212E-3</v>
      </c>
      <c r="V67" s="56">
        <f t="shared" si="25"/>
        <v>-5.1000000000000212E-3</v>
      </c>
    </row>
    <row r="68" spans="1:22">
      <c r="A68" s="139">
        <v>60</v>
      </c>
      <c r="B68" s="137" t="s">
        <v>108</v>
      </c>
      <c r="C68" s="138" t="s">
        <v>109</v>
      </c>
      <c r="D68" s="42">
        <v>98962726575.330002</v>
      </c>
      <c r="E68" s="28">
        <f t="shared" si="37"/>
        <v>3.0543184494030384E-2</v>
      </c>
      <c r="F68" s="29">
        <v>1</v>
      </c>
      <c r="G68" s="29">
        <v>1</v>
      </c>
      <c r="H68" s="30">
        <v>5586</v>
      </c>
      <c r="I68" s="48">
        <v>0.20860000000000001</v>
      </c>
      <c r="J68" s="48">
        <v>0.20860000000000001</v>
      </c>
      <c r="K68" s="42">
        <v>99448437171.210007</v>
      </c>
      <c r="L68" s="28">
        <f t="shared" si="38"/>
        <v>3.0693090916923613E-2</v>
      </c>
      <c r="M68" s="29">
        <v>1</v>
      </c>
      <c r="N68" s="29">
        <v>1</v>
      </c>
      <c r="O68" s="30">
        <v>5741</v>
      </c>
      <c r="P68" s="48">
        <v>0.19950000000000001</v>
      </c>
      <c r="Q68" s="48">
        <v>0.19950000000000001</v>
      </c>
      <c r="R68" s="54">
        <f t="shared" si="21"/>
        <v>4.9080154992524796E-3</v>
      </c>
      <c r="S68" s="54">
        <f t="shared" si="22"/>
        <v>0</v>
      </c>
      <c r="T68" s="54">
        <f t="shared" si="23"/>
        <v>2.7747941281775868E-2</v>
      </c>
      <c r="U68" s="55">
        <f t="shared" si="24"/>
        <v>-9.099999999999997E-3</v>
      </c>
      <c r="V68" s="56">
        <f t="shared" si="25"/>
        <v>-9.099999999999997E-3</v>
      </c>
    </row>
    <row r="69" spans="1:22">
      <c r="A69" s="34"/>
      <c r="B69" s="35"/>
      <c r="C69" s="36" t="s">
        <v>53</v>
      </c>
      <c r="D69" s="46">
        <f>SUM(D28:D68)</f>
        <v>3143972127991.3154</v>
      </c>
      <c r="E69" s="38">
        <f>(D69/$D$222)</f>
        <v>0.54091978028065046</v>
      </c>
      <c r="F69" s="39"/>
      <c r="G69" s="43"/>
      <c r="H69" s="41">
        <f>SUM(H28:H68)</f>
        <v>447710</v>
      </c>
      <c r="I69" s="53"/>
      <c r="J69" s="53"/>
      <c r="K69" s="46">
        <f>SUM(K28:K68)</f>
        <v>3240091962076.584</v>
      </c>
      <c r="L69" s="38">
        <f>(K69/$K$222)</f>
        <v>0.548040002768586</v>
      </c>
      <c r="M69" s="39"/>
      <c r="N69" s="43"/>
      <c r="O69" s="41">
        <f>SUM(O28:O68)</f>
        <v>452929</v>
      </c>
      <c r="P69" s="53"/>
      <c r="Q69" s="53"/>
      <c r="R69" s="54">
        <f t="shared" si="21"/>
        <v>3.0572737343787949E-2</v>
      </c>
      <c r="S69" s="54" t="e">
        <f t="shared" si="22"/>
        <v>#DIV/0!</v>
      </c>
      <c r="T69" s="54">
        <f t="shared" si="23"/>
        <v>1.1657099461705121E-2</v>
      </c>
      <c r="U69" s="55">
        <f t="shared" si="24"/>
        <v>0</v>
      </c>
      <c r="V69" s="56">
        <f t="shared" si="25"/>
        <v>0</v>
      </c>
    </row>
    <row r="70" spans="1:22" ht="3" customHeight="1">
      <c r="A70" s="34"/>
      <c r="B70" s="155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</row>
    <row r="71" spans="1:22" ht="15" customHeight="1">
      <c r="A71" s="154" t="s">
        <v>110</v>
      </c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</row>
    <row r="72" spans="1:22">
      <c r="A72" s="139">
        <v>61</v>
      </c>
      <c r="B72" s="137" t="s">
        <v>111</v>
      </c>
      <c r="C72" s="138" t="s">
        <v>21</v>
      </c>
      <c r="D72" s="27">
        <v>546999982.48000002</v>
      </c>
      <c r="E72" s="28">
        <f>(D72/$D$110)</f>
        <v>2.6143510779501047E-3</v>
      </c>
      <c r="F72" s="58">
        <v>1.5002</v>
      </c>
      <c r="G72" s="58">
        <v>1.5002</v>
      </c>
      <c r="H72" s="30">
        <v>477</v>
      </c>
      <c r="I72" s="48">
        <v>-4.0000000000000002E-4</v>
      </c>
      <c r="J72" s="48">
        <v>0.1507</v>
      </c>
      <c r="K72" s="27">
        <v>561678846.57000005</v>
      </c>
      <c r="L72" s="28">
        <f t="shared" ref="L72:L94" si="39">(K72/$K$110)</f>
        <v>2.6835730268389593E-3</v>
      </c>
      <c r="M72" s="58">
        <v>1.5408999999999999</v>
      </c>
      <c r="N72" s="58">
        <v>1.5408999999999999</v>
      </c>
      <c r="O72" s="30">
        <v>478</v>
      </c>
      <c r="P72" s="48">
        <v>7.9150000000000002E-3</v>
      </c>
      <c r="Q72" s="48">
        <v>0.18190000000000001</v>
      </c>
      <c r="R72" s="54">
        <f>((K72-D72)/D72)</f>
        <v>2.683521857432004E-2</v>
      </c>
      <c r="S72" s="54">
        <f>((N72-G72)/G72)</f>
        <v>2.712971603786159E-2</v>
      </c>
      <c r="T72" s="54">
        <f>((O72-H72)/H72)</f>
        <v>2.0964360587002098E-3</v>
      </c>
      <c r="U72" s="55">
        <f>P72-I72</f>
        <v>8.3149999999999995E-3</v>
      </c>
      <c r="V72" s="56">
        <f>Q72-J72</f>
        <v>3.1200000000000006E-2</v>
      </c>
    </row>
    <row r="73" spans="1:22">
      <c r="A73" s="139">
        <v>62</v>
      </c>
      <c r="B73" s="137" t="s">
        <v>112</v>
      </c>
      <c r="C73" s="138" t="s">
        <v>23</v>
      </c>
      <c r="D73" s="27">
        <v>1299245491.76</v>
      </c>
      <c r="E73" s="28">
        <f>(D73/$D$110)</f>
        <v>6.2096598915864915E-3</v>
      </c>
      <c r="F73" s="58">
        <v>1.2764</v>
      </c>
      <c r="G73" s="58">
        <v>1.2764</v>
      </c>
      <c r="H73" s="30">
        <v>1026</v>
      </c>
      <c r="I73" s="48">
        <v>0.2298</v>
      </c>
      <c r="J73" s="48">
        <v>0.1653</v>
      </c>
      <c r="K73" s="27">
        <v>1308585052.9300001</v>
      </c>
      <c r="L73" s="28">
        <f t="shared" si="39"/>
        <v>6.2521200020480587E-3</v>
      </c>
      <c r="M73" s="58">
        <v>1.2867999999999999</v>
      </c>
      <c r="N73" s="58">
        <v>1.2867999999999999</v>
      </c>
      <c r="O73" s="30">
        <v>1041</v>
      </c>
      <c r="P73" s="48">
        <v>0.4249</v>
      </c>
      <c r="Q73" s="48">
        <v>0.1764</v>
      </c>
      <c r="R73" s="54">
        <f t="shared" ref="R73:R110" si="40">((K73-D73)/D73)</f>
        <v>7.1884499343910788E-3</v>
      </c>
      <c r="S73" s="54">
        <f t="shared" ref="S73:S110" si="41">((N73-G73)/G73)</f>
        <v>8.147916013788753E-3</v>
      </c>
      <c r="T73" s="54">
        <f t="shared" ref="T73:T110" si="42">((O73-H73)/H73)</f>
        <v>1.4619883040935672E-2</v>
      </c>
      <c r="U73" s="55">
        <f t="shared" ref="U73:U110" si="43">P73-I73</f>
        <v>0.1951</v>
      </c>
      <c r="V73" s="56">
        <f t="shared" ref="V73:V110" si="44">Q73-J73</f>
        <v>1.1099999999999999E-2</v>
      </c>
    </row>
    <row r="74" spans="1:22">
      <c r="A74" s="139">
        <v>63</v>
      </c>
      <c r="B74" s="137" t="s">
        <v>113</v>
      </c>
      <c r="C74" s="138" t="s">
        <v>23</v>
      </c>
      <c r="D74" s="27">
        <v>789133365.01999998</v>
      </c>
      <c r="E74" s="28">
        <f>(D74/$D$110)</f>
        <v>3.7716119370476628E-3</v>
      </c>
      <c r="F74" s="58">
        <v>1.1374</v>
      </c>
      <c r="G74" s="58">
        <v>1.1374</v>
      </c>
      <c r="H74" s="30">
        <v>356</v>
      </c>
      <c r="I74" s="48">
        <v>0.1241</v>
      </c>
      <c r="J74" s="48">
        <v>0.1227</v>
      </c>
      <c r="K74" s="27">
        <v>794632095.77999997</v>
      </c>
      <c r="L74" s="28">
        <f t="shared" si="39"/>
        <v>3.7965703560281045E-3</v>
      </c>
      <c r="M74" s="58">
        <v>1.1400999999999999</v>
      </c>
      <c r="N74" s="58">
        <v>1.1400999999999999</v>
      </c>
      <c r="O74" s="30">
        <v>372</v>
      </c>
      <c r="P74" s="48">
        <v>0.12379999999999999</v>
      </c>
      <c r="Q74" s="48">
        <v>0.123</v>
      </c>
      <c r="R74" s="54">
        <f t="shared" si="40"/>
        <v>6.968062692242938E-3</v>
      </c>
      <c r="S74" s="54">
        <f t="shared" si="41"/>
        <v>2.3738350624230042E-3</v>
      </c>
      <c r="T74" s="54">
        <f t="shared" si="42"/>
        <v>4.49438202247191E-2</v>
      </c>
      <c r="U74" s="55">
        <f t="shared" si="43"/>
        <v>-3.0000000000000859E-4</v>
      </c>
      <c r="V74" s="56">
        <f t="shared" si="44"/>
        <v>2.9999999999999472E-4</v>
      </c>
    </row>
    <row r="75" spans="1:22">
      <c r="A75" s="139">
        <v>64</v>
      </c>
      <c r="B75" s="137" t="s">
        <v>114</v>
      </c>
      <c r="C75" s="138" t="s">
        <v>115</v>
      </c>
      <c r="D75" s="27">
        <v>290573693.36000001</v>
      </c>
      <c r="E75" s="28">
        <f>(D75/$D$110)</f>
        <v>1.3887781952304445E-3</v>
      </c>
      <c r="F75" s="33">
        <v>1142.5999999999999</v>
      </c>
      <c r="G75" s="33">
        <v>1142.5999999999999</v>
      </c>
      <c r="H75" s="30">
        <v>109</v>
      </c>
      <c r="I75" s="48">
        <v>5.3E-3</v>
      </c>
      <c r="J75" s="48">
        <v>0.1452</v>
      </c>
      <c r="K75" s="27">
        <v>297310012.16000003</v>
      </c>
      <c r="L75" s="28">
        <f t="shared" si="39"/>
        <v>1.4204792188881291E-3</v>
      </c>
      <c r="M75" s="33">
        <v>1169.31</v>
      </c>
      <c r="N75" s="33">
        <v>1169.31</v>
      </c>
      <c r="O75" s="30">
        <v>109</v>
      </c>
      <c r="P75" s="48">
        <v>1.04E-2</v>
      </c>
      <c r="Q75" s="48">
        <v>0.16270000000000001</v>
      </c>
      <c r="R75" s="54">
        <f t="shared" si="40"/>
        <v>2.3182824026861216E-2</v>
      </c>
      <c r="S75" s="54">
        <f t="shared" si="41"/>
        <v>2.3376509714685838E-2</v>
      </c>
      <c r="T75" s="54">
        <f t="shared" si="42"/>
        <v>0</v>
      </c>
      <c r="U75" s="55">
        <f t="shared" si="43"/>
        <v>5.0999999999999995E-3</v>
      </c>
      <c r="V75" s="56">
        <f t="shared" si="44"/>
        <v>1.7500000000000016E-2</v>
      </c>
    </row>
    <row r="76" spans="1:22" ht="15" customHeight="1">
      <c r="A76" s="139">
        <v>65</v>
      </c>
      <c r="B76" s="137" t="s">
        <v>116</v>
      </c>
      <c r="C76" s="138" t="s">
        <v>27</v>
      </c>
      <c r="D76" s="27">
        <v>1619375258.3399999</v>
      </c>
      <c r="E76" s="28">
        <f>(D76/$K$110)</f>
        <v>7.7370045002576118E-3</v>
      </c>
      <c r="F76" s="33">
        <v>1.1253</v>
      </c>
      <c r="G76" s="33">
        <v>1.1253</v>
      </c>
      <c r="H76" s="30">
        <v>932</v>
      </c>
      <c r="I76" s="48">
        <v>3.0000000000000001E-3</v>
      </c>
      <c r="J76" s="48">
        <v>7.4099999999999999E-2</v>
      </c>
      <c r="K76" s="27">
        <v>1463436437.3099999</v>
      </c>
      <c r="L76" s="28">
        <f t="shared" si="39"/>
        <v>6.9919644893890109E-3</v>
      </c>
      <c r="M76" s="33">
        <v>1.0182</v>
      </c>
      <c r="N76" s="33">
        <v>1.0182</v>
      </c>
      <c r="O76" s="30">
        <v>936</v>
      </c>
      <c r="P76" s="48">
        <v>3.2000000000000002E-3</v>
      </c>
      <c r="Q76" s="48">
        <v>7.7299999999999994E-2</v>
      </c>
      <c r="R76" s="54">
        <f t="shared" si="40"/>
        <v>-9.6295667250005282E-2</v>
      </c>
      <c r="S76" s="54">
        <f t="shared" si="41"/>
        <v>-9.5174620101306298E-2</v>
      </c>
      <c r="T76" s="54">
        <f t="shared" si="42"/>
        <v>4.2918454935622317E-3</v>
      </c>
      <c r="U76" s="55">
        <f t="shared" si="43"/>
        <v>2.0000000000000009E-4</v>
      </c>
      <c r="V76" s="56">
        <f t="shared" si="44"/>
        <v>3.1999999999999945E-3</v>
      </c>
    </row>
    <row r="77" spans="1:22">
      <c r="A77" s="139">
        <v>66</v>
      </c>
      <c r="B77" s="137" t="s">
        <v>117</v>
      </c>
      <c r="C77" s="138" t="s">
        <v>118</v>
      </c>
      <c r="D77" s="27">
        <v>460590024.60041231</v>
      </c>
      <c r="E77" s="28">
        <f t="shared" ref="E77:E94" si="45">(D77/$D$110)</f>
        <v>2.2013602666818739E-3</v>
      </c>
      <c r="F77" s="33">
        <v>2.6408999999999998</v>
      </c>
      <c r="G77" s="33">
        <v>2.6408999999999998</v>
      </c>
      <c r="H77" s="30">
        <v>1391</v>
      </c>
      <c r="I77" s="48">
        <v>0.14649999999999999</v>
      </c>
      <c r="J77" s="48">
        <v>0.1426</v>
      </c>
      <c r="K77" s="27">
        <v>460590024.60041231</v>
      </c>
      <c r="L77" s="28">
        <f t="shared" si="39"/>
        <v>2.2005937627824078E-3</v>
      </c>
      <c r="M77" s="33">
        <v>2.6408999999999998</v>
      </c>
      <c r="N77" s="33">
        <v>2.6408999999999998</v>
      </c>
      <c r="O77" s="30">
        <v>1391</v>
      </c>
      <c r="P77" s="48">
        <v>0.14649999999999999</v>
      </c>
      <c r="Q77" s="48">
        <v>0.1426</v>
      </c>
      <c r="R77" s="54">
        <f t="shared" si="40"/>
        <v>0</v>
      </c>
      <c r="S77" s="54">
        <f t="shared" si="41"/>
        <v>0</v>
      </c>
      <c r="T77" s="54">
        <f t="shared" si="42"/>
        <v>0</v>
      </c>
      <c r="U77" s="55">
        <f t="shared" si="43"/>
        <v>0</v>
      </c>
      <c r="V77" s="56">
        <f t="shared" si="44"/>
        <v>0</v>
      </c>
    </row>
    <row r="78" spans="1:22">
      <c r="A78" s="139">
        <v>67</v>
      </c>
      <c r="B78" s="137" t="s">
        <v>119</v>
      </c>
      <c r="C78" s="138" t="s">
        <v>63</v>
      </c>
      <c r="D78" s="27">
        <v>161810960.66999999</v>
      </c>
      <c r="E78" s="28">
        <f t="shared" si="45"/>
        <v>7.7336503290879671E-4</v>
      </c>
      <c r="F78" s="33">
        <v>12.46</v>
      </c>
      <c r="G78" s="33">
        <v>12.54</v>
      </c>
      <c r="H78" s="30">
        <v>30</v>
      </c>
      <c r="I78" s="48">
        <v>0.5</v>
      </c>
      <c r="J78" s="48">
        <v>0.3</v>
      </c>
      <c r="K78" s="27">
        <v>163730026.43000001</v>
      </c>
      <c r="L78" s="28">
        <f t="shared" si="39"/>
        <v>7.8226460778137803E-4</v>
      </c>
      <c r="M78" s="33">
        <v>11.58</v>
      </c>
      <c r="N78" s="33">
        <v>11.62</v>
      </c>
      <c r="O78" s="30">
        <v>30</v>
      </c>
      <c r="P78" s="48">
        <v>0.31274000000000002</v>
      </c>
      <c r="Q78" s="48">
        <v>0.33900000000000002</v>
      </c>
      <c r="R78" s="54">
        <f t="shared" si="40"/>
        <v>1.1859924396059891E-2</v>
      </c>
      <c r="S78" s="54">
        <f t="shared" si="41"/>
        <v>-7.3365231259968106E-2</v>
      </c>
      <c r="T78" s="54">
        <f t="shared" si="42"/>
        <v>0</v>
      </c>
      <c r="U78" s="55">
        <f t="shared" si="43"/>
        <v>-0.18725999999999998</v>
      </c>
      <c r="V78" s="56">
        <f t="shared" si="44"/>
        <v>3.9000000000000035E-2</v>
      </c>
    </row>
    <row r="79" spans="1:22">
      <c r="A79" s="139">
        <v>68</v>
      </c>
      <c r="B79" s="137" t="s">
        <v>120</v>
      </c>
      <c r="C79" s="138" t="s">
        <v>65</v>
      </c>
      <c r="D79" s="27">
        <v>1927341872.1717801</v>
      </c>
      <c r="E79" s="28">
        <f t="shared" si="45"/>
        <v>9.2116059643107904E-3</v>
      </c>
      <c r="F79" s="27">
        <v>4639.6203929703297</v>
      </c>
      <c r="G79" s="27">
        <v>4639.6203929703297</v>
      </c>
      <c r="H79" s="30">
        <v>1116</v>
      </c>
      <c r="I79" s="48">
        <v>0.10200633375398058</v>
      </c>
      <c r="J79" s="48">
        <v>0.11942418333468492</v>
      </c>
      <c r="K79" s="27">
        <v>1793008914.2214</v>
      </c>
      <c r="L79" s="28">
        <f t="shared" si="39"/>
        <v>8.5665863837845226E-3</v>
      </c>
      <c r="M79" s="27">
        <v>4649.2174178382002</v>
      </c>
      <c r="N79" s="27">
        <v>4649.2174178382002</v>
      </c>
      <c r="O79" s="30">
        <v>1120</v>
      </c>
      <c r="P79" s="48">
        <v>0.10785716379728329</v>
      </c>
      <c r="Q79" s="48">
        <v>0.11922419346717264</v>
      </c>
      <c r="R79" s="54">
        <f t="shared" si="40"/>
        <v>-6.969856250723705E-2</v>
      </c>
      <c r="S79" s="54">
        <f t="shared" si="41"/>
        <v>2.068493552276666E-3</v>
      </c>
      <c r="T79" s="54">
        <f t="shared" si="42"/>
        <v>3.5842293906810036E-3</v>
      </c>
      <c r="U79" s="55">
        <f t="shared" si="43"/>
        <v>5.8508300433027099E-3</v>
      </c>
      <c r="V79" s="56">
        <f t="shared" si="44"/>
        <v>-1.9998986751228187E-4</v>
      </c>
    </row>
    <row r="80" spans="1:22">
      <c r="A80" s="139">
        <v>69</v>
      </c>
      <c r="B80" s="137" t="s">
        <v>121</v>
      </c>
      <c r="C80" s="138" t="s">
        <v>67</v>
      </c>
      <c r="D80" s="27">
        <v>343033006.75</v>
      </c>
      <c r="E80" s="28">
        <f t="shared" si="45"/>
        <v>1.6395040945035462E-3</v>
      </c>
      <c r="F80" s="58">
        <v>111.71</v>
      </c>
      <c r="G80" s="58">
        <v>111.71</v>
      </c>
      <c r="H80" s="30">
        <v>91</v>
      </c>
      <c r="I80" s="48">
        <v>2.2000000000000001E-3</v>
      </c>
      <c r="J80" s="48">
        <v>0.1255</v>
      </c>
      <c r="K80" s="27">
        <v>343565084.88999999</v>
      </c>
      <c r="L80" s="28">
        <f t="shared" si="39"/>
        <v>1.6414753740588623E-3</v>
      </c>
      <c r="M80" s="58">
        <v>111.97</v>
      </c>
      <c r="N80" s="58">
        <v>111.97</v>
      </c>
      <c r="O80" s="30">
        <v>91</v>
      </c>
      <c r="P80" s="48">
        <v>2.3E-3</v>
      </c>
      <c r="Q80" s="48">
        <v>0.1242</v>
      </c>
      <c r="R80" s="54">
        <f t="shared" si="40"/>
        <v>1.5510989599544875E-3</v>
      </c>
      <c r="S80" s="54">
        <f t="shared" si="41"/>
        <v>2.3274550174559585E-3</v>
      </c>
      <c r="T80" s="54">
        <f t="shared" si="42"/>
        <v>0</v>
      </c>
      <c r="U80" s="55">
        <f t="shared" si="43"/>
        <v>9.9999999999999829E-5</v>
      </c>
      <c r="V80" s="56">
        <f t="shared" si="44"/>
        <v>-1.2999999999999956E-3</v>
      </c>
    </row>
    <row r="81" spans="1:22" ht="13.5" customHeight="1">
      <c r="A81" s="139">
        <v>70</v>
      </c>
      <c r="B81" s="137" t="s">
        <v>122</v>
      </c>
      <c r="C81" s="138" t="s">
        <v>296</v>
      </c>
      <c r="D81" s="27">
        <v>392357755.38</v>
      </c>
      <c r="E81" s="28">
        <f t="shared" si="45"/>
        <v>1.8752485440112266E-3</v>
      </c>
      <c r="F81" s="58">
        <v>1.4864999999999999</v>
      </c>
      <c r="G81" s="58">
        <v>1.4864999999999999</v>
      </c>
      <c r="H81" s="30">
        <v>436</v>
      </c>
      <c r="I81" s="48">
        <v>3.5781798541723031E-3</v>
      </c>
      <c r="J81" s="48">
        <v>0.1296889023986908</v>
      </c>
      <c r="K81" s="27">
        <v>398314593.25</v>
      </c>
      <c r="L81" s="28">
        <f t="shared" si="39"/>
        <v>1.9030559992948165E-3</v>
      </c>
      <c r="M81" s="58">
        <v>1.4995000000000001</v>
      </c>
      <c r="N81" s="58">
        <v>1.4995000000000001</v>
      </c>
      <c r="O81" s="30">
        <v>456</v>
      </c>
      <c r="P81" s="48">
        <v>8.6999999999999994E-3</v>
      </c>
      <c r="Q81" s="48">
        <v>0.1391814179153027</v>
      </c>
      <c r="R81" s="54">
        <f t="shared" si="40"/>
        <v>1.5182159109435175E-2</v>
      </c>
      <c r="S81" s="54">
        <f t="shared" si="41"/>
        <v>8.7453750420451552E-3</v>
      </c>
      <c r="T81" s="54">
        <f t="shared" si="42"/>
        <v>4.5871559633027525E-2</v>
      </c>
      <c r="U81" s="55">
        <f t="shared" si="43"/>
        <v>5.1218201458276963E-3</v>
      </c>
      <c r="V81" s="56">
        <f t="shared" si="44"/>
        <v>9.4925155166118991E-3</v>
      </c>
    </row>
    <row r="82" spans="1:22" ht="13.5" customHeight="1">
      <c r="A82" s="139">
        <v>71</v>
      </c>
      <c r="B82" s="137" t="s">
        <v>294</v>
      </c>
      <c r="C82" s="138" t="s">
        <v>296</v>
      </c>
      <c r="D82" s="27">
        <v>26303824.27</v>
      </c>
      <c r="E82" s="28">
        <f t="shared" si="45"/>
        <v>1.2571742876975133E-4</v>
      </c>
      <c r="F82" s="58">
        <v>0.88270000000000004</v>
      </c>
      <c r="G82" s="58">
        <v>0.88270000000000004</v>
      </c>
      <c r="H82" s="30">
        <v>1</v>
      </c>
      <c r="I82" s="48">
        <v>-3.3975084937709621E-4</v>
      </c>
      <c r="J82" s="48">
        <v>-0.10946327683615809</v>
      </c>
      <c r="K82" s="27">
        <v>25729694.359999999</v>
      </c>
      <c r="L82" s="28">
        <f t="shared" si="39"/>
        <v>1.2293059315827615E-4</v>
      </c>
      <c r="M82" s="58">
        <v>0.85640000000000005</v>
      </c>
      <c r="N82" s="58">
        <v>0.85640000000000005</v>
      </c>
      <c r="O82" s="30">
        <v>1</v>
      </c>
      <c r="P82" s="48">
        <v>-2.9794947320720522E-2</v>
      </c>
      <c r="Q82" s="48">
        <v>-0.1359967715899919</v>
      </c>
      <c r="R82" s="54">
        <f t="shared" ref="R82" si="46">((K82-D82)/D82)</f>
        <v>-2.1826860767725172E-2</v>
      </c>
      <c r="S82" s="54">
        <f t="shared" ref="S82" si="47">((N82-G82)/G82)</f>
        <v>-2.9794947320720504E-2</v>
      </c>
      <c r="T82" s="54">
        <f t="shared" ref="T82" si="48">((O82-H82)/H82)</f>
        <v>0</v>
      </c>
      <c r="U82" s="55">
        <f t="shared" ref="U82" si="49">P82-I82</f>
        <v>-2.9455196471343426E-2</v>
      </c>
      <c r="V82" s="56">
        <f t="shared" ref="V82" si="50">Q82-J82</f>
        <v>-2.653349475383382E-2</v>
      </c>
    </row>
    <row r="83" spans="1:22">
      <c r="A83" s="139">
        <v>72</v>
      </c>
      <c r="B83" s="137" t="s">
        <v>124</v>
      </c>
      <c r="C83" s="138" t="s">
        <v>29</v>
      </c>
      <c r="D83" s="27">
        <v>145833284.97</v>
      </c>
      <c r="E83" s="28">
        <f t="shared" si="45"/>
        <v>6.9700076412025169E-4</v>
      </c>
      <c r="F83" s="58">
        <v>134.2259</v>
      </c>
      <c r="G83" s="58">
        <v>134.2259</v>
      </c>
      <c r="H83" s="30">
        <v>259</v>
      </c>
      <c r="I83" s="48">
        <v>3.0850000000000001E-3</v>
      </c>
      <c r="J83" s="48">
        <v>8.4699999999999998E-2</v>
      </c>
      <c r="K83" s="27">
        <v>145833284.97</v>
      </c>
      <c r="L83" s="28">
        <f t="shared" si="39"/>
        <v>6.9675807153979808E-4</v>
      </c>
      <c r="M83" s="58">
        <v>134.2259</v>
      </c>
      <c r="N83" s="58">
        <v>134.2259</v>
      </c>
      <c r="O83" s="30">
        <v>259</v>
      </c>
      <c r="P83" s="48">
        <v>3.0850000000000001E-3</v>
      </c>
      <c r="Q83" s="48">
        <v>8.4699999999999998E-2</v>
      </c>
      <c r="R83" s="54">
        <f t="shared" si="40"/>
        <v>0</v>
      </c>
      <c r="S83" s="54">
        <f t="shared" si="41"/>
        <v>0</v>
      </c>
      <c r="T83" s="54">
        <f t="shared" si="42"/>
        <v>0</v>
      </c>
      <c r="U83" s="55">
        <f t="shared" si="43"/>
        <v>0</v>
      </c>
      <c r="V83" s="56">
        <f t="shared" si="44"/>
        <v>0</v>
      </c>
    </row>
    <row r="84" spans="1:22">
      <c r="A84" s="139">
        <v>73</v>
      </c>
      <c r="B84" s="137" t="s">
        <v>125</v>
      </c>
      <c r="C84" s="138" t="s">
        <v>96</v>
      </c>
      <c r="D84" s="27">
        <v>2000316438.4401965</v>
      </c>
      <c r="E84" s="28">
        <f t="shared" si="45"/>
        <v>9.5603831893516546E-3</v>
      </c>
      <c r="F84" s="33">
        <v>1000</v>
      </c>
      <c r="G84" s="33">
        <v>1000</v>
      </c>
      <c r="H84" s="30">
        <v>367</v>
      </c>
      <c r="I84" s="48">
        <v>1.9099999999999999E-2</v>
      </c>
      <c r="J84" s="48">
        <v>0.20730000000000001</v>
      </c>
      <c r="K84" s="27">
        <v>2007973415.5313339</v>
      </c>
      <c r="L84" s="28">
        <f t="shared" si="39"/>
        <v>9.5936375910108795E-3</v>
      </c>
      <c r="M84" s="33">
        <v>1000</v>
      </c>
      <c r="N84" s="33">
        <v>1000</v>
      </c>
      <c r="O84" s="30">
        <v>368</v>
      </c>
      <c r="P84" s="48">
        <v>1.9099999999999999E-2</v>
      </c>
      <c r="Q84" s="48">
        <v>0.2079</v>
      </c>
      <c r="R84" s="54">
        <f t="shared" si="40"/>
        <v>3.8278829009214936E-3</v>
      </c>
      <c r="S84" s="54">
        <f t="shared" si="41"/>
        <v>0</v>
      </c>
      <c r="T84" s="54">
        <f t="shared" si="42"/>
        <v>2.7247956403269754E-3</v>
      </c>
      <c r="U84" s="55">
        <f t="shared" si="43"/>
        <v>0</v>
      </c>
      <c r="V84" s="56">
        <f t="shared" si="44"/>
        <v>5.9999999999998943E-4</v>
      </c>
    </row>
    <row r="85" spans="1:22">
      <c r="A85" s="139">
        <v>74</v>
      </c>
      <c r="B85" s="137" t="s">
        <v>126</v>
      </c>
      <c r="C85" s="138" t="s">
        <v>70</v>
      </c>
      <c r="D85" s="27">
        <v>157268684.78999999</v>
      </c>
      <c r="E85" s="28">
        <f t="shared" si="45"/>
        <v>7.5165551878891477E-4</v>
      </c>
      <c r="F85" s="33">
        <v>1072.5</v>
      </c>
      <c r="G85" s="33">
        <v>1089.58</v>
      </c>
      <c r="H85" s="30">
        <v>71</v>
      </c>
      <c r="I85" s="48">
        <v>9.7999999999999997E-3</v>
      </c>
      <c r="J85" s="48">
        <v>6.9500000000000006E-2</v>
      </c>
      <c r="K85" s="27">
        <v>158954800.69999999</v>
      </c>
      <c r="L85" s="28">
        <f t="shared" si="39"/>
        <v>7.5944967172966336E-4</v>
      </c>
      <c r="M85" s="33">
        <v>1083.32</v>
      </c>
      <c r="N85" s="33">
        <v>1101.25</v>
      </c>
      <c r="O85" s="30">
        <v>71</v>
      </c>
      <c r="P85" s="48">
        <v>0</v>
      </c>
      <c r="Q85" s="48">
        <v>6.9500000000000006E-2</v>
      </c>
      <c r="R85" s="54">
        <f t="shared" si="40"/>
        <v>1.0721243788942838E-2</v>
      </c>
      <c r="S85" s="54">
        <f t="shared" si="41"/>
        <v>1.071054901888808E-2</v>
      </c>
      <c r="T85" s="54">
        <f t="shared" si="42"/>
        <v>0</v>
      </c>
      <c r="U85" s="55">
        <f t="shared" si="43"/>
        <v>-9.7999999999999997E-3</v>
      </c>
      <c r="V85" s="56">
        <f t="shared" si="44"/>
        <v>0</v>
      </c>
    </row>
    <row r="86" spans="1:22">
      <c r="A86" s="139">
        <v>75</v>
      </c>
      <c r="B86" s="137" t="s">
        <v>127</v>
      </c>
      <c r="C86" s="138" t="s">
        <v>73</v>
      </c>
      <c r="D86" s="27">
        <v>689640973.54999995</v>
      </c>
      <c r="E86" s="28">
        <f t="shared" si="45"/>
        <v>3.2960944796098304E-3</v>
      </c>
      <c r="F86" s="59">
        <v>1.2098</v>
      </c>
      <c r="G86" s="59">
        <v>1.2098</v>
      </c>
      <c r="H86" s="30">
        <v>51</v>
      </c>
      <c r="I86" s="48">
        <v>1.5E-3</v>
      </c>
      <c r="J86" s="48">
        <v>0.11992999999999999</v>
      </c>
      <c r="K86" s="27">
        <v>685648293.41999996</v>
      </c>
      <c r="L86" s="28">
        <f t="shared" si="39"/>
        <v>3.2758706818964475E-3</v>
      </c>
      <c r="M86" s="59">
        <v>1.2122999999999999</v>
      </c>
      <c r="N86" s="59">
        <v>1.2122999999999999</v>
      </c>
      <c r="O86" s="30">
        <v>51</v>
      </c>
      <c r="P86" s="48">
        <v>1.5E-3</v>
      </c>
      <c r="Q86" s="48">
        <v>0.1197</v>
      </c>
      <c r="R86" s="54">
        <f t="shared" si="40"/>
        <v>-5.7895053848776579E-3</v>
      </c>
      <c r="S86" s="54">
        <f t="shared" si="41"/>
        <v>2.0664572656637023E-3</v>
      </c>
      <c r="T86" s="54">
        <f t="shared" si="42"/>
        <v>0</v>
      </c>
      <c r="U86" s="55">
        <f t="shared" si="43"/>
        <v>0</v>
      </c>
      <c r="V86" s="56">
        <f t="shared" si="44"/>
        <v>-2.299999999999941E-4</v>
      </c>
    </row>
    <row r="87" spans="1:22">
      <c r="A87" s="139">
        <v>76</v>
      </c>
      <c r="B87" s="137" t="s">
        <v>128</v>
      </c>
      <c r="C87" s="138" t="s">
        <v>31</v>
      </c>
      <c r="D87" s="27">
        <v>12003294026.690001</v>
      </c>
      <c r="E87" s="28">
        <f t="shared" si="45"/>
        <v>5.7368968341377294E-2</v>
      </c>
      <c r="F87" s="59">
        <v>1721.98</v>
      </c>
      <c r="G87" s="59">
        <v>1721.98</v>
      </c>
      <c r="H87" s="30">
        <v>2077</v>
      </c>
      <c r="I87" s="48">
        <v>8.0000000000000004E-4</v>
      </c>
      <c r="J87" s="48">
        <v>1.7100000000000001E-2</v>
      </c>
      <c r="K87" s="27">
        <v>11915554718.530001</v>
      </c>
      <c r="L87" s="28">
        <f t="shared" si="39"/>
        <v>5.6929794379368188E-2</v>
      </c>
      <c r="M87" s="59">
        <v>1723.57</v>
      </c>
      <c r="N87" s="59">
        <v>1723.57</v>
      </c>
      <c r="O87" s="30">
        <v>2078</v>
      </c>
      <c r="P87" s="48">
        <v>8.9999999999999998E-4</v>
      </c>
      <c r="Q87" s="48">
        <v>1.8100000000000002E-2</v>
      </c>
      <c r="R87" s="54">
        <f t="shared" si="40"/>
        <v>-7.3096025111862254E-3</v>
      </c>
      <c r="S87" s="54">
        <f t="shared" si="41"/>
        <v>9.2335567195897636E-4</v>
      </c>
      <c r="T87" s="54">
        <f t="shared" si="42"/>
        <v>4.8146364949446316E-4</v>
      </c>
      <c r="U87" s="55">
        <f t="shared" si="43"/>
        <v>9.9999999999999937E-5</v>
      </c>
      <c r="V87" s="56">
        <f t="shared" si="44"/>
        <v>1.0000000000000009E-3</v>
      </c>
    </row>
    <row r="88" spans="1:22">
      <c r="A88" s="139">
        <v>77</v>
      </c>
      <c r="B88" s="137" t="s">
        <v>129</v>
      </c>
      <c r="C88" s="138" t="s">
        <v>78</v>
      </c>
      <c r="D88" s="27">
        <v>23715508.23</v>
      </c>
      <c r="E88" s="28">
        <f t="shared" si="45"/>
        <v>1.1334673947179151E-4</v>
      </c>
      <c r="F88" s="58">
        <v>0.72330000000000005</v>
      </c>
      <c r="G88" s="58">
        <v>0.72330000000000005</v>
      </c>
      <c r="H88" s="30">
        <v>746</v>
      </c>
      <c r="I88" s="48">
        <v>2.3999999999999998E-3</v>
      </c>
      <c r="J88" s="48">
        <v>9.1999999999999998E-3</v>
      </c>
      <c r="K88" s="27">
        <v>23778341.73</v>
      </c>
      <c r="L88" s="28">
        <f t="shared" si="39"/>
        <v>1.1360747672671112E-4</v>
      </c>
      <c r="M88" s="58">
        <v>0.72519999999999996</v>
      </c>
      <c r="N88" s="58">
        <v>0.72519999999999996</v>
      </c>
      <c r="O88" s="30">
        <v>746</v>
      </c>
      <c r="P88" s="48">
        <v>2.3E-3</v>
      </c>
      <c r="Q88" s="48">
        <v>1.1900000000000001E-2</v>
      </c>
      <c r="R88" s="54">
        <f t="shared" si="40"/>
        <v>2.649468836620416E-3</v>
      </c>
      <c r="S88" s="54">
        <f t="shared" si="41"/>
        <v>2.6268491635557884E-3</v>
      </c>
      <c r="T88" s="54">
        <f t="shared" si="42"/>
        <v>0</v>
      </c>
      <c r="U88" s="55">
        <f t="shared" si="43"/>
        <v>-9.9999999999999829E-5</v>
      </c>
      <c r="V88" s="56">
        <f t="shared" si="44"/>
        <v>2.700000000000001E-3</v>
      </c>
    </row>
    <row r="89" spans="1:22">
      <c r="A89" s="139">
        <v>78</v>
      </c>
      <c r="B89" s="137" t="s">
        <v>130</v>
      </c>
      <c r="C89" s="138" t="s">
        <v>37</v>
      </c>
      <c r="D89" s="27">
        <v>10544908399.629999</v>
      </c>
      <c r="E89" s="28">
        <f t="shared" si="45"/>
        <v>5.0398708454192274E-2</v>
      </c>
      <c r="F89" s="58">
        <v>1</v>
      </c>
      <c r="G89" s="58">
        <v>1</v>
      </c>
      <c r="H89" s="30">
        <v>4309</v>
      </c>
      <c r="I89" s="48">
        <v>0.06</v>
      </c>
      <c r="J89" s="48">
        <v>0.06</v>
      </c>
      <c r="K89" s="27">
        <v>10523917466.73</v>
      </c>
      <c r="L89" s="28">
        <f t="shared" si="39"/>
        <v>5.0280869971976686E-2</v>
      </c>
      <c r="M89" s="58">
        <v>1</v>
      </c>
      <c r="N89" s="58">
        <v>1</v>
      </c>
      <c r="O89" s="30">
        <v>4323</v>
      </c>
      <c r="P89" s="48">
        <v>0.06</v>
      </c>
      <c r="Q89" s="48">
        <v>0.06</v>
      </c>
      <c r="R89" s="54">
        <f t="shared" si="40"/>
        <v>-1.9906225928654014E-3</v>
      </c>
      <c r="S89" s="54">
        <f t="shared" si="41"/>
        <v>0</v>
      </c>
      <c r="T89" s="54">
        <f t="shared" si="42"/>
        <v>3.2490136922719887E-3</v>
      </c>
      <c r="U89" s="55">
        <f t="shared" si="43"/>
        <v>0</v>
      </c>
      <c r="V89" s="56">
        <f t="shared" si="44"/>
        <v>0</v>
      </c>
    </row>
    <row r="90" spans="1:22">
      <c r="A90" s="139">
        <v>79</v>
      </c>
      <c r="B90" s="137" t="s">
        <v>131</v>
      </c>
      <c r="C90" s="138" t="s">
        <v>132</v>
      </c>
      <c r="D90" s="27">
        <v>1553929462.29</v>
      </c>
      <c r="E90" s="28">
        <f t="shared" si="45"/>
        <v>7.4269054751657619E-3</v>
      </c>
      <c r="F90" s="27">
        <v>255.81</v>
      </c>
      <c r="G90" s="27">
        <v>257.07</v>
      </c>
      <c r="H90" s="30">
        <v>531</v>
      </c>
      <c r="I90" s="48">
        <v>3.0000000000000001E-3</v>
      </c>
      <c r="J90" s="48">
        <v>0.18729999999999999</v>
      </c>
      <c r="K90" s="27">
        <v>1559767889.6700001</v>
      </c>
      <c r="L90" s="28">
        <f t="shared" si="39"/>
        <v>7.4522141298520176E-3</v>
      </c>
      <c r="M90" s="27">
        <v>256.52999999999997</v>
      </c>
      <c r="N90" s="27">
        <v>258.70999999999998</v>
      </c>
      <c r="O90" s="30">
        <v>556</v>
      </c>
      <c r="P90" s="48">
        <v>3.0000000000000001E-3</v>
      </c>
      <c r="Q90" s="48">
        <v>0.18729999999999999</v>
      </c>
      <c r="R90" s="54">
        <f t="shared" si="40"/>
        <v>3.7572023194644378E-3</v>
      </c>
      <c r="S90" s="54">
        <f t="shared" si="41"/>
        <v>6.3795853269536951E-3</v>
      </c>
      <c r="T90" s="54">
        <f t="shared" si="42"/>
        <v>4.7080979284369114E-2</v>
      </c>
      <c r="U90" s="55">
        <f t="shared" si="43"/>
        <v>0</v>
      </c>
      <c r="V90" s="56">
        <f t="shared" si="44"/>
        <v>0</v>
      </c>
    </row>
    <row r="91" spans="1:22">
      <c r="A91" s="139">
        <v>80</v>
      </c>
      <c r="B91" s="137" t="s">
        <v>133</v>
      </c>
      <c r="C91" s="138" t="s">
        <v>41</v>
      </c>
      <c r="D91" s="27">
        <v>1142622151</v>
      </c>
      <c r="E91" s="28">
        <f t="shared" si="45"/>
        <v>5.461088752897243E-3</v>
      </c>
      <c r="F91" s="58">
        <v>3.81</v>
      </c>
      <c r="G91" s="58">
        <v>3.81</v>
      </c>
      <c r="H91" s="44">
        <v>770</v>
      </c>
      <c r="I91" s="51">
        <v>1.8E-3</v>
      </c>
      <c r="J91" s="51">
        <v>0.1056</v>
      </c>
      <c r="K91" s="27">
        <v>1123070513.99</v>
      </c>
      <c r="L91" s="28">
        <f t="shared" si="39"/>
        <v>5.3657739774006698E-3</v>
      </c>
      <c r="M91" s="58">
        <v>3.82</v>
      </c>
      <c r="N91" s="58">
        <v>3.82</v>
      </c>
      <c r="O91" s="44">
        <v>770</v>
      </c>
      <c r="P91" s="51">
        <v>1.9E-3</v>
      </c>
      <c r="Q91" s="51">
        <v>0.1056</v>
      </c>
      <c r="R91" s="54">
        <f t="shared" si="40"/>
        <v>-1.7111200752487416E-2</v>
      </c>
      <c r="S91" s="54">
        <f t="shared" si="41"/>
        <v>2.6246719160104427E-3</v>
      </c>
      <c r="T91" s="54">
        <f t="shared" si="42"/>
        <v>0</v>
      </c>
      <c r="U91" s="55">
        <f t="shared" si="43"/>
        <v>1.0000000000000005E-4</v>
      </c>
      <c r="V91" s="56">
        <f t="shared" si="44"/>
        <v>0</v>
      </c>
    </row>
    <row r="92" spans="1:22">
      <c r="A92" s="139">
        <v>81</v>
      </c>
      <c r="B92" s="137" t="s">
        <v>134</v>
      </c>
      <c r="C92" s="138" t="s">
        <v>43</v>
      </c>
      <c r="D92" s="27">
        <v>599050851.67999995</v>
      </c>
      <c r="E92" s="28">
        <f t="shared" si="45"/>
        <v>2.8631248446041742E-3</v>
      </c>
      <c r="F92" s="58">
        <v>112.04</v>
      </c>
      <c r="G92" s="58">
        <v>112.04</v>
      </c>
      <c r="H92" s="44">
        <v>56</v>
      </c>
      <c r="I92" s="51">
        <v>0.1474</v>
      </c>
      <c r="J92" s="51">
        <v>0.17080000000000001</v>
      </c>
      <c r="K92" s="27">
        <v>600193270.51000011</v>
      </c>
      <c r="L92" s="28">
        <f t="shared" si="39"/>
        <v>2.8675861330130473E-3</v>
      </c>
      <c r="M92" s="58">
        <v>112.34309</v>
      </c>
      <c r="N92" s="58">
        <v>112.34309</v>
      </c>
      <c r="O92" s="44">
        <v>56</v>
      </c>
      <c r="P92" s="51">
        <v>0.14829999999999999</v>
      </c>
      <c r="Q92" s="51">
        <v>0.17169999999999999</v>
      </c>
      <c r="R92" s="54">
        <f t="shared" si="40"/>
        <v>1.9070481692769843E-3</v>
      </c>
      <c r="S92" s="54">
        <f t="shared" si="41"/>
        <v>2.7051945733666317E-3</v>
      </c>
      <c r="T92" s="54">
        <f t="shared" si="42"/>
        <v>0</v>
      </c>
      <c r="U92" s="55">
        <f t="shared" si="43"/>
        <v>8.9999999999998415E-4</v>
      </c>
      <c r="V92" s="56">
        <f t="shared" si="44"/>
        <v>8.9999999999998415E-4</v>
      </c>
    </row>
    <row r="93" spans="1:22">
      <c r="A93" s="139">
        <v>82</v>
      </c>
      <c r="B93" s="138" t="s">
        <v>135</v>
      </c>
      <c r="C93" s="149" t="s">
        <v>47</v>
      </c>
      <c r="D93" s="27">
        <v>943204209.36000001</v>
      </c>
      <c r="E93" s="28">
        <f t="shared" si="45"/>
        <v>4.507983583998656E-3</v>
      </c>
      <c r="F93" s="58">
        <v>105.52</v>
      </c>
      <c r="G93" s="58">
        <v>105.52</v>
      </c>
      <c r="H93" s="30">
        <v>289</v>
      </c>
      <c r="I93" s="48">
        <v>2.0000000000000001E-4</v>
      </c>
      <c r="J93" s="48">
        <v>8.2199999999999995E-2</v>
      </c>
      <c r="K93" s="27">
        <v>945814008.02999997</v>
      </c>
      <c r="L93" s="28">
        <f t="shared" si="39"/>
        <v>4.5188829450415E-3</v>
      </c>
      <c r="M93" s="58">
        <v>105.75</v>
      </c>
      <c r="N93" s="58">
        <v>105.75</v>
      </c>
      <c r="O93" s="30">
        <v>289</v>
      </c>
      <c r="P93" s="48">
        <v>1E-4</v>
      </c>
      <c r="Q93" s="48">
        <v>8.4400000000000003E-2</v>
      </c>
      <c r="R93" s="54">
        <f t="shared" si="40"/>
        <v>2.7669497698391368E-3</v>
      </c>
      <c r="S93" s="54">
        <f t="shared" si="41"/>
        <v>2.1796815769522743E-3</v>
      </c>
      <c r="T93" s="54">
        <f t="shared" si="42"/>
        <v>0</v>
      </c>
      <c r="U93" s="55">
        <f t="shared" si="43"/>
        <v>-1E-4</v>
      </c>
      <c r="V93" s="56">
        <f t="shared" si="44"/>
        <v>2.2000000000000075E-3</v>
      </c>
    </row>
    <row r="94" spans="1:22">
      <c r="A94" s="139">
        <v>83</v>
      </c>
      <c r="B94" s="137" t="s">
        <v>136</v>
      </c>
      <c r="C94" s="138" t="s">
        <v>19</v>
      </c>
      <c r="D94" s="27">
        <v>1471483768.9200001</v>
      </c>
      <c r="E94" s="28">
        <f t="shared" si="45"/>
        <v>7.0328616100142965E-3</v>
      </c>
      <c r="F94" s="58">
        <v>365.91359999999997</v>
      </c>
      <c r="G94" s="58">
        <v>365.91359999999997</v>
      </c>
      <c r="H94" s="30">
        <v>90</v>
      </c>
      <c r="I94" s="48">
        <v>2.5999999999999999E-3</v>
      </c>
      <c r="J94" s="48">
        <v>6.5799999999999997E-2</v>
      </c>
      <c r="K94" s="27">
        <v>1479144888.8299999</v>
      </c>
      <c r="L94" s="28">
        <f t="shared" si="39"/>
        <v>7.0670158769388638E-3</v>
      </c>
      <c r="M94" s="58">
        <v>366.8623</v>
      </c>
      <c r="N94" s="58">
        <v>366.8623</v>
      </c>
      <c r="O94" s="30">
        <v>90</v>
      </c>
      <c r="P94" s="48">
        <v>2.5999999999999999E-3</v>
      </c>
      <c r="Q94" s="48">
        <v>6.8500000000000005E-2</v>
      </c>
      <c r="R94" s="54">
        <f t="shared" si="40"/>
        <v>5.2063910399927481E-3</v>
      </c>
      <c r="S94" s="54">
        <f t="shared" si="41"/>
        <v>2.5926885472418375E-3</v>
      </c>
      <c r="T94" s="54">
        <f t="shared" si="42"/>
        <v>0</v>
      </c>
      <c r="U94" s="55">
        <f t="shared" si="43"/>
        <v>0</v>
      </c>
      <c r="V94" s="56">
        <f t="shared" si="44"/>
        <v>2.7000000000000079E-3</v>
      </c>
    </row>
    <row r="95" spans="1:22">
      <c r="A95" s="139">
        <v>84</v>
      </c>
      <c r="B95" s="137" t="s">
        <v>137</v>
      </c>
      <c r="C95" s="138" t="s">
        <v>87</v>
      </c>
      <c r="D95" s="42">
        <v>1533715020</v>
      </c>
      <c r="E95" s="28">
        <f>(D95/$K$69)</f>
        <v>4.7335539791810039E-4</v>
      </c>
      <c r="F95" s="58">
        <v>104.94</v>
      </c>
      <c r="G95" s="58">
        <v>104.94</v>
      </c>
      <c r="H95" s="30">
        <v>397</v>
      </c>
      <c r="I95" s="48">
        <v>2.8E-3</v>
      </c>
      <c r="J95" s="48">
        <v>0.1452</v>
      </c>
      <c r="K95" s="42">
        <v>1533834434</v>
      </c>
      <c r="L95" s="28">
        <f>(K95/$K$69)</f>
        <v>4.7339225304486766E-4</v>
      </c>
      <c r="M95" s="58">
        <v>101.56</v>
      </c>
      <c r="N95" s="58">
        <v>101.56</v>
      </c>
      <c r="O95" s="30">
        <v>398</v>
      </c>
      <c r="P95" s="48">
        <v>3.0000000000000001E-3</v>
      </c>
      <c r="Q95" s="48">
        <v>0.1454</v>
      </c>
      <c r="R95" s="54">
        <f t="shared" si="40"/>
        <v>7.7859314437697818E-5</v>
      </c>
      <c r="S95" s="54">
        <f t="shared" si="41"/>
        <v>-3.2208881265484997E-2</v>
      </c>
      <c r="T95" s="54">
        <f t="shared" si="42"/>
        <v>2.5188916876574307E-3</v>
      </c>
      <c r="U95" s="55">
        <f t="shared" si="43"/>
        <v>2.0000000000000009E-4</v>
      </c>
      <c r="V95" s="56">
        <f t="shared" si="44"/>
        <v>2.0000000000000573E-4</v>
      </c>
    </row>
    <row r="96" spans="1:22">
      <c r="A96" s="139">
        <v>85</v>
      </c>
      <c r="B96" s="137" t="s">
        <v>138</v>
      </c>
      <c r="C96" s="138" t="s">
        <v>45</v>
      </c>
      <c r="D96" s="27">
        <v>63011870.159999996</v>
      </c>
      <c r="E96" s="28">
        <f t="shared" ref="E96:E109" si="51">(D96/$D$110)</f>
        <v>3.0116116261936306E-4</v>
      </c>
      <c r="F96" s="27">
        <v>12.673707</v>
      </c>
      <c r="G96" s="27">
        <v>13.139276000000001</v>
      </c>
      <c r="H96" s="30">
        <v>59</v>
      </c>
      <c r="I96" s="48">
        <v>-8.0999999999999996E-3</v>
      </c>
      <c r="J96" s="48">
        <v>3.1699999999999999E-2</v>
      </c>
      <c r="K96" s="27">
        <v>63179739.32</v>
      </c>
      <c r="L96" s="28">
        <f t="shared" ref="L96:L109" si="52">(K96/$K$110)</f>
        <v>3.0185834007679459E-4</v>
      </c>
      <c r="M96" s="27">
        <v>12.703582000000001</v>
      </c>
      <c r="N96" s="27">
        <v>13.176513999999999</v>
      </c>
      <c r="O96" s="30">
        <v>61</v>
      </c>
      <c r="P96" s="48">
        <v>1.1999999999999999E-3</v>
      </c>
      <c r="Q96" s="48">
        <v>3.9199999999999999E-2</v>
      </c>
      <c r="R96" s="54">
        <f t="shared" si="40"/>
        <v>2.6640878865164582E-3</v>
      </c>
      <c r="S96" s="54">
        <f t="shared" si="41"/>
        <v>2.8340983171369983E-3</v>
      </c>
      <c r="T96" s="54">
        <f t="shared" si="42"/>
        <v>3.3898305084745763E-2</v>
      </c>
      <c r="U96" s="55">
        <f t="shared" si="43"/>
        <v>9.2999999999999992E-3</v>
      </c>
      <c r="V96" s="56">
        <f t="shared" si="44"/>
        <v>7.4999999999999997E-3</v>
      </c>
    </row>
    <row r="97" spans="1:22">
      <c r="A97" s="139">
        <v>86</v>
      </c>
      <c r="B97" s="137" t="s">
        <v>139</v>
      </c>
      <c r="C97" s="138" t="s">
        <v>140</v>
      </c>
      <c r="D97" s="27">
        <v>552803262.70000005</v>
      </c>
      <c r="E97" s="28">
        <f t="shared" si="51"/>
        <v>2.6420874808472626E-3</v>
      </c>
      <c r="F97" s="27">
        <v>143.06</v>
      </c>
      <c r="G97" s="27">
        <v>143.06</v>
      </c>
      <c r="H97" s="30">
        <v>142</v>
      </c>
      <c r="I97" s="48">
        <v>0.19209999999999999</v>
      </c>
      <c r="J97" s="48">
        <v>0.1963</v>
      </c>
      <c r="K97" s="27">
        <v>565806032.75</v>
      </c>
      <c r="L97" s="28">
        <f t="shared" si="52"/>
        <v>2.7032917781806302E-3</v>
      </c>
      <c r="M97" s="27">
        <v>143.54</v>
      </c>
      <c r="N97" s="27">
        <v>143.54</v>
      </c>
      <c r="O97" s="30">
        <v>143</v>
      </c>
      <c r="P97" s="48">
        <v>0.191</v>
      </c>
      <c r="Q97" s="48">
        <v>0.1961</v>
      </c>
      <c r="R97" s="54">
        <f t="shared" si="40"/>
        <v>2.3521514664171593E-2</v>
      </c>
      <c r="S97" s="54">
        <f t="shared" si="41"/>
        <v>3.3552355654969225E-3</v>
      </c>
      <c r="T97" s="54">
        <f t="shared" si="42"/>
        <v>7.0422535211267607E-3</v>
      </c>
      <c r="U97" s="55">
        <f t="shared" si="43"/>
        <v>-1.0999999999999899E-3</v>
      </c>
      <c r="V97" s="56">
        <f t="shared" si="44"/>
        <v>-2.0000000000000573E-4</v>
      </c>
    </row>
    <row r="98" spans="1:22">
      <c r="A98" s="139">
        <v>87</v>
      </c>
      <c r="B98" s="137" t="s">
        <v>141</v>
      </c>
      <c r="C98" s="138" t="s">
        <v>142</v>
      </c>
      <c r="D98" s="27">
        <v>9270346372.1267128</v>
      </c>
      <c r="E98" s="28">
        <f t="shared" si="51"/>
        <v>4.430702158537355E-2</v>
      </c>
      <c r="F98" s="27">
        <v>1.0832608601961431</v>
      </c>
      <c r="G98" s="27">
        <v>1.0832608601961431</v>
      </c>
      <c r="H98" s="30">
        <v>4747</v>
      </c>
      <c r="I98" s="48">
        <v>0.19020000000000001</v>
      </c>
      <c r="J98" s="48">
        <v>0.19020000000000001</v>
      </c>
      <c r="K98" s="27">
        <v>9382152445.936676</v>
      </c>
      <c r="L98" s="28">
        <f t="shared" si="52"/>
        <v>4.4825777918038476E-2</v>
      </c>
      <c r="M98" s="27">
        <v>1.0861235286999087</v>
      </c>
      <c r="N98" s="27">
        <v>1.0861235286999087</v>
      </c>
      <c r="O98" s="30">
        <v>4798</v>
      </c>
      <c r="P98" s="48">
        <v>0.19020000000000001</v>
      </c>
      <c r="Q98" s="48">
        <v>0.19020000000000001</v>
      </c>
      <c r="R98" s="54">
        <f t="shared" si="40"/>
        <v>1.2060614492909585E-2</v>
      </c>
      <c r="S98" s="54">
        <f t="shared" si="41"/>
        <v>2.6426400223185965E-3</v>
      </c>
      <c r="T98" s="54">
        <f t="shared" si="42"/>
        <v>1.0743627554244786E-2</v>
      </c>
      <c r="U98" s="55">
        <f t="shared" si="43"/>
        <v>0</v>
      </c>
      <c r="V98" s="56">
        <f t="shared" si="44"/>
        <v>0</v>
      </c>
    </row>
    <row r="99" spans="1:22" ht="14.25" customHeight="1">
      <c r="A99" s="139">
        <v>88</v>
      </c>
      <c r="B99" s="137" t="s">
        <v>143</v>
      </c>
      <c r="C99" s="138" t="s">
        <v>49</v>
      </c>
      <c r="D99" s="27">
        <v>4804333958.5</v>
      </c>
      <c r="E99" s="28">
        <f t="shared" si="51"/>
        <v>2.2962003776107996E-2</v>
      </c>
      <c r="F99" s="27">
        <v>5173.72</v>
      </c>
      <c r="G99" s="27">
        <v>5173.72</v>
      </c>
      <c r="H99" s="30">
        <v>238</v>
      </c>
      <c r="I99" s="48">
        <v>0</v>
      </c>
      <c r="J99" s="48">
        <v>1.1999999999999999E-3</v>
      </c>
      <c r="K99" s="27">
        <v>4800736644.1000004</v>
      </c>
      <c r="L99" s="28">
        <f t="shared" si="52"/>
        <v>2.2936821362843626E-2</v>
      </c>
      <c r="M99" s="27">
        <v>5173.72</v>
      </c>
      <c r="N99" s="27">
        <v>5173.72</v>
      </c>
      <c r="O99" s="30">
        <v>238</v>
      </c>
      <c r="P99" s="48">
        <v>0</v>
      </c>
      <c r="Q99" s="48">
        <v>1.1999999999999999E-3</v>
      </c>
      <c r="R99" s="54">
        <f t="shared" si="40"/>
        <v>-7.4876443458621789E-4</v>
      </c>
      <c r="S99" s="54">
        <f t="shared" si="41"/>
        <v>0</v>
      </c>
      <c r="T99" s="54">
        <f t="shared" si="42"/>
        <v>0</v>
      </c>
      <c r="U99" s="55">
        <f t="shared" si="43"/>
        <v>0</v>
      </c>
      <c r="V99" s="56">
        <f t="shared" si="44"/>
        <v>0</v>
      </c>
    </row>
    <row r="100" spans="1:22" ht="13.5" customHeight="1">
      <c r="A100" s="139">
        <v>89</v>
      </c>
      <c r="B100" s="137" t="s">
        <v>144</v>
      </c>
      <c r="C100" s="138" t="s">
        <v>49</v>
      </c>
      <c r="D100" s="27">
        <v>17299335207.119999</v>
      </c>
      <c r="E100" s="28">
        <f t="shared" si="51"/>
        <v>8.2681055018512709E-2</v>
      </c>
      <c r="F100" s="58">
        <v>259.11</v>
      </c>
      <c r="G100" s="58">
        <v>259.11</v>
      </c>
      <c r="H100" s="30">
        <v>6182</v>
      </c>
      <c r="I100" s="48">
        <v>0</v>
      </c>
      <c r="J100" s="48">
        <v>1E-3</v>
      </c>
      <c r="K100" s="27">
        <v>17217211841.75</v>
      </c>
      <c r="L100" s="28">
        <f t="shared" si="52"/>
        <v>8.2259899189802269E-2</v>
      </c>
      <c r="M100" s="58">
        <v>259.13</v>
      </c>
      <c r="N100" s="58">
        <v>259.13</v>
      </c>
      <c r="O100" s="30">
        <v>6173</v>
      </c>
      <c r="P100" s="48">
        <v>1E-4</v>
      </c>
      <c r="Q100" s="48">
        <v>1.1000000000000001E-3</v>
      </c>
      <c r="R100" s="54">
        <f t="shared" si="40"/>
        <v>-4.7471977614607346E-3</v>
      </c>
      <c r="S100" s="54">
        <f t="shared" si="41"/>
        <v>7.718729497117752E-5</v>
      </c>
      <c r="T100" s="54">
        <f t="shared" si="42"/>
        <v>-1.4558395341313492E-3</v>
      </c>
      <c r="U100" s="55">
        <f t="shared" si="43"/>
        <v>1E-4</v>
      </c>
      <c r="V100" s="56">
        <f t="shared" si="44"/>
        <v>1.0000000000000005E-4</v>
      </c>
    </row>
    <row r="101" spans="1:22" ht="13.5" customHeight="1">
      <c r="A101" s="139">
        <v>90</v>
      </c>
      <c r="B101" s="137" t="s">
        <v>145</v>
      </c>
      <c r="C101" s="138" t="s">
        <v>49</v>
      </c>
      <c r="D101" s="27">
        <v>491839142.91000003</v>
      </c>
      <c r="E101" s="28">
        <f t="shared" si="51"/>
        <v>2.350713408828726E-3</v>
      </c>
      <c r="F101" s="33">
        <v>8121.3</v>
      </c>
      <c r="G101" s="33">
        <v>8159.87</v>
      </c>
      <c r="H101" s="30">
        <v>15</v>
      </c>
      <c r="I101" s="48">
        <v>1.7399999999999999E-2</v>
      </c>
      <c r="J101" s="48">
        <v>0.19589999999999999</v>
      </c>
      <c r="K101" s="27">
        <v>498952753.64999998</v>
      </c>
      <c r="L101" s="28">
        <f t="shared" si="52"/>
        <v>2.3838821054751828E-3</v>
      </c>
      <c r="M101" s="33">
        <v>8243.1200000000008</v>
      </c>
      <c r="N101" s="33">
        <v>8274.91</v>
      </c>
      <c r="O101" s="30">
        <v>15</v>
      </c>
      <c r="P101" s="48">
        <v>1.41E-2</v>
      </c>
      <c r="Q101" s="48">
        <v>0.21279999999999999</v>
      </c>
      <c r="R101" s="54">
        <f t="shared" si="40"/>
        <v>1.4463287118450524E-2</v>
      </c>
      <c r="S101" s="54">
        <f t="shared" si="41"/>
        <v>1.4098263820379486E-2</v>
      </c>
      <c r="T101" s="54">
        <f t="shared" si="42"/>
        <v>0</v>
      </c>
      <c r="U101" s="55">
        <f t="shared" si="43"/>
        <v>-3.2999999999999991E-3</v>
      </c>
      <c r="V101" s="56">
        <f t="shared" si="44"/>
        <v>1.6899999999999998E-2</v>
      </c>
    </row>
    <row r="102" spans="1:22" ht="15" customHeight="1">
      <c r="A102" s="139">
        <v>91</v>
      </c>
      <c r="B102" s="137" t="s">
        <v>146</v>
      </c>
      <c r="C102" s="138" t="s">
        <v>49</v>
      </c>
      <c r="D102" s="27">
        <v>6104500835.21</v>
      </c>
      <c r="E102" s="28">
        <f t="shared" si="51"/>
        <v>2.9176067367537986E-2</v>
      </c>
      <c r="F102" s="58">
        <v>149.19999999999999</v>
      </c>
      <c r="G102" s="58">
        <v>149.19999999999999</v>
      </c>
      <c r="H102" s="30">
        <v>4681</v>
      </c>
      <c r="I102" s="48">
        <v>3.0000000000000001E-3</v>
      </c>
      <c r="J102" s="48">
        <v>8.2100000000000006E-2</v>
      </c>
      <c r="K102" s="27">
        <v>6164017910.3699999</v>
      </c>
      <c r="L102" s="28">
        <f t="shared" si="52"/>
        <v>2.9450267358715025E-2</v>
      </c>
      <c r="M102" s="58">
        <v>149.65</v>
      </c>
      <c r="N102" s="58">
        <v>149.65</v>
      </c>
      <c r="O102" s="30">
        <v>4700</v>
      </c>
      <c r="P102" s="48">
        <v>3.0000000000000001E-3</v>
      </c>
      <c r="Q102" s="48">
        <v>8.5400000000000004E-2</v>
      </c>
      <c r="R102" s="54">
        <f t="shared" si="40"/>
        <v>9.74970382782369E-3</v>
      </c>
      <c r="S102" s="54">
        <f t="shared" si="41"/>
        <v>3.0160857908848328E-3</v>
      </c>
      <c r="T102" s="54">
        <f t="shared" si="42"/>
        <v>4.0589617603076266E-3</v>
      </c>
      <c r="U102" s="55">
        <f t="shared" si="43"/>
        <v>0</v>
      </c>
      <c r="V102" s="56">
        <f t="shared" si="44"/>
        <v>3.2999999999999974E-3</v>
      </c>
    </row>
    <row r="103" spans="1:22" ht="15" customHeight="1">
      <c r="A103" s="139">
        <v>92</v>
      </c>
      <c r="B103" s="137" t="s">
        <v>147</v>
      </c>
      <c r="C103" s="138" t="s">
        <v>49</v>
      </c>
      <c r="D103" s="27">
        <v>7452830772.3500004</v>
      </c>
      <c r="E103" s="28">
        <f t="shared" si="51"/>
        <v>3.5620323194773304E-2</v>
      </c>
      <c r="F103" s="58">
        <v>373.23</v>
      </c>
      <c r="G103" s="58">
        <v>373.89</v>
      </c>
      <c r="H103" s="30">
        <v>10295</v>
      </c>
      <c r="I103" s="48">
        <v>9.1000000000000004E-3</v>
      </c>
      <c r="J103" s="48">
        <v>5.5399999999999998E-2</v>
      </c>
      <c r="K103" s="27">
        <v>7232628784.0500002</v>
      </c>
      <c r="L103" s="28">
        <f t="shared" si="52"/>
        <v>3.4555845634106019E-2</v>
      </c>
      <c r="M103" s="58">
        <v>373.96</v>
      </c>
      <c r="N103" s="58">
        <v>374.56</v>
      </c>
      <c r="O103" s="30">
        <v>10312</v>
      </c>
      <c r="P103" s="48">
        <v>1.8E-3</v>
      </c>
      <c r="Q103" s="48">
        <v>5.7299999999999997E-2</v>
      </c>
      <c r="R103" s="54">
        <f t="shared" si="40"/>
        <v>-2.954608725545594E-2</v>
      </c>
      <c r="S103" s="54">
        <f t="shared" si="41"/>
        <v>1.7919709005322847E-3</v>
      </c>
      <c r="T103" s="54">
        <f t="shared" si="42"/>
        <v>1.6512870325400681E-3</v>
      </c>
      <c r="U103" s="55">
        <f t="shared" si="43"/>
        <v>-7.3000000000000009E-3</v>
      </c>
      <c r="V103" s="56">
        <f t="shared" si="44"/>
        <v>1.8999999999999989E-3</v>
      </c>
    </row>
    <row r="104" spans="1:22" ht="15" customHeight="1">
      <c r="A104" s="139">
        <v>93</v>
      </c>
      <c r="B104" s="137" t="s">
        <v>316</v>
      </c>
      <c r="C104" s="138" t="s">
        <v>101</v>
      </c>
      <c r="D104" s="27">
        <v>82468176.519999996</v>
      </c>
      <c r="E104" s="28">
        <f t="shared" si="51"/>
        <v>3.9415132191439241E-4</v>
      </c>
      <c r="F104" s="58">
        <v>100.791</v>
      </c>
      <c r="G104" s="58">
        <v>100.791</v>
      </c>
      <c r="H104" s="30">
        <v>21</v>
      </c>
      <c r="I104" s="48">
        <v>0.1764</v>
      </c>
      <c r="J104" s="48">
        <v>0.16980000000000001</v>
      </c>
      <c r="K104" s="27">
        <v>82742003.299999997</v>
      </c>
      <c r="L104" s="28">
        <f t="shared" si="52"/>
        <v>3.9532236187717556E-4</v>
      </c>
      <c r="M104" s="58">
        <v>101.12569999999999</v>
      </c>
      <c r="N104" s="58">
        <v>101.12569999999999</v>
      </c>
      <c r="O104" s="30">
        <v>21</v>
      </c>
      <c r="P104" s="48">
        <v>0.17369999999999999</v>
      </c>
      <c r="Q104" s="48">
        <v>0.17119999999999999</v>
      </c>
      <c r="R104" s="54">
        <f t="shared" ref="R104" si="53">((K104-D104)/D104)</f>
        <v>3.3203932905390885E-3</v>
      </c>
      <c r="S104" s="54">
        <f t="shared" ref="S104" si="54">((N104-G104)/G104)</f>
        <v>3.3207330019545196E-3</v>
      </c>
      <c r="T104" s="54">
        <f t="shared" ref="T104" si="55">((O104-H104)/H104)</f>
        <v>0</v>
      </c>
      <c r="U104" s="55">
        <f t="shared" ref="U104" si="56">P104-I104</f>
        <v>-2.7000000000000079E-3</v>
      </c>
      <c r="V104" s="56">
        <f t="shared" ref="V104" si="57">Q104-J104</f>
        <v>1.3999999999999846E-3</v>
      </c>
    </row>
    <row r="105" spans="1:22">
      <c r="A105" s="139">
        <v>94</v>
      </c>
      <c r="B105" s="137" t="s">
        <v>148</v>
      </c>
      <c r="C105" s="138" t="s">
        <v>52</v>
      </c>
      <c r="D105" s="27">
        <v>87222107923.550003</v>
      </c>
      <c r="E105" s="28">
        <f t="shared" si="51"/>
        <v>0.41687242993531681</v>
      </c>
      <c r="F105" s="27">
        <v>1.8996</v>
      </c>
      <c r="G105" s="27">
        <v>1.8996</v>
      </c>
      <c r="H105" s="30">
        <v>6506</v>
      </c>
      <c r="I105" s="48">
        <v>0.3574</v>
      </c>
      <c r="J105" s="48">
        <v>9.0800000000000006E-2</v>
      </c>
      <c r="K105" s="27">
        <v>87071421635.860001</v>
      </c>
      <c r="L105" s="28">
        <f t="shared" si="52"/>
        <v>0.41600733219244623</v>
      </c>
      <c r="M105" s="27">
        <v>1.9029</v>
      </c>
      <c r="N105" s="27">
        <v>1.9029</v>
      </c>
      <c r="O105" s="30">
        <v>6511</v>
      </c>
      <c r="P105" s="48">
        <v>9.4700000000000006E-2</v>
      </c>
      <c r="Q105" s="48">
        <v>9.06E-2</v>
      </c>
      <c r="R105" s="54">
        <f t="shared" si="40"/>
        <v>-1.7276157533601304E-3</v>
      </c>
      <c r="S105" s="54">
        <f t="shared" si="41"/>
        <v>1.7372078332280904E-3</v>
      </c>
      <c r="T105" s="54">
        <f t="shared" si="42"/>
        <v>7.6852136489394404E-4</v>
      </c>
      <c r="U105" s="55">
        <f t="shared" si="43"/>
        <v>-0.26269999999999999</v>
      </c>
      <c r="V105" s="56">
        <f t="shared" si="44"/>
        <v>-2.0000000000000573E-4</v>
      </c>
    </row>
    <row r="106" spans="1:22">
      <c r="A106" s="139">
        <v>95</v>
      </c>
      <c r="B106" s="137" t="s">
        <v>149</v>
      </c>
      <c r="C106" s="138" t="s">
        <v>52</v>
      </c>
      <c r="D106" s="27">
        <v>32852762649.02</v>
      </c>
      <c r="E106" s="28">
        <f t="shared" si="51"/>
        <v>0.1570176566655461</v>
      </c>
      <c r="F106" s="27">
        <v>118.23739999999999</v>
      </c>
      <c r="G106" s="27">
        <v>118.23739999999999</v>
      </c>
      <c r="H106" s="30">
        <v>710</v>
      </c>
      <c r="I106" s="48">
        <v>0.20449999999999999</v>
      </c>
      <c r="J106" s="48">
        <v>0.21379999999999999</v>
      </c>
      <c r="K106" s="27">
        <v>33588687336.869999</v>
      </c>
      <c r="L106" s="28">
        <f t="shared" si="52"/>
        <v>0.16047906360475353</v>
      </c>
      <c r="M106" s="27">
        <v>118.6589</v>
      </c>
      <c r="N106" s="27">
        <v>118.6589</v>
      </c>
      <c r="O106" s="30">
        <v>740</v>
      </c>
      <c r="P106" s="48">
        <v>0.2039</v>
      </c>
      <c r="Q106" s="48">
        <v>0.21340000000000001</v>
      </c>
      <c r="R106" s="54">
        <f t="shared" ref="R106:R108" si="58">((K106-D106)/D106)</f>
        <v>2.2400694142900374E-2</v>
      </c>
      <c r="S106" s="54">
        <f t="shared" ref="S106:S108" si="59">((N106-G106)/G106)</f>
        <v>3.5648618795745585E-3</v>
      </c>
      <c r="T106" s="54">
        <f t="shared" ref="T106:T108" si="60">((O106-H106)/H106)</f>
        <v>4.2253521126760563E-2</v>
      </c>
      <c r="U106" s="55">
        <f t="shared" ref="U106:U108" si="61">P106-I106</f>
        <v>-5.9999999999998943E-4</v>
      </c>
      <c r="V106" s="56">
        <f t="shared" ref="V106:V108" si="62">Q106-J106</f>
        <v>-3.999999999999837E-4</v>
      </c>
    </row>
    <row r="107" spans="1:22">
      <c r="A107" s="139">
        <v>96</v>
      </c>
      <c r="B107" s="137" t="s">
        <v>150</v>
      </c>
      <c r="C107" s="137" t="s">
        <v>151</v>
      </c>
      <c r="D107" s="27">
        <v>105857798.76000001</v>
      </c>
      <c r="E107" s="28">
        <f t="shared" si="51"/>
        <v>5.0594051035047355E-4</v>
      </c>
      <c r="F107" s="27">
        <v>116.70919440723996</v>
      </c>
      <c r="G107" s="27">
        <v>116.70919440723996</v>
      </c>
      <c r="H107" s="60">
        <v>75</v>
      </c>
      <c r="I107" s="61">
        <v>6.0000000000000001E-3</v>
      </c>
      <c r="J107" s="61">
        <v>5.7099999999999998E-2</v>
      </c>
      <c r="K107" s="27">
        <v>105857798.76000001</v>
      </c>
      <c r="L107" s="62">
        <f t="shared" si="52"/>
        <v>5.0576434410456138E-4</v>
      </c>
      <c r="M107" s="27">
        <v>116.70919440723996</v>
      </c>
      <c r="N107" s="27">
        <v>116.70919440723996</v>
      </c>
      <c r="O107" s="60">
        <v>75</v>
      </c>
      <c r="P107" s="61">
        <v>6.0000000000000001E-3</v>
      </c>
      <c r="Q107" s="61">
        <v>5.7099999999999998E-2</v>
      </c>
      <c r="R107" s="54">
        <f t="shared" si="58"/>
        <v>0</v>
      </c>
      <c r="S107" s="54">
        <f t="shared" si="59"/>
        <v>0</v>
      </c>
      <c r="T107" s="54">
        <f t="shared" si="60"/>
        <v>0</v>
      </c>
      <c r="U107" s="55">
        <f t="shared" si="61"/>
        <v>0</v>
      </c>
      <c r="V107" s="56">
        <f t="shared" si="62"/>
        <v>0</v>
      </c>
    </row>
    <row r="108" spans="1:22">
      <c r="A108" s="139">
        <v>97</v>
      </c>
      <c r="B108" s="137" t="s">
        <v>152</v>
      </c>
      <c r="C108" s="138" t="s">
        <v>107</v>
      </c>
      <c r="D108" s="27">
        <v>301947070.45999998</v>
      </c>
      <c r="E108" s="28">
        <f t="shared" si="51"/>
        <v>1.4431365163157749E-3</v>
      </c>
      <c r="F108" s="27">
        <v>1.25</v>
      </c>
      <c r="G108" s="27">
        <v>1.25</v>
      </c>
      <c r="H108" s="30">
        <v>516</v>
      </c>
      <c r="I108" s="48">
        <v>1.8397E-2</v>
      </c>
      <c r="J108" s="48">
        <v>0.15795699999999999</v>
      </c>
      <c r="K108" s="27">
        <v>305132042.38999999</v>
      </c>
      <c r="L108" s="28">
        <f t="shared" si="52"/>
        <v>1.4578510897864767E-3</v>
      </c>
      <c r="M108" s="27">
        <v>1.32</v>
      </c>
      <c r="N108" s="27">
        <v>1.53</v>
      </c>
      <c r="O108" s="30">
        <v>519</v>
      </c>
      <c r="P108" s="48">
        <v>1.3299999999999999E-2</v>
      </c>
      <c r="Q108" s="48">
        <v>0.1739</v>
      </c>
      <c r="R108" s="54">
        <f t="shared" si="58"/>
        <v>1.0548113366848948E-2</v>
      </c>
      <c r="S108" s="54">
        <f t="shared" si="59"/>
        <v>0.22400000000000003</v>
      </c>
      <c r="T108" s="54">
        <f t="shared" si="60"/>
        <v>5.8139534883720929E-3</v>
      </c>
      <c r="U108" s="55">
        <f t="shared" si="61"/>
        <v>-5.0970000000000008E-3</v>
      </c>
      <c r="V108" s="56">
        <f t="shared" si="62"/>
        <v>1.5943000000000013E-2</v>
      </c>
    </row>
    <row r="109" spans="1:22">
      <c r="A109" s="139">
        <v>98</v>
      </c>
      <c r="B109" s="137" t="s">
        <v>153</v>
      </c>
      <c r="C109" s="138" t="s">
        <v>109</v>
      </c>
      <c r="D109" s="27">
        <v>1959841656.9100001</v>
      </c>
      <c r="E109" s="28">
        <f t="shared" si="51"/>
        <v>9.3669365858554052E-3</v>
      </c>
      <c r="F109" s="58">
        <v>28.7423</v>
      </c>
      <c r="G109" s="58">
        <v>28.7423</v>
      </c>
      <c r="H109" s="30">
        <v>1300</v>
      </c>
      <c r="I109" s="48">
        <v>0</v>
      </c>
      <c r="J109" s="48">
        <v>0.114</v>
      </c>
      <c r="K109" s="27">
        <v>1910019875.6500001</v>
      </c>
      <c r="L109" s="28">
        <f t="shared" si="52"/>
        <v>9.1256379874755499E-3</v>
      </c>
      <c r="M109" s="58">
        <v>28.5884</v>
      </c>
      <c r="N109" s="58">
        <v>28.5884</v>
      </c>
      <c r="O109" s="30">
        <v>1295</v>
      </c>
      <c r="P109" s="48">
        <v>0</v>
      </c>
      <c r="Q109" s="48">
        <v>0.1152</v>
      </c>
      <c r="R109" s="54">
        <f t="shared" si="40"/>
        <v>-2.542132987343064E-2</v>
      </c>
      <c r="S109" s="54">
        <f t="shared" si="41"/>
        <v>-5.3544775470299923E-3</v>
      </c>
      <c r="T109" s="54">
        <f t="shared" si="42"/>
        <v>-3.8461538461538464E-3</v>
      </c>
      <c r="U109" s="55">
        <f t="shared" si="43"/>
        <v>0</v>
      </c>
      <c r="V109" s="56">
        <f t="shared" si="44"/>
        <v>1.1999999999999927E-3</v>
      </c>
    </row>
    <row r="110" spans="1:22">
      <c r="A110" s="34"/>
      <c r="B110" s="35"/>
      <c r="C110" s="36" t="s">
        <v>53</v>
      </c>
      <c r="D110" s="46">
        <f>SUM(D72:D109)</f>
        <v>209229734710.64914</v>
      </c>
      <c r="E110" s="38">
        <f>(D110/$D$222)</f>
        <v>3.5997934307442997E-2</v>
      </c>
      <c r="F110" s="39"/>
      <c r="G110" s="43"/>
      <c r="H110" s="41">
        <f>SUM(H72:H109)</f>
        <v>51465</v>
      </c>
      <c r="I110" s="51"/>
      <c r="J110" s="51"/>
      <c r="K110" s="46">
        <f>SUM(K72:K109)</f>
        <v>209302612953.89981</v>
      </c>
      <c r="L110" s="38">
        <f>(K110/$K$222)</f>
        <v>3.5402144730858814E-2</v>
      </c>
      <c r="M110" s="39"/>
      <c r="N110" s="43"/>
      <c r="O110" s="41">
        <f>SUM(O72:O109)</f>
        <v>51681</v>
      </c>
      <c r="P110" s="51"/>
      <c r="Q110" s="51"/>
      <c r="R110" s="54">
        <f t="shared" si="40"/>
        <v>3.4831685540039119E-4</v>
      </c>
      <c r="S110" s="54" t="e">
        <f t="shared" si="41"/>
        <v>#DIV/0!</v>
      </c>
      <c r="T110" s="54">
        <f t="shared" si="42"/>
        <v>4.1970271058000587E-3</v>
      </c>
      <c r="U110" s="55">
        <f t="shared" si="43"/>
        <v>0</v>
      </c>
      <c r="V110" s="56">
        <f t="shared" si="44"/>
        <v>0</v>
      </c>
    </row>
    <row r="111" spans="1:22" ht="3.75" customHeight="1">
      <c r="A111" s="34"/>
      <c r="B111" s="155"/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</row>
    <row r="112" spans="1:22" ht="15" customHeight="1">
      <c r="A112" s="154" t="s">
        <v>154</v>
      </c>
      <c r="B112" s="154"/>
      <c r="C112" s="154"/>
      <c r="D112" s="154"/>
      <c r="E112" s="154"/>
      <c r="F112" s="154"/>
      <c r="G112" s="154"/>
      <c r="H112" s="154"/>
      <c r="I112" s="154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</row>
    <row r="113" spans="1:28">
      <c r="A113" s="156" t="s">
        <v>155</v>
      </c>
      <c r="B113" s="156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Z113" s="63"/>
      <c r="AB113" s="66"/>
    </row>
    <row r="114" spans="1:28" ht="16.5" customHeight="1">
      <c r="A114" s="139">
        <v>99</v>
      </c>
      <c r="B114" s="137" t="s">
        <v>156</v>
      </c>
      <c r="C114" s="138" t="s">
        <v>19</v>
      </c>
      <c r="D114" s="27">
        <v>2982783060.7385988</v>
      </c>
      <c r="E114" s="28">
        <f t="shared" ref="E114:E119" si="63">(D114/$D$150)</f>
        <v>1.5536112780551972E-3</v>
      </c>
      <c r="F114" s="27">
        <v>174978.02825814998</v>
      </c>
      <c r="G114" s="27">
        <v>174978.02825814998</v>
      </c>
      <c r="H114" s="30">
        <v>166</v>
      </c>
      <c r="I114" s="48">
        <v>1.1000000000000001E-3</v>
      </c>
      <c r="J114" s="48">
        <v>3.2300000000000002E-2</v>
      </c>
      <c r="K114" s="27">
        <f>1947822.27*W133</f>
        <v>2977366325.5468321</v>
      </c>
      <c r="L114" s="28">
        <f t="shared" ref="L114:L130" si="64">(K114/$K$150)</f>
        <v>1.5503638323919983E-3</v>
      </c>
      <c r="M114" s="27">
        <f>113.8021*W133</f>
        <v>173953.52005935999</v>
      </c>
      <c r="N114" s="27">
        <f>113.8021*W133</f>
        <v>173953.52005935999</v>
      </c>
      <c r="O114" s="30">
        <v>192</v>
      </c>
      <c r="P114" s="48">
        <v>1.1000000000000001E-3</v>
      </c>
      <c r="Q114" s="48">
        <v>3.3399999999999999E-2</v>
      </c>
      <c r="R114" s="55">
        <f>((K114-D114)/D114)</f>
        <v>-1.8160003867077894E-3</v>
      </c>
      <c r="S114" s="55">
        <f>((N114-G114)/G114)</f>
        <v>-5.8550676847181331E-3</v>
      </c>
      <c r="T114" s="55">
        <f>((O114-H114)/H114)</f>
        <v>0.15662650602409639</v>
      </c>
      <c r="U114" s="55">
        <f>P114-I114</f>
        <v>0</v>
      </c>
      <c r="V114" s="56">
        <f>Q114-J114</f>
        <v>1.0999999999999968E-3</v>
      </c>
      <c r="X114" s="63"/>
      <c r="Y114" s="67"/>
      <c r="Z114" s="63"/>
      <c r="AA114" s="68"/>
    </row>
    <row r="115" spans="1:28" ht="16.5" customHeight="1">
      <c r="A115" s="139">
        <v>100</v>
      </c>
      <c r="B115" s="137" t="s">
        <v>157</v>
      </c>
      <c r="C115" s="138" t="s">
        <v>57</v>
      </c>
      <c r="D115" s="27">
        <v>4723260955.7660894</v>
      </c>
      <c r="E115" s="28">
        <f t="shared" si="63"/>
        <v>2.4601559485385098E-3</v>
      </c>
      <c r="F115" s="27">
        <v>153923.59</v>
      </c>
      <c r="G115" s="27">
        <v>153923.59</v>
      </c>
      <c r="H115" s="30">
        <v>75</v>
      </c>
      <c r="I115" s="48">
        <v>-2.2179999999999999E-3</v>
      </c>
      <c r="J115" s="48">
        <v>7.1890999999999997E-2</v>
      </c>
      <c r="K115" s="27">
        <f>3162623.2*W133</f>
        <v>4834264378.7891207</v>
      </c>
      <c r="L115" s="28">
        <f t="shared" si="64"/>
        <v>2.5172813250378566E-3</v>
      </c>
      <c r="M115" s="27">
        <f>100*W133</f>
        <v>152856.16</v>
      </c>
      <c r="N115" s="27">
        <f>100*W133</f>
        <v>152856.16</v>
      </c>
      <c r="O115" s="30">
        <v>75</v>
      </c>
      <c r="P115" s="48">
        <v>2.3960000000000001E-3</v>
      </c>
      <c r="Q115" s="48">
        <v>7.4287000000000006E-2</v>
      </c>
      <c r="R115" s="55">
        <f>((K115-D115)/D115)</f>
        <v>2.3501437685233089E-2</v>
      </c>
      <c r="S115" s="55">
        <f>((N115-G115)/G115)</f>
        <v>-6.9348044701919506E-3</v>
      </c>
      <c r="T115" s="55">
        <f>((O115-H115)/H115)</f>
        <v>0</v>
      </c>
      <c r="U115" s="55">
        <f>P115-I115</f>
        <v>4.614E-3</v>
      </c>
      <c r="V115" s="56">
        <f>Q115-J115</f>
        <v>2.3960000000000092E-3</v>
      </c>
      <c r="X115" s="63"/>
      <c r="Y115" s="67"/>
      <c r="Z115" s="63"/>
      <c r="AA115" s="68"/>
    </row>
    <row r="116" spans="1:28">
      <c r="A116" s="139">
        <v>101</v>
      </c>
      <c r="B116" s="137" t="s">
        <v>158</v>
      </c>
      <c r="C116" s="138" t="s">
        <v>23</v>
      </c>
      <c r="D116" s="27">
        <v>16363959312.363951</v>
      </c>
      <c r="E116" s="28">
        <f t="shared" si="63"/>
        <v>8.5233257744965485E-3</v>
      </c>
      <c r="F116" s="27">
        <v>1821.6823674</v>
      </c>
      <c r="G116" s="27">
        <v>1821.6823674</v>
      </c>
      <c r="H116" s="30">
        <v>314</v>
      </c>
      <c r="I116" s="48">
        <v>0.24410000000000001</v>
      </c>
      <c r="J116" s="48">
        <v>0.08</v>
      </c>
      <c r="K116" s="27">
        <f>10854814.45*1529.80693</f>
        <v>16605770369.474136</v>
      </c>
      <c r="L116" s="28">
        <f t="shared" si="64"/>
        <v>8.6468989619915212E-3</v>
      </c>
      <c r="M116" s="27">
        <f>1.1817*1529.80693</f>
        <v>1807.7728491809999</v>
      </c>
      <c r="N116" s="27">
        <f>1.1817*1529.80693</f>
        <v>1807.7728491809999</v>
      </c>
      <c r="O116" s="30">
        <v>315</v>
      </c>
      <c r="P116" s="48">
        <v>6.6299999999999998E-2</v>
      </c>
      <c r="Q116" s="48">
        <v>7.9600000000000004E-2</v>
      </c>
      <c r="R116" s="55">
        <f t="shared" ref="R116:R128" si="65">((K116-D116)/D116)</f>
        <v>1.4777050742694215E-2</v>
      </c>
      <c r="S116" s="55">
        <f t="shared" ref="S116:S128" si="66">((N116-G116)/G116)</f>
        <v>-7.6355343104366263E-3</v>
      </c>
      <c r="T116" s="55">
        <f t="shared" ref="T116:T128" si="67">((O116-H116)/H116)</f>
        <v>3.1847133757961785E-3</v>
      </c>
      <c r="U116" s="55">
        <f t="shared" ref="U116:U128" si="68">P116-I116</f>
        <v>-0.17780000000000001</v>
      </c>
      <c r="V116" s="56">
        <f t="shared" ref="V116:V128" si="69">Q116-J116</f>
        <v>-3.9999999999999758E-4</v>
      </c>
    </row>
    <row r="117" spans="1:28">
      <c r="A117" s="139">
        <v>102</v>
      </c>
      <c r="B117" s="137" t="s">
        <v>288</v>
      </c>
      <c r="C117" s="138" t="s">
        <v>23</v>
      </c>
      <c r="D117" s="27">
        <v>3248467849.4338498</v>
      </c>
      <c r="E117" s="28">
        <f t="shared" si="63"/>
        <v>1.6919957584948988E-3</v>
      </c>
      <c r="F117" s="27">
        <v>1581.3536564999999</v>
      </c>
      <c r="G117" s="27">
        <v>1581.3536564999999</v>
      </c>
      <c r="H117" s="30">
        <v>79</v>
      </c>
      <c r="I117" s="48">
        <v>5.0200000000000002E-2</v>
      </c>
      <c r="J117" s="48">
        <v>5.0900000000000001E-2</v>
      </c>
      <c r="K117" s="27">
        <f>2107830.39*1529.80693</f>
        <v>3224573537.8866029</v>
      </c>
      <c r="L117" s="28">
        <f t="shared" si="64"/>
        <v>1.6790887117692911E-3</v>
      </c>
      <c r="M117" s="27">
        <f>1.0207*1529.80693</f>
        <v>1561.4739334509998</v>
      </c>
      <c r="N117" s="27">
        <f>1.0207*1529.80693</f>
        <v>1561.4739334509998</v>
      </c>
      <c r="O117" s="30">
        <v>79</v>
      </c>
      <c r="P117" s="48">
        <v>-0.19339999999999999</v>
      </c>
      <c r="Q117" s="48">
        <v>4.0800000000000003E-2</v>
      </c>
      <c r="R117" s="55">
        <f t="shared" si="65"/>
        <v>-7.3555635009320735E-3</v>
      </c>
      <c r="S117" s="55">
        <f t="shared" ref="S117" si="70">((N117-G117)/G117)</f>
        <v>-1.2571332773846327E-2</v>
      </c>
      <c r="T117" s="55">
        <f t="shared" ref="T117" si="71">((O117-H117)/H117)</f>
        <v>0</v>
      </c>
      <c r="U117" s="55">
        <f t="shared" ref="U117" si="72">P117-I117</f>
        <v>-0.24359999999999998</v>
      </c>
      <c r="V117" s="56">
        <f t="shared" ref="V117" si="73">Q117-J117</f>
        <v>-1.0099999999999998E-2</v>
      </c>
    </row>
    <row r="118" spans="1:28">
      <c r="A118" s="139">
        <v>103</v>
      </c>
      <c r="B118" s="137" t="s">
        <v>159</v>
      </c>
      <c r="C118" s="138" t="s">
        <v>27</v>
      </c>
      <c r="D118" s="27">
        <v>18015072454.741348</v>
      </c>
      <c r="E118" s="28">
        <f t="shared" si="63"/>
        <v>9.3833239530793002E-3</v>
      </c>
      <c r="F118" s="27">
        <v>1667.1464032899999</v>
      </c>
      <c r="G118" s="27">
        <v>1667.1464032899999</v>
      </c>
      <c r="H118" s="30">
        <v>457</v>
      </c>
      <c r="I118" s="48">
        <v>1.8E-3</v>
      </c>
      <c r="J118" s="48">
        <v>4.19E-2</v>
      </c>
      <c r="K118" s="27">
        <f>12340582.46*W133</f>
        <v>18863340469.989536</v>
      </c>
      <c r="L118" s="28">
        <f t="shared" si="64"/>
        <v>9.8224530088338469E-3</v>
      </c>
      <c r="M118" s="27">
        <f>1.0849*W133</f>
        <v>1658.33647984</v>
      </c>
      <c r="N118" s="27">
        <f>1.0849*W133</f>
        <v>1658.33647984</v>
      </c>
      <c r="O118" s="30">
        <v>465</v>
      </c>
      <c r="P118" s="48">
        <v>1.6999999999999999E-3</v>
      </c>
      <c r="Q118" s="48">
        <v>4.3499999999999997E-2</v>
      </c>
      <c r="R118" s="55">
        <f t="shared" si="65"/>
        <v>4.7086572500846878E-2</v>
      </c>
      <c r="S118" s="55">
        <f t="shared" ref="S118:T121" si="74">((N118-G118)/G118)</f>
        <v>-5.2844329883770438E-3</v>
      </c>
      <c r="T118" s="55">
        <f t="shared" si="74"/>
        <v>1.7505470459518599E-2</v>
      </c>
      <c r="U118" s="55">
        <f t="shared" si="68"/>
        <v>-1.0000000000000005E-4</v>
      </c>
      <c r="V118" s="56">
        <f t="shared" si="69"/>
        <v>1.5999999999999973E-3</v>
      </c>
    </row>
    <row r="119" spans="1:28">
      <c r="A119" s="139">
        <v>104</v>
      </c>
      <c r="B119" s="137" t="s">
        <v>160</v>
      </c>
      <c r="C119" s="138" t="s">
        <v>63</v>
      </c>
      <c r="D119" s="27">
        <v>800572276.40382099</v>
      </c>
      <c r="E119" s="28">
        <f t="shared" si="63"/>
        <v>4.1698577878181788E-4</v>
      </c>
      <c r="F119" s="27">
        <v>1723.9442080000001</v>
      </c>
      <c r="G119" s="27">
        <v>1723.9442080000001</v>
      </c>
      <c r="H119" s="30">
        <v>31</v>
      </c>
      <c r="I119" s="48">
        <v>-0.37</v>
      </c>
      <c r="J119" s="48">
        <v>0.13700000000000001</v>
      </c>
      <c r="K119" s="27">
        <f>512764.9*W133</f>
        <v>783792735.96784008</v>
      </c>
      <c r="L119" s="28">
        <f t="shared" si="64"/>
        <v>4.0813382602926076E-4</v>
      </c>
      <c r="M119" s="27">
        <f>1.08*W133</f>
        <v>1650.846528</v>
      </c>
      <c r="N119" s="27">
        <f>1.08*W133</f>
        <v>1650.846528</v>
      </c>
      <c r="O119" s="30">
        <v>31</v>
      </c>
      <c r="P119" s="48">
        <v>0.65700000000000003</v>
      </c>
      <c r="Q119" s="48">
        <v>0.14699999999999999</v>
      </c>
      <c r="R119" s="55">
        <f t="shared" si="65"/>
        <v>-2.095943230929103E-2</v>
      </c>
      <c r="S119" s="55">
        <f t="shared" si="74"/>
        <v>-4.240141859625661E-2</v>
      </c>
      <c r="T119" s="55">
        <f t="shared" si="74"/>
        <v>0</v>
      </c>
      <c r="U119" s="55">
        <f t="shared" si="68"/>
        <v>1.0270000000000001</v>
      </c>
      <c r="V119" s="56">
        <f t="shared" si="69"/>
        <v>9.9999999999999811E-3</v>
      </c>
    </row>
    <row r="120" spans="1:28">
      <c r="A120" s="139">
        <v>105</v>
      </c>
      <c r="B120" s="137" t="s">
        <v>161</v>
      </c>
      <c r="C120" s="138" t="s">
        <v>29</v>
      </c>
      <c r="D120" s="27">
        <v>453856665.48127794</v>
      </c>
      <c r="E120" s="28">
        <v>0</v>
      </c>
      <c r="F120" s="27">
        <v>2064.7310362599997</v>
      </c>
      <c r="G120" s="27">
        <v>2064.7310362599997</v>
      </c>
      <c r="H120" s="30">
        <v>46</v>
      </c>
      <c r="I120" s="48">
        <v>5.4625999999999997E-3</v>
      </c>
      <c r="J120" s="48">
        <v>0.1167</v>
      </c>
      <c r="K120" s="27">
        <f>294858.42*W133</f>
        <v>450709258.24867195</v>
      </c>
      <c r="L120" s="28">
        <f t="shared" si="64"/>
        <v>2.3469175657605011E-4</v>
      </c>
      <c r="M120" s="27">
        <f>1.3414*W133</f>
        <v>2050.4125302399998</v>
      </c>
      <c r="N120" s="27">
        <f>1.3414*W133</f>
        <v>2050.4125302399998</v>
      </c>
      <c r="O120" s="30">
        <v>46</v>
      </c>
      <c r="P120" s="48">
        <v>5.4625999999999997E-3</v>
      </c>
      <c r="Q120" s="48">
        <v>0.1167</v>
      </c>
      <c r="R120" s="55">
        <f t="shared" si="65"/>
        <v>-6.9348044701919827E-3</v>
      </c>
      <c r="S120" s="55">
        <f t="shared" si="74"/>
        <v>-6.9348044701919289E-3</v>
      </c>
      <c r="T120" s="55">
        <f t="shared" si="74"/>
        <v>0</v>
      </c>
      <c r="U120" s="55">
        <f t="shared" si="68"/>
        <v>0</v>
      </c>
      <c r="V120" s="56">
        <f t="shared" si="69"/>
        <v>0</v>
      </c>
    </row>
    <row r="121" spans="1:28">
      <c r="A121" s="139">
        <v>106</v>
      </c>
      <c r="B121" s="137" t="s">
        <v>162</v>
      </c>
      <c r="C121" s="138" t="s">
        <v>70</v>
      </c>
      <c r="D121" s="27">
        <v>824664365.92590296</v>
      </c>
      <c r="E121" s="28">
        <f t="shared" ref="E121:E130" si="75">(D121/$D$150)</f>
        <v>4.2953437558930865E-4</v>
      </c>
      <c r="F121" s="27">
        <v>164144.11637599999</v>
      </c>
      <c r="G121" s="27">
        <v>165960.41473799999</v>
      </c>
      <c r="H121" s="30">
        <v>52</v>
      </c>
      <c r="I121" s="48">
        <v>3.2000000000000002E-3</v>
      </c>
      <c r="J121" s="48">
        <v>1.9099999999999999E-2</v>
      </c>
      <c r="K121" s="27">
        <f>527757.59*W133</f>
        <v>806709986.18254399</v>
      </c>
      <c r="L121" s="28">
        <f t="shared" si="64"/>
        <v>4.2006721681355706E-4</v>
      </c>
      <c r="M121" s="27">
        <f>105.05*W133</f>
        <v>160575.39608000001</v>
      </c>
      <c r="N121" s="27">
        <f>105.05*W133</f>
        <v>160575.39608000001</v>
      </c>
      <c r="O121" s="30">
        <v>52</v>
      </c>
      <c r="P121" s="48">
        <v>-5.1000000000000004E-3</v>
      </c>
      <c r="Q121" s="48">
        <v>1.4E-2</v>
      </c>
      <c r="R121" s="55">
        <f t="shared" si="65"/>
        <v>-2.1771741917331968E-2</v>
      </c>
      <c r="S121" s="55">
        <f t="shared" si="74"/>
        <v>-3.2447609066904658E-2</v>
      </c>
      <c r="T121" s="55">
        <f t="shared" si="74"/>
        <v>0</v>
      </c>
      <c r="U121" s="55">
        <f t="shared" si="68"/>
        <v>-8.3000000000000001E-3</v>
      </c>
      <c r="V121" s="56">
        <f t="shared" si="69"/>
        <v>-5.0999999999999986E-3</v>
      </c>
    </row>
    <row r="122" spans="1:28">
      <c r="A122" s="139">
        <v>107</v>
      </c>
      <c r="B122" s="137" t="s">
        <v>163</v>
      </c>
      <c r="C122" s="138" t="s">
        <v>73</v>
      </c>
      <c r="D122" s="27">
        <v>5355135409.5226326</v>
      </c>
      <c r="E122" s="28">
        <f t="shared" si="75"/>
        <v>2.7892738420228743E-3</v>
      </c>
      <c r="F122" s="27">
        <v>170788.38206193998</v>
      </c>
      <c r="G122" s="27">
        <v>170788.38206193998</v>
      </c>
      <c r="H122" s="30">
        <v>61</v>
      </c>
      <c r="I122" s="48">
        <v>8.9999999999999993E-3</v>
      </c>
      <c r="J122" s="48">
        <v>7.0499999999999993E-2</v>
      </c>
      <c r="K122" s="27">
        <v>5337306159.8281116</v>
      </c>
      <c r="L122" s="28">
        <f t="shared" si="64"/>
        <v>2.7792234907744388E-3</v>
      </c>
      <c r="M122" s="27">
        <v>169776.83248667201</v>
      </c>
      <c r="N122" s="27">
        <v>169776.83248667201</v>
      </c>
      <c r="O122" s="30">
        <v>61</v>
      </c>
      <c r="P122" s="48">
        <v>8.9999999999999993E-3</v>
      </c>
      <c r="Q122" s="48">
        <v>6.9800000000000001E-2</v>
      </c>
      <c r="R122" s="55">
        <f t="shared" si="65"/>
        <v>-3.329374204584359E-3</v>
      </c>
      <c r="S122" s="55">
        <f t="shared" si="66"/>
        <v>-5.9228242756062368E-3</v>
      </c>
      <c r="T122" s="55">
        <f t="shared" si="67"/>
        <v>0</v>
      </c>
      <c r="U122" s="55">
        <f t="shared" si="68"/>
        <v>0</v>
      </c>
      <c r="V122" s="56">
        <f t="shared" si="69"/>
        <v>-6.999999999999923E-4</v>
      </c>
      <c r="X122" s="64"/>
    </row>
    <row r="123" spans="1:28">
      <c r="A123" s="139">
        <v>108</v>
      </c>
      <c r="B123" s="137" t="s">
        <v>164</v>
      </c>
      <c r="C123" s="138" t="s">
        <v>31</v>
      </c>
      <c r="D123" s="27">
        <v>56461731646.904007</v>
      </c>
      <c r="E123" s="28">
        <f t="shared" si="75"/>
        <v>2.9408636591705374E-2</v>
      </c>
      <c r="F123" s="27">
        <v>202204.87200000003</v>
      </c>
      <c r="G123" s="27">
        <v>202204.87200000003</v>
      </c>
      <c r="H123" s="30">
        <v>2432</v>
      </c>
      <c r="I123" s="48">
        <v>1.2999999999999999E-3</v>
      </c>
      <c r="J123" s="48">
        <v>3.5400000000000001E-2</v>
      </c>
      <c r="K123" s="27">
        <f>36616005.06*1529.56</f>
        <v>56006376699.573601</v>
      </c>
      <c r="L123" s="28">
        <f t="shared" si="64"/>
        <v>2.9163445583872967E-2</v>
      </c>
      <c r="M123" s="27">
        <f>131.06*1529.56</f>
        <v>200464.1336</v>
      </c>
      <c r="N123" s="27">
        <f>131.06*1529.56</f>
        <v>200464.1336</v>
      </c>
      <c r="O123" s="30">
        <v>2432</v>
      </c>
      <c r="P123" s="48">
        <v>1.5E-3</v>
      </c>
      <c r="Q123" s="48">
        <v>3.6900000000000002E-2</v>
      </c>
      <c r="R123" s="55">
        <f t="shared" si="65"/>
        <v>-8.0648420451938947E-3</v>
      </c>
      <c r="S123" s="55">
        <f t="shared" si="66"/>
        <v>-8.6087856478553638E-3</v>
      </c>
      <c r="T123" s="55">
        <f t="shared" si="67"/>
        <v>0</v>
      </c>
      <c r="U123" s="55">
        <f t="shared" si="68"/>
        <v>2.0000000000000009E-4</v>
      </c>
      <c r="V123" s="56">
        <f t="shared" si="69"/>
        <v>1.5000000000000013E-3</v>
      </c>
    </row>
    <row r="124" spans="1:28">
      <c r="A124" s="139">
        <v>109</v>
      </c>
      <c r="B124" s="148" t="s">
        <v>165</v>
      </c>
      <c r="C124" s="148" t="s">
        <v>31</v>
      </c>
      <c r="D124" s="27">
        <v>151376274344.496</v>
      </c>
      <c r="E124" s="28">
        <f t="shared" si="75"/>
        <v>7.8845790076785272E-2</v>
      </c>
      <c r="F124" s="27">
        <v>190801.296</v>
      </c>
      <c r="G124" s="27">
        <v>190801.296</v>
      </c>
      <c r="H124" s="30">
        <v>876</v>
      </c>
      <c r="I124" s="48">
        <v>1.5E-3</v>
      </c>
      <c r="J124" s="48">
        <v>0.04</v>
      </c>
      <c r="K124" s="27">
        <f>102093248.8*1529.56</f>
        <v>156157749634.52798</v>
      </c>
      <c r="L124" s="28">
        <f t="shared" si="64"/>
        <v>8.1313919991565675E-2</v>
      </c>
      <c r="M124" s="27">
        <f>123.69*1529.56</f>
        <v>189191.2764</v>
      </c>
      <c r="N124" s="27">
        <f>123.69*1529.56</f>
        <v>189191.2764</v>
      </c>
      <c r="O124" s="30">
        <v>888</v>
      </c>
      <c r="P124" s="48">
        <v>1.6999999999999999E-3</v>
      </c>
      <c r="Q124" s="48">
        <v>4.1799999999999997E-2</v>
      </c>
      <c r="R124" s="55">
        <f t="shared" si="65"/>
        <v>3.1586688936143942E-2</v>
      </c>
      <c r="S124" s="55">
        <f t="shared" si="66"/>
        <v>-8.4382005455560412E-3</v>
      </c>
      <c r="T124" s="55">
        <f t="shared" si="67"/>
        <v>1.3698630136986301E-2</v>
      </c>
      <c r="U124" s="55">
        <f t="shared" si="68"/>
        <v>1.9999999999999987E-4</v>
      </c>
      <c r="V124" s="56">
        <f t="shared" si="69"/>
        <v>1.799999999999996E-3</v>
      </c>
      <c r="X124" s="63"/>
    </row>
    <row r="125" spans="1:28">
      <c r="A125" s="139">
        <v>110</v>
      </c>
      <c r="B125" s="137" t="s">
        <v>300</v>
      </c>
      <c r="C125" s="138" t="s">
        <v>299</v>
      </c>
      <c r="D125" s="27">
        <v>1001898267.534375</v>
      </c>
      <c r="E125" s="28">
        <f t="shared" si="75"/>
        <v>5.2184835980660681E-4</v>
      </c>
      <c r="F125" s="27">
        <v>1539.2358999999999</v>
      </c>
      <c r="G125" s="27">
        <v>1539.2358999999999</v>
      </c>
      <c r="H125" s="30">
        <v>8</v>
      </c>
      <c r="I125" s="48">
        <v>9.35E-2</v>
      </c>
      <c r="J125" s="48">
        <v>8.6999999999999994E-2</v>
      </c>
      <c r="K125" s="27">
        <f>654519.57*W133</f>
        <v>1000473481.150512</v>
      </c>
      <c r="L125" s="28">
        <f t="shared" si="64"/>
        <v>5.2096306965458542E-4</v>
      </c>
      <c r="M125" s="27">
        <f>1*W133</f>
        <v>1528.5616</v>
      </c>
      <c r="N125" s="27">
        <f>1*W133</f>
        <v>1528.5616</v>
      </c>
      <c r="O125" s="30">
        <v>9</v>
      </c>
      <c r="P125" s="48">
        <v>9.3100000000000002E-2</v>
      </c>
      <c r="Q125" s="48">
        <v>8.7300000000000003E-2</v>
      </c>
      <c r="R125" s="55">
        <f t="shared" ref="R125" si="76">((K125-D125)/D125)</f>
        <v>-1.4220868825028565E-3</v>
      </c>
      <c r="S125" s="55">
        <f t="shared" ref="S125" si="77">((N125-G125)/G125)</f>
        <v>-6.9348044701919333E-3</v>
      </c>
      <c r="T125" s="55">
        <f t="shared" si="67"/>
        <v>0.125</v>
      </c>
      <c r="U125" s="55">
        <f t="shared" si="68"/>
        <v>-3.9999999999999758E-4</v>
      </c>
      <c r="V125" s="56">
        <f t="shared" si="69"/>
        <v>3.0000000000000859E-4</v>
      </c>
    </row>
    <row r="126" spans="1:28">
      <c r="A126" s="139">
        <v>111</v>
      </c>
      <c r="B126" s="137" t="s">
        <v>166</v>
      </c>
      <c r="C126" s="138" t="s">
        <v>35</v>
      </c>
      <c r="D126" s="27">
        <v>251824257.42677802</v>
      </c>
      <c r="E126" s="28">
        <f t="shared" si="75"/>
        <v>1.3116508926708175E-4</v>
      </c>
      <c r="F126" s="27">
        <v>197237.68822599997</v>
      </c>
      <c r="G126" s="27">
        <v>197237.68822599997</v>
      </c>
      <c r="H126" s="30">
        <v>9</v>
      </c>
      <c r="I126" s="48">
        <v>2E-3</v>
      </c>
      <c r="J126" s="48">
        <v>0.13020000000000001</v>
      </c>
      <c r="K126" s="27">
        <f>163936.5*W133</f>
        <v>250587038.73840001</v>
      </c>
      <c r="L126" s="28">
        <f t="shared" si="64"/>
        <v>1.3048481081845873E-4</v>
      </c>
      <c r="M126" s="27">
        <f>128.4*W133</f>
        <v>196267.30944000001</v>
      </c>
      <c r="N126" s="27">
        <f>128.4*W133</f>
        <v>196267.30944000001</v>
      </c>
      <c r="O126" s="30">
        <v>9</v>
      </c>
      <c r="P126" s="48">
        <v>2E-3</v>
      </c>
      <c r="Q126" s="48">
        <v>0.13250000000000001</v>
      </c>
      <c r="R126" s="55">
        <f t="shared" si="65"/>
        <v>-4.9130242694659688E-3</v>
      </c>
      <c r="S126" s="55">
        <f t="shared" si="66"/>
        <v>-4.9198446540707408E-3</v>
      </c>
      <c r="T126" s="55">
        <f t="shared" si="67"/>
        <v>0</v>
      </c>
      <c r="U126" s="55">
        <f t="shared" si="68"/>
        <v>0</v>
      </c>
      <c r="V126" s="56">
        <f t="shared" si="69"/>
        <v>2.2999999999999965E-3</v>
      </c>
    </row>
    <row r="127" spans="1:28">
      <c r="A127" s="139">
        <v>112</v>
      </c>
      <c r="B127" s="137" t="s">
        <v>167</v>
      </c>
      <c r="C127" s="138" t="s">
        <v>41</v>
      </c>
      <c r="D127" s="27">
        <v>17150390341.231091</v>
      </c>
      <c r="E127" s="28">
        <f t="shared" si="75"/>
        <v>8.9329459483344659E-3</v>
      </c>
      <c r="F127" s="27">
        <v>2185.714978</v>
      </c>
      <c r="G127" s="27">
        <v>2185.714978</v>
      </c>
      <c r="H127" s="44">
        <v>119</v>
      </c>
      <c r="I127" s="51">
        <v>8.9999999999999998E-4</v>
      </c>
      <c r="J127" s="51">
        <v>4.9099999999999998E-2</v>
      </c>
      <c r="K127" s="27">
        <f>11152375.39*W133</f>
        <v>17047092769.939024</v>
      </c>
      <c r="L127" s="28">
        <f t="shared" si="64"/>
        <v>8.8767028266468102E-3</v>
      </c>
      <c r="M127" s="27">
        <f>1.42*W133</f>
        <v>2170.557472</v>
      </c>
      <c r="N127" s="27">
        <f>1.42*W133</f>
        <v>2170.557472</v>
      </c>
      <c r="O127" s="44">
        <v>119</v>
      </c>
      <c r="P127" s="51">
        <v>8.9999999999999998E-4</v>
      </c>
      <c r="Q127" s="51">
        <v>4.9099999999999998E-2</v>
      </c>
      <c r="R127" s="55">
        <f t="shared" si="65"/>
        <v>-6.0230449124956571E-3</v>
      </c>
      <c r="S127" s="55">
        <f t="shared" si="66"/>
        <v>-6.9348044701920018E-3</v>
      </c>
      <c r="T127" s="55">
        <f t="shared" si="67"/>
        <v>0</v>
      </c>
      <c r="U127" s="55">
        <f t="shared" si="68"/>
        <v>0</v>
      </c>
      <c r="V127" s="56">
        <f t="shared" si="69"/>
        <v>0</v>
      </c>
    </row>
    <row r="128" spans="1:28">
      <c r="A128" s="139">
        <v>113</v>
      </c>
      <c r="B128" s="137" t="s">
        <v>168</v>
      </c>
      <c r="C128" s="138" t="s">
        <v>87</v>
      </c>
      <c r="D128" s="27">
        <v>31121376120.413071</v>
      </c>
      <c r="E128" s="28">
        <f t="shared" si="75"/>
        <v>1.62098684164107E-2</v>
      </c>
      <c r="F128" s="27">
        <v>162420.17216799999</v>
      </c>
      <c r="G128" s="27">
        <v>162420.17216799999</v>
      </c>
      <c r="H128" s="30">
        <v>673</v>
      </c>
      <c r="I128" s="51">
        <v>2.5999999999999999E-3</v>
      </c>
      <c r="J128" s="48">
        <v>9.5600000000000004E-2</v>
      </c>
      <c r="K128" s="27">
        <f>20364965.6*W133</f>
        <v>31129104401.480961</v>
      </c>
      <c r="L128" s="28">
        <f t="shared" si="64"/>
        <v>1.6209438920804214E-2</v>
      </c>
      <c r="M128" s="27">
        <f>103.38*W133</f>
        <v>158022.69820799999</v>
      </c>
      <c r="N128" s="27">
        <f>103.38*W133</f>
        <v>158022.69820799999</v>
      </c>
      <c r="O128" s="30">
        <v>680</v>
      </c>
      <c r="P128" s="51">
        <v>2.7000000000000001E-3</v>
      </c>
      <c r="Q128" s="48">
        <v>9.74E-2</v>
      </c>
      <c r="R128" s="55">
        <f t="shared" si="65"/>
        <v>2.4832709961115917E-4</v>
      </c>
      <c r="S128" s="55">
        <f t="shared" si="66"/>
        <v>-2.707467860243035E-2</v>
      </c>
      <c r="T128" s="55">
        <f t="shared" si="67"/>
        <v>1.0401188707280832E-2</v>
      </c>
      <c r="U128" s="55">
        <f t="shared" si="68"/>
        <v>1.0000000000000026E-4</v>
      </c>
      <c r="V128" s="56">
        <f t="shared" si="69"/>
        <v>1.799999999999996E-3</v>
      </c>
    </row>
    <row r="129" spans="1:24">
      <c r="A129" s="139">
        <v>114</v>
      </c>
      <c r="B129" s="137" t="s">
        <v>169</v>
      </c>
      <c r="C129" s="138" t="s">
        <v>45</v>
      </c>
      <c r="D129" s="27">
        <v>2680949875.500566</v>
      </c>
      <c r="E129" s="28">
        <f t="shared" si="75"/>
        <v>1.396398557207502E-3</v>
      </c>
      <c r="F129" s="27">
        <v>216145.67279625128</v>
      </c>
      <c r="G129" s="27">
        <v>224028.7524761729</v>
      </c>
      <c r="H129" s="30">
        <v>51</v>
      </c>
      <c r="I129" s="48">
        <v>8.9999999999999998E-4</v>
      </c>
      <c r="J129" s="48">
        <v>2.52E-2</v>
      </c>
      <c r="K129" s="27">
        <f>1744486.92*W133</f>
        <v>2666555717.6142721</v>
      </c>
      <c r="L129" s="28">
        <f t="shared" si="64"/>
        <v>1.3885196141888824E-3</v>
      </c>
      <c r="M129" s="27">
        <f>140.645411*W133</f>
        <v>214985.17447081758</v>
      </c>
      <c r="N129" s="27">
        <f>145.809052*W133</f>
        <v>222878.11781960321</v>
      </c>
      <c r="O129" s="30">
        <v>51</v>
      </c>
      <c r="P129" s="48">
        <v>1.1999999999999999E-3</v>
      </c>
      <c r="Q129" s="48">
        <v>2.69E-2</v>
      </c>
      <c r="R129" s="55">
        <f t="shared" ref="R129:R130" si="78">((K129-D129)/D129)</f>
        <v>-5.3690514760580234E-3</v>
      </c>
      <c r="S129" s="55">
        <f t="shared" ref="S129:S130" si="79">((N129-G129)/G129)</f>
        <v>-5.136102593313624E-3</v>
      </c>
      <c r="T129" s="55">
        <f t="shared" ref="T129:T130" si="80">((O129-H129)/H129)</f>
        <v>0</v>
      </c>
      <c r="U129" s="55">
        <f t="shared" ref="U129:U130" si="81">P129-I129</f>
        <v>2.9999999999999992E-4</v>
      </c>
      <c r="V129" s="56">
        <f t="shared" ref="V129:V130" si="82">Q129-J129</f>
        <v>1.7000000000000001E-3</v>
      </c>
    </row>
    <row r="130" spans="1:24">
      <c r="A130" s="139">
        <v>115</v>
      </c>
      <c r="B130" s="137" t="s">
        <v>170</v>
      </c>
      <c r="C130" s="138" t="s">
        <v>52</v>
      </c>
      <c r="D130" s="31">
        <v>177531241224.19699</v>
      </c>
      <c r="E130" s="28">
        <f t="shared" si="75"/>
        <v>9.2468856419196915E-2</v>
      </c>
      <c r="F130" s="27">
        <v>187540.59667699999</v>
      </c>
      <c r="G130" s="27">
        <v>187540.59667699999</v>
      </c>
      <c r="H130" s="30">
        <v>3772</v>
      </c>
      <c r="I130" s="48">
        <v>0.13553999999999999</v>
      </c>
      <c r="J130" s="48">
        <v>9.7000000000000003E-2</v>
      </c>
      <c r="K130" s="31">
        <f>115168023.85*1529.56</f>
        <v>176156402560.00598</v>
      </c>
      <c r="L130" s="28">
        <f t="shared" si="64"/>
        <v>9.1727548951558366E-2</v>
      </c>
      <c r="M130" s="27">
        <f>121.1617*1529.56</f>
        <v>185324.08985199998</v>
      </c>
      <c r="N130" s="27">
        <f>121.1617*1529.56</f>
        <v>185324.08985199998</v>
      </c>
      <c r="O130" s="30">
        <v>3748</v>
      </c>
      <c r="P130" s="48">
        <v>8.5500000000000007E-2</v>
      </c>
      <c r="Q130" s="48">
        <v>9.6199999999999994E-2</v>
      </c>
      <c r="R130" s="55">
        <f t="shared" si="78"/>
        <v>-7.7442069052780496E-3</v>
      </c>
      <c r="S130" s="55">
        <f t="shared" si="79"/>
        <v>-1.1818810776300849E-2</v>
      </c>
      <c r="T130" s="55">
        <f t="shared" si="80"/>
        <v>-6.3626723223753979E-3</v>
      </c>
      <c r="U130" s="55">
        <f t="shared" si="81"/>
        <v>-5.0039999999999987E-2</v>
      </c>
      <c r="V130" s="56">
        <f t="shared" si="82"/>
        <v>-8.0000000000000904E-4</v>
      </c>
    </row>
    <row r="131" spans="1:24" ht="6" customHeight="1">
      <c r="A131" s="34"/>
      <c r="B131" s="155"/>
      <c r="C131" s="155"/>
      <c r="D131" s="155"/>
      <c r="E131" s="155"/>
      <c r="F131" s="155"/>
      <c r="G131" s="155"/>
      <c r="H131" s="155"/>
      <c r="I131" s="155"/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U131" s="155"/>
      <c r="V131" s="155"/>
    </row>
    <row r="132" spans="1:24">
      <c r="A132" s="156" t="s">
        <v>171</v>
      </c>
      <c r="B132" s="156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  <c r="M132" s="156"/>
      <c r="N132" s="156"/>
      <c r="O132" s="156"/>
      <c r="P132" s="156"/>
      <c r="Q132" s="156"/>
      <c r="R132" s="156"/>
      <c r="S132" s="156"/>
      <c r="T132" s="156"/>
      <c r="U132" s="156"/>
      <c r="V132" s="156"/>
    </row>
    <row r="133" spans="1:24">
      <c r="A133" s="139">
        <v>116</v>
      </c>
      <c r="B133" s="137" t="s">
        <v>172</v>
      </c>
      <c r="C133" s="138" t="s">
        <v>115</v>
      </c>
      <c r="D133" s="31">
        <v>1876475359.0277832</v>
      </c>
      <c r="E133" s="28">
        <f t="shared" ref="E133:E146" si="83">(D133/$D$150)</f>
        <v>9.7738025911155179E-4</v>
      </c>
      <c r="F133" s="27">
        <v>168931.140025</v>
      </c>
      <c r="G133" s="27">
        <v>168931.140025</v>
      </c>
      <c r="H133" s="30">
        <v>23</v>
      </c>
      <c r="I133" s="48">
        <v>7.1000000000000004E-3</v>
      </c>
      <c r="J133" s="48">
        <v>0.12590000000000001</v>
      </c>
      <c r="K133" s="31">
        <f>1204919.01*W133</f>
        <v>1841792929.796016</v>
      </c>
      <c r="L133" s="28">
        <f t="shared" ref="L133:L149" si="84">(K133/$K$150)</f>
        <v>9.5905200532776151E-4</v>
      </c>
      <c r="M133" s="27">
        <f>108.47*W133</f>
        <v>165803.07675199999</v>
      </c>
      <c r="N133" s="27">
        <f>108.47*W133</f>
        <v>165803.07675199999</v>
      </c>
      <c r="O133" s="30">
        <v>23</v>
      </c>
      <c r="P133" s="48">
        <v>6.0000000000000001E-3</v>
      </c>
      <c r="Q133" s="48">
        <v>0.1356</v>
      </c>
      <c r="R133" s="55">
        <f>((K133-D133)/D133)</f>
        <v>-1.8482752286039301E-2</v>
      </c>
      <c r="S133" s="55">
        <f>((N133-G133)/G133)</f>
        <v>-1.8516794905528294E-2</v>
      </c>
      <c r="T133" s="55">
        <f>((O133-H133)/H133)</f>
        <v>0</v>
      </c>
      <c r="U133" s="55">
        <f>P133-I133</f>
        <v>-1.1000000000000003E-3</v>
      </c>
      <c r="V133" s="56">
        <f>Q133-J133</f>
        <v>9.6999999999999864E-3</v>
      </c>
      <c r="W133" s="136">
        <v>1528.5616</v>
      </c>
    </row>
    <row r="134" spans="1:24">
      <c r="A134" s="139">
        <v>117</v>
      </c>
      <c r="B134" s="138" t="s">
        <v>173</v>
      </c>
      <c r="C134" s="138" t="s">
        <v>25</v>
      </c>
      <c r="D134" s="27">
        <v>18700682203.284172</v>
      </c>
      <c r="E134" s="28">
        <f t="shared" si="83"/>
        <v>9.7404303922639726E-3</v>
      </c>
      <c r="F134" s="31">
        <v>211567.97445499996</v>
      </c>
      <c r="G134" s="31">
        <v>211567.97445499996</v>
      </c>
      <c r="H134" s="30">
        <v>586</v>
      </c>
      <c r="I134" s="48">
        <v>5.0000000000000001E-4</v>
      </c>
      <c r="J134" s="48">
        <v>2.7699999999999999E-2</v>
      </c>
      <c r="K134" s="27">
        <f>12797819.72*W133</f>
        <v>19562255787.714752</v>
      </c>
      <c r="L134" s="28">
        <f t="shared" si="84"/>
        <v>1.0186389760992459E-2</v>
      </c>
      <c r="M134" s="31">
        <f>137.61*W133</f>
        <v>210345.36177600003</v>
      </c>
      <c r="N134" s="31">
        <f>137.61*W133</f>
        <v>210345.36177600003</v>
      </c>
      <c r="O134" s="30">
        <v>587</v>
      </c>
      <c r="P134" s="48">
        <v>5.0000000000000001E-4</v>
      </c>
      <c r="Q134" s="48">
        <v>2.8899999999999999E-2</v>
      </c>
      <c r="R134" s="55">
        <f t="shared" ref="R134:R150" si="85">((K134-D134)/D134)</f>
        <v>4.6071772947367265E-2</v>
      </c>
      <c r="S134" s="55">
        <f t="shared" ref="S134:S150" si="86">((N134-G134)/G134)</f>
        <v>-5.7788173382544352E-3</v>
      </c>
      <c r="T134" s="55">
        <f t="shared" ref="T134:T150" si="87">((O134-H134)/H134)</f>
        <v>1.7064846416382253E-3</v>
      </c>
      <c r="U134" s="55">
        <f t="shared" ref="U134:U150" si="88">P134-I134</f>
        <v>0</v>
      </c>
      <c r="V134" s="56">
        <f t="shared" ref="V134:V150" si="89">Q134-J134</f>
        <v>1.1999999999999997E-3</v>
      </c>
    </row>
    <row r="135" spans="1:24">
      <c r="A135" s="139">
        <v>118</v>
      </c>
      <c r="B135" s="137" t="s">
        <v>174</v>
      </c>
      <c r="C135" s="138" t="s">
        <v>67</v>
      </c>
      <c r="D135" s="31">
        <v>16498598049.84</v>
      </c>
      <c r="E135" s="28">
        <f t="shared" si="83"/>
        <v>8.5934536573316171E-3</v>
      </c>
      <c r="F135" s="31">
        <v>172232.22</v>
      </c>
      <c r="G135" s="31">
        <v>172232.22</v>
      </c>
      <c r="H135" s="30">
        <v>434</v>
      </c>
      <c r="I135" s="48">
        <v>1.2999999999999999E-3</v>
      </c>
      <c r="J135" s="48">
        <v>6.3500000000000001E-2</v>
      </c>
      <c r="K135" s="31">
        <v>20376548793.580002</v>
      </c>
      <c r="L135" s="28">
        <f t="shared" si="84"/>
        <v>1.0610405581427784E-2</v>
      </c>
      <c r="M135" s="31">
        <v>175398.44</v>
      </c>
      <c r="N135" s="31">
        <v>175398.44</v>
      </c>
      <c r="O135" s="30">
        <v>433</v>
      </c>
      <c r="P135" s="48">
        <v>1.1000000000000001E-3</v>
      </c>
      <c r="Q135" s="48">
        <v>6.3200000000000006E-2</v>
      </c>
      <c r="R135" s="55">
        <f t="shared" si="85"/>
        <v>0.23504728898935806</v>
      </c>
      <c r="S135" s="55">
        <f t="shared" si="86"/>
        <v>1.8383436037693768E-2</v>
      </c>
      <c r="T135" s="55">
        <f t="shared" si="87"/>
        <v>-2.304147465437788E-3</v>
      </c>
      <c r="U135" s="55">
        <f t="shared" si="88"/>
        <v>-1.9999999999999987E-4</v>
      </c>
      <c r="V135" s="56">
        <f t="shared" si="89"/>
        <v>-2.9999999999999472E-4</v>
      </c>
    </row>
    <row r="136" spans="1:24">
      <c r="A136" s="139">
        <v>119</v>
      </c>
      <c r="B136" s="137" t="s">
        <v>295</v>
      </c>
      <c r="C136" s="138" t="s">
        <v>296</v>
      </c>
      <c r="D136" s="27">
        <v>191096321.69330797</v>
      </c>
      <c r="E136" s="28">
        <f t="shared" ref="E136" si="90">(D136/$D$110)</f>
        <v>9.1333252397218551E-4</v>
      </c>
      <c r="F136" s="33">
        <v>1493.9823645399999</v>
      </c>
      <c r="G136" s="33">
        <v>1493.9823645399999</v>
      </c>
      <c r="H136" s="30">
        <v>3</v>
      </c>
      <c r="I136" s="48">
        <v>4.0000000000000002E-4</v>
      </c>
      <c r="J136" s="48">
        <v>2.7099999999999999E-2</v>
      </c>
      <c r="K136" s="27">
        <f>124959.05*W133</f>
        <v>191007605.40248001</v>
      </c>
      <c r="L136" s="28">
        <f t="shared" ref="L136" si="91">(K136/$K$110)</f>
        <v>9.1259063948977365E-4</v>
      </c>
      <c r="M136" s="33">
        <f>0.9767*W133</f>
        <v>1492.94611472</v>
      </c>
      <c r="N136" s="33">
        <f>0.9767*W133</f>
        <v>1492.94611472</v>
      </c>
      <c r="O136" s="30">
        <v>3</v>
      </c>
      <c r="P136" s="48">
        <v>6.3E-3</v>
      </c>
      <c r="Q136" s="48">
        <v>3.32E-2</v>
      </c>
      <c r="R136" s="54">
        <f t="shared" si="85"/>
        <v>-4.6424907628699031E-4</v>
      </c>
      <c r="S136" s="54">
        <f t="shared" si="86"/>
        <v>-6.9361583148207359E-4</v>
      </c>
      <c r="T136" s="54">
        <f t="shared" si="87"/>
        <v>0</v>
      </c>
      <c r="U136" s="55">
        <f t="shared" si="88"/>
        <v>5.8999999999999999E-3</v>
      </c>
      <c r="V136" s="56">
        <f t="shared" si="89"/>
        <v>6.1000000000000013E-3</v>
      </c>
    </row>
    <row r="137" spans="1:24">
      <c r="A137" s="139">
        <v>120</v>
      </c>
      <c r="B137" s="137" t="s">
        <v>175</v>
      </c>
      <c r="C137" s="138" t="s">
        <v>65</v>
      </c>
      <c r="D137" s="31">
        <v>9293590432.709631</v>
      </c>
      <c r="E137" s="28">
        <f t="shared" si="83"/>
        <v>4.8406560637729587E-3</v>
      </c>
      <c r="F137" s="31">
        <v>2011.8115455790153</v>
      </c>
      <c r="G137" s="31">
        <v>2011.8115455790153</v>
      </c>
      <c r="H137" s="30">
        <v>269</v>
      </c>
      <c r="I137" s="48">
        <v>6.5371733607698074E-2</v>
      </c>
      <c r="J137" s="48">
        <v>6.5782219913538609E-2</v>
      </c>
      <c r="K137" s="31">
        <v>9456704760.3091106</v>
      </c>
      <c r="L137" s="28">
        <f t="shared" si="84"/>
        <v>4.9242623953234047E-3</v>
      </c>
      <c r="M137" s="31">
        <v>1993.9964143635591</v>
      </c>
      <c r="N137" s="31">
        <v>1993.9964143635591</v>
      </c>
      <c r="O137" s="30">
        <v>269</v>
      </c>
      <c r="P137" s="48">
        <v>6.6708850946481962E-2</v>
      </c>
      <c r="Q137" s="48">
        <v>6.5898255598734898E-2</v>
      </c>
      <c r="R137" s="55">
        <f t="shared" si="85"/>
        <v>1.7551271360677148E-2</v>
      </c>
      <c r="S137" s="55">
        <f t="shared" si="86"/>
        <v>-8.8552684045407649E-3</v>
      </c>
      <c r="T137" s="54">
        <f t="shared" si="87"/>
        <v>0</v>
      </c>
      <c r="U137" s="55">
        <f t="shared" si="88"/>
        <v>1.3371173387838886E-3</v>
      </c>
      <c r="V137" s="56">
        <f t="shared" si="89"/>
        <v>1.1603568519628904E-4</v>
      </c>
    </row>
    <row r="138" spans="1:24">
      <c r="A138" s="139">
        <v>121</v>
      </c>
      <c r="B138" s="137" t="s">
        <v>302</v>
      </c>
      <c r="C138" s="138" t="s">
        <v>37</v>
      </c>
      <c r="D138" s="31">
        <v>93311605645.030502</v>
      </c>
      <c r="E138" s="28">
        <f t="shared" si="83"/>
        <v>4.8602248286759693E-2</v>
      </c>
      <c r="F138" s="31">
        <v>152971</v>
      </c>
      <c r="G138" s="31">
        <v>152971</v>
      </c>
      <c r="H138" s="30">
        <v>1863</v>
      </c>
      <c r="I138" s="48">
        <v>5.1400000000000001E-2</v>
      </c>
      <c r="J138" s="48">
        <v>4.9988499999999998E-2</v>
      </c>
      <c r="K138" s="31">
        <v>94240271032.416611</v>
      </c>
      <c r="L138" s="28">
        <f t="shared" si="84"/>
        <v>4.9072465994470342E-2</v>
      </c>
      <c r="M138" s="31">
        <f>100*1529.71</f>
        <v>152971</v>
      </c>
      <c r="N138" s="31">
        <f>100*1529.71</f>
        <v>152971</v>
      </c>
      <c r="O138" s="30">
        <v>1865</v>
      </c>
      <c r="P138" s="48">
        <v>5.33E-2</v>
      </c>
      <c r="Q138" s="48">
        <v>5.0114899999999997E-2</v>
      </c>
      <c r="R138" s="55">
        <f t="shared" si="85"/>
        <v>9.9523031563605539E-3</v>
      </c>
      <c r="S138" s="55">
        <f t="shared" si="86"/>
        <v>0</v>
      </c>
      <c r="T138" s="55">
        <f t="shared" si="87"/>
        <v>1.0735373054213634E-3</v>
      </c>
      <c r="U138" s="55">
        <f t="shared" si="88"/>
        <v>1.8999999999999989E-3</v>
      </c>
      <c r="V138" s="56">
        <f t="shared" si="89"/>
        <v>1.2639999999999874E-4</v>
      </c>
    </row>
    <row r="139" spans="1:24" ht="15.6">
      <c r="A139" s="139">
        <v>122</v>
      </c>
      <c r="B139" s="137" t="s">
        <v>176</v>
      </c>
      <c r="C139" s="138" t="s">
        <v>132</v>
      </c>
      <c r="D139" s="31">
        <v>1569771323.353636</v>
      </c>
      <c r="E139" s="28">
        <f t="shared" si="83"/>
        <v>8.1763050891335684E-4</v>
      </c>
      <c r="F139" s="31">
        <v>1723.9442080000001</v>
      </c>
      <c r="G139" s="31">
        <v>1785.5136439999997</v>
      </c>
      <c r="H139" s="30">
        <v>53</v>
      </c>
      <c r="I139" s="48">
        <v>1.9E-3</v>
      </c>
      <c r="J139" s="48">
        <v>9.2299999999999993E-2</v>
      </c>
      <c r="K139" s="31">
        <f>1024197.21*W133</f>
        <v>1565548526.0331359</v>
      </c>
      <c r="L139" s="28">
        <f t="shared" si="84"/>
        <v>8.1520698067631811E-4</v>
      </c>
      <c r="M139" s="31">
        <f>1.12*W133</f>
        <v>1711.9889920000001</v>
      </c>
      <c r="N139" s="31">
        <f>1.17*W133</f>
        <v>1788.417072</v>
      </c>
      <c r="O139" s="30">
        <v>53</v>
      </c>
      <c r="P139" s="48">
        <v>1.9E-3</v>
      </c>
      <c r="Q139" s="48">
        <v>9.2299999999999993E-2</v>
      </c>
      <c r="R139" s="55">
        <f t="shared" si="85"/>
        <v>-2.6900716414404962E-3</v>
      </c>
      <c r="S139" s="55">
        <f t="shared" si="86"/>
        <v>1.6261023878237607E-3</v>
      </c>
      <c r="T139" s="55">
        <f t="shared" si="87"/>
        <v>0</v>
      </c>
      <c r="U139" s="55">
        <f t="shared" si="88"/>
        <v>0</v>
      </c>
      <c r="V139" s="56">
        <f t="shared" si="89"/>
        <v>0</v>
      </c>
      <c r="X139" s="65"/>
    </row>
    <row r="140" spans="1:24" ht="15.6">
      <c r="A140" s="139">
        <v>123</v>
      </c>
      <c r="B140" s="137" t="s">
        <v>177</v>
      </c>
      <c r="C140" s="138" t="s">
        <v>43</v>
      </c>
      <c r="D140" s="27">
        <v>5305073655.1352901</v>
      </c>
      <c r="E140" s="28">
        <f t="shared" si="83"/>
        <v>2.7631986952114445E-3</v>
      </c>
      <c r="F140" s="31">
        <v>16516.001207000001</v>
      </c>
      <c r="G140" s="31">
        <v>16516.001207000001</v>
      </c>
      <c r="H140" s="30">
        <v>134</v>
      </c>
      <c r="I140" s="48">
        <v>7.6799999999999993E-2</v>
      </c>
      <c r="J140" s="48">
        <v>9.6699999999999994E-2</v>
      </c>
      <c r="K140" s="27">
        <f>3455521.64*W133</f>
        <v>5281977686.873024</v>
      </c>
      <c r="L140" s="28">
        <f t="shared" si="84"/>
        <v>2.7504130408694235E-3</v>
      </c>
      <c r="M140" s="31">
        <f>10.74465*W133</f>
        <v>16423.859395439998</v>
      </c>
      <c r="N140" s="31">
        <f>10.74465*W133</f>
        <v>16423.859395439998</v>
      </c>
      <c r="O140" s="30">
        <v>138</v>
      </c>
      <c r="P140" s="48">
        <v>7.6300000000000007E-2</v>
      </c>
      <c r="Q140" s="48">
        <v>9.64E-2</v>
      </c>
      <c r="R140" s="55">
        <f t="shared" si="85"/>
        <v>-4.3535622243263961E-3</v>
      </c>
      <c r="S140" s="55">
        <f t="shared" si="86"/>
        <v>-5.5789419245713106E-3</v>
      </c>
      <c r="T140" s="55">
        <f t="shared" si="87"/>
        <v>2.9850746268656716E-2</v>
      </c>
      <c r="U140" s="55">
        <f t="shared" si="88"/>
        <v>-4.9999999999998657E-4</v>
      </c>
      <c r="V140" s="56">
        <f t="shared" si="89"/>
        <v>-2.9999999999999472E-4</v>
      </c>
      <c r="X140" s="65"/>
    </row>
    <row r="141" spans="1:24" ht="15.6">
      <c r="A141" s="139">
        <v>124</v>
      </c>
      <c r="B141" s="138" t="s">
        <v>178</v>
      </c>
      <c r="C141" s="149" t="s">
        <v>47</v>
      </c>
      <c r="D141" s="31">
        <v>25532407324.040001</v>
      </c>
      <c r="E141" s="28">
        <f t="shared" si="83"/>
        <v>1.3298800203292421E-2</v>
      </c>
      <c r="F141" s="31">
        <v>1677.7671310000001</v>
      </c>
      <c r="G141" s="31">
        <v>1677.7671310000001</v>
      </c>
      <c r="H141" s="30">
        <v>460</v>
      </c>
      <c r="I141" s="48">
        <v>1.1900000000000001E-2</v>
      </c>
      <c r="J141" s="48">
        <v>4.24E-2</v>
      </c>
      <c r="K141" s="31">
        <v>25623285174.560001</v>
      </c>
      <c r="L141" s="28">
        <f t="shared" si="84"/>
        <v>1.3342467892125376E-2</v>
      </c>
      <c r="M141" s="31">
        <f>1.04*W133</f>
        <v>1589.704064</v>
      </c>
      <c r="N141" s="31">
        <f>1.04*W133</f>
        <v>1589.704064</v>
      </c>
      <c r="O141" s="30">
        <v>460</v>
      </c>
      <c r="P141" s="48">
        <v>-4.7300000000000002E-2</v>
      </c>
      <c r="Q141" s="48">
        <v>-5.1999999999999998E-3</v>
      </c>
      <c r="R141" s="55">
        <f t="shared" si="85"/>
        <v>3.559313830718757E-3</v>
      </c>
      <c r="S141" s="55">
        <f t="shared" si="86"/>
        <v>-5.2488253806421747E-2</v>
      </c>
      <c r="T141" s="55">
        <f t="shared" si="87"/>
        <v>0</v>
      </c>
      <c r="U141" s="55">
        <f t="shared" si="88"/>
        <v>-5.9200000000000003E-2</v>
      </c>
      <c r="V141" s="56">
        <f t="shared" si="89"/>
        <v>-4.7600000000000003E-2</v>
      </c>
      <c r="X141" s="65"/>
    </row>
    <row r="142" spans="1:24">
      <c r="A142" s="139">
        <v>125</v>
      </c>
      <c r="B142" s="137" t="s">
        <v>179</v>
      </c>
      <c r="C142" s="138" t="s">
        <v>89</v>
      </c>
      <c r="D142" s="27">
        <v>442280013.26970005</v>
      </c>
      <c r="E142" s="28">
        <f t="shared" si="83"/>
        <v>2.3036580357408239E-4</v>
      </c>
      <c r="F142" s="31">
        <v>1838.788</v>
      </c>
      <c r="G142" s="31">
        <v>1838.788</v>
      </c>
      <c r="H142" s="30">
        <v>2</v>
      </c>
      <c r="I142" s="48">
        <v>1.6389000000000001E-2</v>
      </c>
      <c r="J142" s="48">
        <v>6.9722999999999993E-2</v>
      </c>
      <c r="K142" s="27">
        <f>286810.3*1529.56</f>
        <v>438693562.46799999</v>
      </c>
      <c r="L142" s="28">
        <f t="shared" si="84"/>
        <v>2.2843498528138669E-4</v>
      </c>
      <c r="M142" s="31">
        <f>1.19*1529.56</f>
        <v>1820.1763999999998</v>
      </c>
      <c r="N142" s="31">
        <f>1.19*1529.56</f>
        <v>1820.1763999999998</v>
      </c>
      <c r="O142" s="30">
        <v>2</v>
      </c>
      <c r="P142" s="48">
        <v>6.2030000000000002E-3</v>
      </c>
      <c r="Q142" s="48">
        <v>7.6358999999999996E-2</v>
      </c>
      <c r="R142" s="55">
        <f t="shared" si="85"/>
        <v>-8.1090049156552248E-3</v>
      </c>
      <c r="S142" s="55">
        <f t="shared" si="86"/>
        <v>-1.0121667098110375E-2</v>
      </c>
      <c r="T142" s="55">
        <f t="shared" si="87"/>
        <v>0</v>
      </c>
      <c r="U142" s="55">
        <f t="shared" ref="U142" si="92">P142-I142</f>
        <v>-1.0186000000000001E-2</v>
      </c>
      <c r="V142" s="56">
        <f t="shared" ref="V142" si="93">Q142-J142</f>
        <v>6.636000000000003E-3</v>
      </c>
    </row>
    <row r="143" spans="1:24">
      <c r="A143" s="139">
        <v>126</v>
      </c>
      <c r="B143" s="137" t="s">
        <v>305</v>
      </c>
      <c r="C143" s="138" t="s">
        <v>303</v>
      </c>
      <c r="D143" s="27">
        <v>655979826.88444197</v>
      </c>
      <c r="E143" s="28">
        <f t="shared" si="83"/>
        <v>3.4167340918585118E-4</v>
      </c>
      <c r="F143" s="31">
        <v>1568.3274585099998</v>
      </c>
      <c r="G143" s="31">
        <v>1568.3274585099998</v>
      </c>
      <c r="H143" s="30">
        <v>6</v>
      </c>
      <c r="I143" s="48">
        <v>8.1900000000000001E-2</v>
      </c>
      <c r="J143" s="48">
        <v>6.3899999999999998E-2</v>
      </c>
      <c r="K143" s="27">
        <f>426825.57*W133</f>
        <v>652429176.20011199</v>
      </c>
      <c r="L143" s="28">
        <f t="shared" si="84"/>
        <v>3.3973065030625156E-4</v>
      </c>
      <c r="M143" s="31">
        <f>1.0205*W133</f>
        <v>1559.8971127999998</v>
      </c>
      <c r="N143" s="31">
        <f>1.0205*W133</f>
        <v>1559.8971127999998</v>
      </c>
      <c r="O143" s="30">
        <v>6</v>
      </c>
      <c r="P143" s="48">
        <v>8.14E-2</v>
      </c>
      <c r="Q143" s="48">
        <v>6.4899999999999999E-2</v>
      </c>
      <c r="R143" s="55">
        <f t="shared" ref="R143" si="94">((K143-D143)/D143)</f>
        <v>-5.4127437137719671E-3</v>
      </c>
      <c r="S143" s="55">
        <f t="shared" ref="S143" si="95">((N143-G143)/G143)</f>
        <v>-5.375373404486134E-3</v>
      </c>
      <c r="T143" s="55">
        <f t="shared" si="87"/>
        <v>0</v>
      </c>
      <c r="U143" s="55">
        <f t="shared" si="88"/>
        <v>-5.0000000000000044E-4</v>
      </c>
      <c r="V143" s="56">
        <f t="shared" si="89"/>
        <v>1.0000000000000009E-3</v>
      </c>
    </row>
    <row r="144" spans="1:24">
      <c r="A144" s="139">
        <v>127</v>
      </c>
      <c r="B144" s="137" t="s">
        <v>180</v>
      </c>
      <c r="C144" s="138" t="s">
        <v>49</v>
      </c>
      <c r="D144" s="27">
        <v>1068224377452.3101</v>
      </c>
      <c r="E144" s="28">
        <f t="shared" si="83"/>
        <v>0.55639495280372431</v>
      </c>
      <c r="F144" s="31">
        <v>2514.66</v>
      </c>
      <c r="G144" s="31">
        <v>2514.66</v>
      </c>
      <c r="H144" s="30">
        <v>11240</v>
      </c>
      <c r="I144" s="48">
        <v>1.2999999999999999E-3</v>
      </c>
      <c r="J144" s="48">
        <v>3.3500000000000002E-2</v>
      </c>
      <c r="K144" s="27">
        <v>1062974328108.46</v>
      </c>
      <c r="L144" s="28">
        <f t="shared" si="84"/>
        <v>0.5535082931919254</v>
      </c>
      <c r="M144" s="31">
        <v>2492.42</v>
      </c>
      <c r="N144" s="31">
        <v>2492.42</v>
      </c>
      <c r="O144" s="30">
        <v>11314</v>
      </c>
      <c r="P144" s="48">
        <v>1.2999999999999999E-3</v>
      </c>
      <c r="Q144" s="48">
        <v>3.49E-2</v>
      </c>
      <c r="R144" s="55">
        <f t="shared" si="85"/>
        <v>-4.9147439944886313E-3</v>
      </c>
      <c r="S144" s="55">
        <f t="shared" si="86"/>
        <v>-8.8441379749150117E-3</v>
      </c>
      <c r="T144" s="55">
        <f t="shared" si="87"/>
        <v>6.5836298932384343E-3</v>
      </c>
      <c r="U144" s="55">
        <f t="shared" si="88"/>
        <v>0</v>
      </c>
      <c r="V144" s="56">
        <f t="shared" si="89"/>
        <v>1.3999999999999985E-3</v>
      </c>
    </row>
    <row r="145" spans="1:22">
      <c r="A145" s="139">
        <v>128</v>
      </c>
      <c r="B145" s="137" t="s">
        <v>287</v>
      </c>
      <c r="C145" s="137" t="s">
        <v>99</v>
      </c>
      <c r="D145" s="27">
        <v>486120973.99015296</v>
      </c>
      <c r="E145" s="28">
        <f t="shared" si="83"/>
        <v>2.5320079010481743E-4</v>
      </c>
      <c r="F145" s="31">
        <v>159080.03026499998</v>
      </c>
      <c r="G145" s="31">
        <v>159080.03026499998</v>
      </c>
      <c r="H145" s="30">
        <v>24</v>
      </c>
      <c r="I145" s="48">
        <v>0</v>
      </c>
      <c r="J145" s="48">
        <v>7.4300000000000005E-2</v>
      </c>
      <c r="K145" s="27">
        <f>329783.85*W133</f>
        <v>504094929.41015995</v>
      </c>
      <c r="L145" s="28">
        <f t="shared" si="84"/>
        <v>2.6249055749166881E-4</v>
      </c>
      <c r="M145" s="31">
        <f>103.5*W133</f>
        <v>158206.1256</v>
      </c>
      <c r="N145" s="31">
        <f>103.5*W133</f>
        <v>158206.1256</v>
      </c>
      <c r="O145" s="30">
        <v>24</v>
      </c>
      <c r="P145" s="48">
        <v>0</v>
      </c>
      <c r="Q145" s="48">
        <v>7.4399999999999994E-2</v>
      </c>
      <c r="R145" s="55">
        <f t="shared" ref="R145" si="96">((K145-D145)/D145)</f>
        <v>3.6974243823454281E-2</v>
      </c>
      <c r="S145" s="55">
        <f t="shared" ref="S145" si="97">((N145-G145)/G145)</f>
        <v>-5.4934906885811194E-3</v>
      </c>
      <c r="T145" s="55">
        <f t="shared" ref="T145" si="98">((O145-H145)/H145)</f>
        <v>0</v>
      </c>
      <c r="U145" s="55">
        <f t="shared" ref="U145" si="99">P145-I145</f>
        <v>0</v>
      </c>
      <c r="V145" s="56">
        <f t="shared" ref="V145" si="100">Q145-J145</f>
        <v>9.9999999999988987E-5</v>
      </c>
    </row>
    <row r="146" spans="1:22" ht="16.5" customHeight="1">
      <c r="A146" s="139">
        <v>129</v>
      </c>
      <c r="B146" s="137" t="s">
        <v>181</v>
      </c>
      <c r="C146" s="138" t="s">
        <v>52</v>
      </c>
      <c r="D146" s="27">
        <v>183636945171.51828</v>
      </c>
      <c r="E146" s="28">
        <f t="shared" si="83"/>
        <v>9.5649071111268955E-2</v>
      </c>
      <c r="F146" s="31">
        <v>1854.1468399999999</v>
      </c>
      <c r="G146" s="31">
        <v>1854.1468399999999</v>
      </c>
      <c r="H146" s="30">
        <v>735</v>
      </c>
      <c r="I146" s="48">
        <v>0.14990000000000001</v>
      </c>
      <c r="J146" s="48">
        <v>9.1899999999999996E-2</v>
      </c>
      <c r="K146" s="27">
        <f>117360378.96*1529.56</f>
        <v>179509741242.05759</v>
      </c>
      <c r="L146" s="28">
        <f t="shared" si="84"/>
        <v>9.347368780111999E-2</v>
      </c>
      <c r="M146" s="31">
        <f>1.1984*1529.56</f>
        <v>1833.0247039999997</v>
      </c>
      <c r="N146" s="31">
        <f>1.1984*1529.56</f>
        <v>1833.0247039999997</v>
      </c>
      <c r="O146" s="30">
        <v>727</v>
      </c>
      <c r="P146" s="48">
        <v>0.11020000000000001</v>
      </c>
      <c r="Q146" s="48">
        <v>9.2299999999999993E-2</v>
      </c>
      <c r="R146" s="55">
        <f t="shared" si="85"/>
        <v>-2.2474801710548244E-2</v>
      </c>
      <c r="S146" s="55">
        <f t="shared" si="86"/>
        <v>-1.1391835611035092E-2</v>
      </c>
      <c r="T146" s="55">
        <f t="shared" si="87"/>
        <v>-1.0884353741496598E-2</v>
      </c>
      <c r="U146" s="55">
        <f t="shared" si="88"/>
        <v>-3.9699999999999999E-2</v>
      </c>
      <c r="V146" s="56">
        <f t="shared" si="89"/>
        <v>3.9999999999999758E-4</v>
      </c>
    </row>
    <row r="147" spans="1:22" ht="16.5" customHeight="1">
      <c r="A147" s="139">
        <v>130</v>
      </c>
      <c r="B147" s="137" t="s">
        <v>182</v>
      </c>
      <c r="C147" s="138" t="s">
        <v>94</v>
      </c>
      <c r="D147" s="31">
        <v>1173303330.1835785</v>
      </c>
      <c r="E147" s="28">
        <v>0</v>
      </c>
      <c r="F147" s="31">
        <v>164100.24000000002</v>
      </c>
      <c r="G147" s="31">
        <v>164100.24000000002</v>
      </c>
      <c r="H147" s="30">
        <v>26</v>
      </c>
      <c r="I147" s="48">
        <v>1.4E-3</v>
      </c>
      <c r="J147" s="48">
        <v>6.3899999999999998E-2</v>
      </c>
      <c r="K147" s="31">
        <v>1169427287.4421461</v>
      </c>
      <c r="L147" s="28">
        <f t="shared" si="84"/>
        <v>6.0894010774088965E-4</v>
      </c>
      <c r="M147" s="31">
        <v>162699.2972</v>
      </c>
      <c r="N147" s="31">
        <v>162699.2972</v>
      </c>
      <c r="O147" s="30">
        <v>28</v>
      </c>
      <c r="P147" s="48">
        <v>1.6000000000000001E-3</v>
      </c>
      <c r="Q147" s="48">
        <v>6.4799999999999996E-2</v>
      </c>
      <c r="R147" s="55">
        <f t="shared" si="85"/>
        <v>-3.3035299923899232E-3</v>
      </c>
      <c r="S147" s="55">
        <f t="shared" si="86"/>
        <v>-8.5371160944068009E-3</v>
      </c>
      <c r="T147" s="55">
        <f t="shared" si="87"/>
        <v>7.6923076923076927E-2</v>
      </c>
      <c r="U147" s="55">
        <f t="shared" si="88"/>
        <v>2.0000000000000009E-4</v>
      </c>
      <c r="V147" s="56">
        <f t="shared" si="89"/>
        <v>8.9999999999999802E-4</v>
      </c>
    </row>
    <row r="148" spans="1:22" ht="16.5" customHeight="1">
      <c r="A148" s="139">
        <v>131</v>
      </c>
      <c r="B148" s="137" t="s">
        <v>307</v>
      </c>
      <c r="C148" s="138" t="s">
        <v>105</v>
      </c>
      <c r="D148" s="31">
        <v>822524412.43121004</v>
      </c>
      <c r="E148" s="28"/>
      <c r="F148" s="31">
        <v>1600.8053359999999</v>
      </c>
      <c r="G148" s="31">
        <v>1600.8053359999999</v>
      </c>
      <c r="H148" s="30">
        <v>19</v>
      </c>
      <c r="I148" s="48">
        <v>7.5200000000000003E-2</v>
      </c>
      <c r="J148" s="48">
        <v>7.0099999999999996E-2</v>
      </c>
      <c r="K148" s="31">
        <f>560080.57*W133</f>
        <v>856117652.20811188</v>
      </c>
      <c r="L148" s="28">
        <f t="shared" si="84"/>
        <v>4.4579460473747164E-4</v>
      </c>
      <c r="M148" s="31">
        <f>1.05*W133</f>
        <v>1604.9896800000001</v>
      </c>
      <c r="N148" s="31">
        <f>1.05*W133</f>
        <v>1604.9896800000001</v>
      </c>
      <c r="O148" s="30">
        <v>23</v>
      </c>
      <c r="P148" s="48">
        <v>6.8699999999999997E-2</v>
      </c>
      <c r="Q148" s="48">
        <v>6.7199999999999996E-2</v>
      </c>
      <c r="R148" s="55">
        <f t="shared" ref="R148" si="101">((K148-D148)/D148)</f>
        <v>4.0841632502562758E-2</v>
      </c>
      <c r="S148" s="55">
        <f t="shared" ref="S148" si="102">((N148-G148)/G148)</f>
        <v>2.6138993329793835E-3</v>
      </c>
      <c r="T148" s="55">
        <f t="shared" si="87"/>
        <v>0.21052631578947367</v>
      </c>
      <c r="U148" s="55">
        <f t="shared" si="88"/>
        <v>-6.5000000000000058E-3</v>
      </c>
      <c r="V148" s="56">
        <f t="shared" si="89"/>
        <v>-2.8999999999999998E-3</v>
      </c>
    </row>
    <row r="149" spans="1:22">
      <c r="A149" s="139">
        <v>132</v>
      </c>
      <c r="B149" s="137" t="s">
        <v>183</v>
      </c>
      <c r="C149" s="138" t="s">
        <v>107</v>
      </c>
      <c r="D149" s="31">
        <v>1838779056.2430899</v>
      </c>
      <c r="E149" s="28">
        <f>(D149/$D$150)</f>
        <v>9.5774577683285041E-4</v>
      </c>
      <c r="F149" s="31">
        <v>2016.3990289999999</v>
      </c>
      <c r="G149" s="31">
        <v>2016.3990289999999</v>
      </c>
      <c r="H149" s="30">
        <v>99</v>
      </c>
      <c r="I149" s="48">
        <v>2.9687000000000002E-2</v>
      </c>
      <c r="J149" s="48">
        <v>5.1007999999999998E-2</v>
      </c>
      <c r="K149" s="31">
        <f>1235355.36*W133</f>
        <v>1888316765.650176</v>
      </c>
      <c r="L149" s="28">
        <f t="shared" si="84"/>
        <v>9.8327773523997986E-4</v>
      </c>
      <c r="M149" s="31">
        <f>1.32*W133</f>
        <v>2017.7013120000001</v>
      </c>
      <c r="N149" s="31">
        <f>1.32*W133</f>
        <v>2017.7013120000001</v>
      </c>
      <c r="O149" s="30">
        <v>99</v>
      </c>
      <c r="P149" s="48">
        <v>8.9949999999999995E-3</v>
      </c>
      <c r="Q149" s="48">
        <v>6.0657999999999997E-2</v>
      </c>
      <c r="R149" s="55">
        <f t="shared" si="85"/>
        <v>2.6940544726618401E-2</v>
      </c>
      <c r="S149" s="55">
        <f t="shared" si="86"/>
        <v>6.458458773638975E-4</v>
      </c>
      <c r="T149" s="55">
        <f t="shared" si="87"/>
        <v>0</v>
      </c>
      <c r="U149" s="55">
        <f t="shared" si="88"/>
        <v>-2.0692000000000002E-2</v>
      </c>
      <c r="V149" s="56">
        <f t="shared" si="89"/>
        <v>9.6499999999999989E-3</v>
      </c>
    </row>
    <row r="150" spans="1:22">
      <c r="A150" s="34"/>
      <c r="B150" s="35"/>
      <c r="C150" s="69" t="s">
        <v>53</v>
      </c>
      <c r="D150" s="46">
        <f>SUM(D114:D149)</f>
        <v>1919903068979.0251</v>
      </c>
      <c r="E150" s="38">
        <f>(D150/$D$222)</f>
        <v>0.33031894175721827</v>
      </c>
      <c r="F150" s="39"/>
      <c r="G150" s="43"/>
      <c r="H150" s="41">
        <f>SUM(H114:H149)</f>
        <v>25197</v>
      </c>
      <c r="I150" s="78"/>
      <c r="J150" s="78"/>
      <c r="K150" s="46">
        <f>SUM(K114:K149)</f>
        <v>1920430716545.5254</v>
      </c>
      <c r="L150" s="38">
        <f>(K150/$K$222)</f>
        <v>0.32482808128012342</v>
      </c>
      <c r="M150" s="39"/>
      <c r="N150" s="43"/>
      <c r="O150" s="41">
        <f>SUM(O114:O149)</f>
        <v>25306</v>
      </c>
      <c r="P150" s="78"/>
      <c r="Q150" s="78"/>
      <c r="R150" s="55">
        <f t="shared" si="85"/>
        <v>2.7483031566840455E-4</v>
      </c>
      <c r="S150" s="55" t="e">
        <f t="shared" si="86"/>
        <v>#DIV/0!</v>
      </c>
      <c r="T150" s="55">
        <f t="shared" si="87"/>
        <v>4.3259118148985991E-3</v>
      </c>
      <c r="U150" s="55">
        <f t="shared" si="88"/>
        <v>0</v>
      </c>
      <c r="V150" s="56">
        <f t="shared" si="89"/>
        <v>0</v>
      </c>
    </row>
    <row r="151" spans="1:22" ht="6" customHeight="1">
      <c r="A151" s="34"/>
      <c r="B151" s="155"/>
      <c r="C151" s="155"/>
      <c r="D151" s="155"/>
      <c r="E151" s="155"/>
      <c r="F151" s="155"/>
      <c r="G151" s="155"/>
      <c r="H151" s="155"/>
      <c r="I151" s="155"/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55"/>
      <c r="U151" s="155"/>
      <c r="V151" s="155"/>
    </row>
    <row r="152" spans="1:22">
      <c r="A152" s="157" t="s">
        <v>184</v>
      </c>
      <c r="B152" s="157"/>
      <c r="C152" s="157"/>
      <c r="D152" s="157"/>
      <c r="E152" s="157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  <c r="R152" s="157"/>
      <c r="S152" s="157"/>
      <c r="T152" s="157"/>
      <c r="U152" s="157"/>
      <c r="V152" s="157"/>
    </row>
    <row r="153" spans="1:22">
      <c r="A153" s="139">
        <v>133</v>
      </c>
      <c r="B153" s="137" t="s">
        <v>185</v>
      </c>
      <c r="C153" s="138" t="s">
        <v>186</v>
      </c>
      <c r="D153" s="70">
        <v>2442408340.1914043</v>
      </c>
      <c r="E153" s="28">
        <f>(D153/$D$159)</f>
        <v>6.8150410886106847E-3</v>
      </c>
      <c r="F153" s="58">
        <v>115.09935627669201</v>
      </c>
      <c r="G153" s="58">
        <v>115.09935627669201</v>
      </c>
      <c r="H153" s="30">
        <v>8</v>
      </c>
      <c r="I153" s="48">
        <v>2.5999999999999999E-3</v>
      </c>
      <c r="J153" s="48">
        <v>9.1600000000000001E-2</v>
      </c>
      <c r="K153" s="70">
        <v>2448758602</v>
      </c>
      <c r="L153" s="28">
        <f>(K153/$K$159)</f>
        <v>6.8103083200422429E-3</v>
      </c>
      <c r="M153" s="58">
        <v>115.4</v>
      </c>
      <c r="N153" s="58">
        <v>115.4</v>
      </c>
      <c r="O153" s="30">
        <v>8</v>
      </c>
      <c r="P153" s="48">
        <v>2.5999999999999999E-3</v>
      </c>
      <c r="Q153" s="48">
        <v>9.4531398597065594E-2</v>
      </c>
      <c r="R153" s="55">
        <f t="shared" ref="R153:R159" si="103">((K153-D153)/D153)</f>
        <v>2.6000000508096879E-3</v>
      </c>
      <c r="S153" s="55">
        <f t="shared" ref="S153:T159" si="104">((N153-G153)/G153)</f>
        <v>2.6120365311624303E-3</v>
      </c>
      <c r="T153" s="55">
        <f t="shared" si="104"/>
        <v>0</v>
      </c>
      <c r="U153" s="55">
        <f t="shared" ref="U153:V159" si="105">P153-I153</f>
        <v>0</v>
      </c>
      <c r="V153" s="56">
        <f t="shared" si="105"/>
        <v>2.9313985970655931E-3</v>
      </c>
    </row>
    <row r="154" spans="1:22">
      <c r="A154" s="139">
        <v>134</v>
      </c>
      <c r="B154" s="137" t="s">
        <v>314</v>
      </c>
      <c r="C154" s="138" t="s">
        <v>23</v>
      </c>
      <c r="D154" s="70">
        <v>257777523299.63</v>
      </c>
      <c r="E154" s="28">
        <v>0</v>
      </c>
      <c r="F154" s="58">
        <v>103.111</v>
      </c>
      <c r="G154" s="58">
        <v>103.111</v>
      </c>
      <c r="H154" s="30">
        <v>45</v>
      </c>
      <c r="I154" s="48">
        <v>0.15870000000000001</v>
      </c>
      <c r="J154" s="48">
        <v>0.1113</v>
      </c>
      <c r="K154" s="70">
        <v>258806121500.07001</v>
      </c>
      <c r="L154" s="28">
        <f t="shared" ref="L154:L155" si="106">(K154/$K$159)</f>
        <v>0.7197726558633607</v>
      </c>
      <c r="M154" s="58">
        <v>103.5224</v>
      </c>
      <c r="N154" s="58">
        <v>103.5224</v>
      </c>
      <c r="O154" s="30">
        <v>45</v>
      </c>
      <c r="P154" s="48">
        <v>0.20799999999999999</v>
      </c>
      <c r="Q154" s="48">
        <v>0.11799999999999999</v>
      </c>
      <c r="R154" s="55">
        <f t="shared" ref="R154" si="107">((K154-D154)/D154)</f>
        <v>3.9902555788170957E-3</v>
      </c>
      <c r="S154" s="55">
        <f t="shared" ref="S154" si="108">((N154-G154)/G154)</f>
        <v>3.9898749890894319E-3</v>
      </c>
      <c r="T154" s="55">
        <f t="shared" ref="T154" si="109">((O154-H154)/H154)</f>
        <v>0</v>
      </c>
      <c r="U154" s="55">
        <f t="shared" ref="U154" si="110">P154-I154</f>
        <v>4.9299999999999983E-2</v>
      </c>
      <c r="V154" s="56">
        <f t="shared" ref="V154" si="111">Q154-J154</f>
        <v>6.6999999999999976E-3</v>
      </c>
    </row>
    <row r="155" spans="1:22">
      <c r="A155" s="139">
        <v>135</v>
      </c>
      <c r="B155" s="137" t="s">
        <v>187</v>
      </c>
      <c r="C155" s="138" t="s">
        <v>47</v>
      </c>
      <c r="D155" s="27">
        <v>54160728474</v>
      </c>
      <c r="E155" s="28">
        <f>(D155/$D$159)</f>
        <v>0.1511244388849699</v>
      </c>
      <c r="F155" s="58">
        <v>102.07</v>
      </c>
      <c r="G155" s="58">
        <v>102.07</v>
      </c>
      <c r="H155" s="30">
        <v>645</v>
      </c>
      <c r="I155" s="48">
        <v>8.3900000000000002E-2</v>
      </c>
      <c r="J155" s="48">
        <v>8.3900000000000002E-2</v>
      </c>
      <c r="K155" s="27">
        <v>54160728474</v>
      </c>
      <c r="L155" s="28">
        <f t="shared" si="106"/>
        <v>0.15062785668002363</v>
      </c>
      <c r="M155" s="58">
        <v>102.07</v>
      </c>
      <c r="N155" s="58">
        <v>102.07</v>
      </c>
      <c r="O155" s="30">
        <v>645</v>
      </c>
      <c r="P155" s="48">
        <v>8.3900000000000002E-2</v>
      </c>
      <c r="Q155" s="48">
        <v>8.3900000000000002E-2</v>
      </c>
      <c r="R155" s="55">
        <f t="shared" si="103"/>
        <v>0</v>
      </c>
      <c r="S155" s="55">
        <f t="shared" si="104"/>
        <v>0</v>
      </c>
      <c r="T155" s="55">
        <f t="shared" si="104"/>
        <v>0</v>
      </c>
      <c r="U155" s="55">
        <f t="shared" si="105"/>
        <v>0</v>
      </c>
      <c r="V155" s="56">
        <f t="shared" si="105"/>
        <v>0</v>
      </c>
    </row>
    <row r="156" spans="1:22" ht="15.75" customHeight="1">
      <c r="A156" s="139">
        <v>136</v>
      </c>
      <c r="B156" s="137" t="s">
        <v>188</v>
      </c>
      <c r="C156" s="138" t="s">
        <v>142</v>
      </c>
      <c r="D156" s="27">
        <v>2510926838.9709167</v>
      </c>
      <c r="E156" s="28">
        <f>(D156/$D$159)</f>
        <v>7.006227949885366E-3</v>
      </c>
      <c r="F156" s="58">
        <v>249.25</v>
      </c>
      <c r="G156" s="58">
        <v>249.25</v>
      </c>
      <c r="H156" s="30">
        <v>3250</v>
      </c>
      <c r="I156" s="48">
        <v>5.7661072219455045E-2</v>
      </c>
      <c r="J156" s="48">
        <v>0.17294013080605133</v>
      </c>
      <c r="K156" s="27">
        <v>2519165350.5039539</v>
      </c>
      <c r="L156" s="28">
        <f>(K156/$K$159)</f>
        <v>7.0061184193848155E-3</v>
      </c>
      <c r="M156" s="58">
        <v>249.25</v>
      </c>
      <c r="N156" s="58">
        <v>249.25</v>
      </c>
      <c r="O156" s="30">
        <v>3250</v>
      </c>
      <c r="P156" s="48">
        <v>0.20267616007773628</v>
      </c>
      <c r="Q156" s="48">
        <v>6.0597547353443248E-2</v>
      </c>
      <c r="R156" s="55">
        <f t="shared" si="103"/>
        <v>3.2810639502398541E-3</v>
      </c>
      <c r="S156" s="55">
        <f t="shared" si="104"/>
        <v>0</v>
      </c>
      <c r="T156" s="55">
        <f t="shared" si="104"/>
        <v>0</v>
      </c>
      <c r="U156" s="55">
        <f t="shared" si="105"/>
        <v>0.14501508785828124</v>
      </c>
      <c r="V156" s="56">
        <f t="shared" si="105"/>
        <v>-0.11234258345260809</v>
      </c>
    </row>
    <row r="157" spans="1:22">
      <c r="A157" s="139">
        <v>137</v>
      </c>
      <c r="B157" s="137" t="s">
        <v>189</v>
      </c>
      <c r="C157" s="138" t="s">
        <v>142</v>
      </c>
      <c r="D157" s="27">
        <v>10146871522.49</v>
      </c>
      <c r="E157" s="28">
        <f>(D157/$D$159)</f>
        <v>2.8312770313093438E-2</v>
      </c>
      <c r="F157" s="58">
        <v>50.25</v>
      </c>
      <c r="G157" s="58">
        <v>50.25</v>
      </c>
      <c r="H157" s="30">
        <v>5344</v>
      </c>
      <c r="I157" s="48">
        <v>0.15584587100133171</v>
      </c>
      <c r="J157" s="48">
        <v>5.0485257843658982E-2</v>
      </c>
      <c r="K157" s="27">
        <v>10178098785.379999</v>
      </c>
      <c r="L157" s="28">
        <f>(K157/$K$159)</f>
        <v>2.8306583908953738E-2</v>
      </c>
      <c r="M157" s="58">
        <v>50.25</v>
      </c>
      <c r="N157" s="58">
        <v>50.25</v>
      </c>
      <c r="O157" s="30">
        <v>5344</v>
      </c>
      <c r="P157" s="48">
        <v>0.14142832925677803</v>
      </c>
      <c r="Q157" s="48">
        <v>0.16100514768736524</v>
      </c>
      <c r="R157" s="55">
        <f t="shared" si="103"/>
        <v>3.0775261932493997E-3</v>
      </c>
      <c r="S157" s="55">
        <f t="shared" si="104"/>
        <v>0</v>
      </c>
      <c r="T157" s="55">
        <f t="shared" si="104"/>
        <v>0</v>
      </c>
      <c r="U157" s="55">
        <f t="shared" si="105"/>
        <v>-1.4417541744553675E-2</v>
      </c>
      <c r="V157" s="56">
        <f t="shared" si="105"/>
        <v>0.11051988984370625</v>
      </c>
    </row>
    <row r="158" spans="1:22">
      <c r="A158" s="139">
        <v>138</v>
      </c>
      <c r="B158" s="137" t="s">
        <v>190</v>
      </c>
      <c r="C158" s="138" t="s">
        <v>49</v>
      </c>
      <c r="D158" s="27">
        <v>31346517995.830002</v>
      </c>
      <c r="E158" s="28">
        <f>(D158/$D$159)</f>
        <v>8.7466049231437831E-2</v>
      </c>
      <c r="F158" s="58">
        <v>6.3</v>
      </c>
      <c r="G158" s="58">
        <v>6.3</v>
      </c>
      <c r="H158" s="30">
        <v>208345</v>
      </c>
      <c r="I158" s="48">
        <v>0.05</v>
      </c>
      <c r="J158" s="48">
        <v>0.26</v>
      </c>
      <c r="K158" s="27">
        <v>31453608998.349998</v>
      </c>
      <c r="L158" s="28">
        <f>(K158/$K$159)</f>
        <v>8.7476476808234838E-2</v>
      </c>
      <c r="M158" s="58">
        <v>6.5</v>
      </c>
      <c r="N158" s="58">
        <v>6.5</v>
      </c>
      <c r="O158" s="30">
        <v>208483</v>
      </c>
      <c r="P158" s="48">
        <v>3.1699999999999999E-2</v>
      </c>
      <c r="Q158" s="48">
        <v>0.3</v>
      </c>
      <c r="R158" s="55">
        <f t="shared" si="103"/>
        <v>3.4163603923805146E-3</v>
      </c>
      <c r="S158" s="55">
        <f t="shared" si="104"/>
        <v>3.1746031746031772E-2</v>
      </c>
      <c r="T158" s="55">
        <f t="shared" si="104"/>
        <v>6.6236290767717008E-4</v>
      </c>
      <c r="U158" s="55">
        <f t="shared" si="105"/>
        <v>-1.8300000000000004E-2</v>
      </c>
      <c r="V158" s="56">
        <f t="shared" si="105"/>
        <v>3.999999999999998E-2</v>
      </c>
    </row>
    <row r="159" spans="1:22">
      <c r="A159" s="34"/>
      <c r="B159" s="71"/>
      <c r="C159" s="36" t="s">
        <v>53</v>
      </c>
      <c r="D159" s="37">
        <f>SUM(D153:D158)</f>
        <v>358384976471.11237</v>
      </c>
      <c r="E159" s="38">
        <f>(D159/$D$222)</f>
        <v>6.1660064032595552E-2</v>
      </c>
      <c r="F159" s="39"/>
      <c r="G159" s="72"/>
      <c r="H159" s="41">
        <f>SUM(H153:H158)</f>
        <v>217637</v>
      </c>
      <c r="I159" s="79"/>
      <c r="J159" s="79"/>
      <c r="K159" s="37">
        <f>SUM(K153:K158)</f>
        <v>359566481710.30396</v>
      </c>
      <c r="L159" s="38">
        <f>(K159/$K$222)</f>
        <v>6.0818278597781349E-2</v>
      </c>
      <c r="M159" s="39"/>
      <c r="N159" s="72"/>
      <c r="O159" s="41">
        <f>SUM(O153:O158)</f>
        <v>217775</v>
      </c>
      <c r="P159" s="79"/>
      <c r="Q159" s="79"/>
      <c r="R159" s="55">
        <f t="shared" si="103"/>
        <v>3.2967487946214862E-3</v>
      </c>
      <c r="S159" s="55" t="e">
        <f t="shared" si="104"/>
        <v>#DIV/0!</v>
      </c>
      <c r="T159" s="55">
        <f t="shared" si="104"/>
        <v>6.3408335898767218E-4</v>
      </c>
      <c r="U159" s="55">
        <f t="shared" si="105"/>
        <v>0</v>
      </c>
      <c r="V159" s="56">
        <f t="shared" si="105"/>
        <v>0</v>
      </c>
    </row>
    <row r="160" spans="1:22" ht="5.25" customHeight="1">
      <c r="A160" s="34"/>
      <c r="B160" s="155"/>
      <c r="C160" s="155"/>
      <c r="D160" s="155"/>
      <c r="E160" s="155"/>
      <c r="F160" s="155"/>
      <c r="G160" s="155"/>
      <c r="H160" s="155"/>
      <c r="I160" s="155"/>
      <c r="J160" s="155"/>
      <c r="K160" s="155"/>
      <c r="L160" s="155"/>
      <c r="M160" s="155"/>
      <c r="N160" s="155"/>
      <c r="O160" s="155"/>
      <c r="P160" s="155"/>
      <c r="Q160" s="155"/>
      <c r="R160" s="155"/>
      <c r="S160" s="155"/>
      <c r="T160" s="155"/>
      <c r="U160" s="155"/>
      <c r="V160" s="155"/>
    </row>
    <row r="161" spans="1:22" ht="15" customHeight="1">
      <c r="A161" s="157" t="s">
        <v>191</v>
      </c>
      <c r="B161" s="157"/>
      <c r="C161" s="157"/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  <c r="R161" s="157"/>
      <c r="S161" s="157"/>
      <c r="T161" s="157"/>
      <c r="U161" s="157"/>
      <c r="V161" s="157"/>
    </row>
    <row r="162" spans="1:22">
      <c r="A162" s="140">
        <v>139</v>
      </c>
      <c r="B162" s="137" t="s">
        <v>192</v>
      </c>
      <c r="C162" s="138" t="s">
        <v>57</v>
      </c>
      <c r="D162" s="31">
        <v>316584440.38</v>
      </c>
      <c r="E162" s="28">
        <f t="shared" ref="E162:E189" si="112">(D162/$D$190)</f>
        <v>4.8155956251420273E-3</v>
      </c>
      <c r="F162" s="31">
        <v>6.7027999999999999</v>
      </c>
      <c r="G162" s="31">
        <v>6.8002000000000002</v>
      </c>
      <c r="H162" s="32">
        <v>11844</v>
      </c>
      <c r="I162" s="49">
        <v>2.4399000000000001E-2</v>
      </c>
      <c r="J162" s="49">
        <v>0.17300599999999999</v>
      </c>
      <c r="K162" s="31">
        <v>319347104.16000003</v>
      </c>
      <c r="L162" s="52">
        <f t="shared" ref="L162:L189" si="113">(K162/$K$190)</f>
        <v>4.8139730930662527E-3</v>
      </c>
      <c r="M162" s="31">
        <v>6.7583000000000002</v>
      </c>
      <c r="N162" s="31">
        <v>6.8613999999999997</v>
      </c>
      <c r="O162" s="32">
        <v>11844</v>
      </c>
      <c r="P162" s="49">
        <v>9.7140000000000004E-3</v>
      </c>
      <c r="Q162" s="49">
        <v>0.18271999999999999</v>
      </c>
      <c r="R162" s="55">
        <f>((K162-D162)/D162)</f>
        <v>8.726467342121973E-3</v>
      </c>
      <c r="S162" s="55">
        <f>((N162-G162)/G162)</f>
        <v>8.9997353019028083E-3</v>
      </c>
      <c r="T162" s="55">
        <f>((O162-H162)/H162)</f>
        <v>0</v>
      </c>
      <c r="U162" s="55">
        <f>P162-I162</f>
        <v>-1.4685E-2</v>
      </c>
      <c r="V162" s="56">
        <f>Q162-J162</f>
        <v>9.7140000000000004E-3</v>
      </c>
    </row>
    <row r="163" spans="1:22">
      <c r="A163" s="140">
        <v>140</v>
      </c>
      <c r="B163" s="137" t="s">
        <v>193</v>
      </c>
      <c r="C163" s="137" t="s">
        <v>194</v>
      </c>
      <c r="D163" s="31">
        <v>811843111.2532388</v>
      </c>
      <c r="E163" s="28">
        <f t="shared" si="112"/>
        <v>1.2349021733854515E-2</v>
      </c>
      <c r="F163" s="31">
        <v>1877.3584729347378</v>
      </c>
      <c r="G163" s="31">
        <v>1899.9100703992804</v>
      </c>
      <c r="H163" s="32">
        <v>156</v>
      </c>
      <c r="I163" s="49">
        <v>4.1278768684514515E-2</v>
      </c>
      <c r="J163" s="49">
        <v>0.67836981407205654</v>
      </c>
      <c r="K163" s="31">
        <v>818722879.41640186</v>
      </c>
      <c r="L163" s="52">
        <f t="shared" si="113"/>
        <v>1.2341774391708906E-2</v>
      </c>
      <c r="M163" s="31">
        <v>1893.0268428502127</v>
      </c>
      <c r="N163" s="31">
        <v>1915.7785636782048</v>
      </c>
      <c r="O163" s="32">
        <v>156</v>
      </c>
      <c r="P163" s="49">
        <v>8.3497760651917077E-3</v>
      </c>
      <c r="Q163" s="49">
        <v>0.69238382617413574</v>
      </c>
      <c r="R163" s="55">
        <f>((K163-D163)/D163)</f>
        <v>8.4742582252657125E-3</v>
      </c>
      <c r="S163" s="55">
        <f>((N163-G163)/G163)</f>
        <v>8.3522338905175544E-3</v>
      </c>
      <c r="T163" s="55">
        <f>((O163-H163)/H163)</f>
        <v>0</v>
      </c>
      <c r="U163" s="55">
        <f>P163-I163</f>
        <v>-3.2928992619322806E-2</v>
      </c>
      <c r="V163" s="56">
        <f>Q163-J163</f>
        <v>1.4014012102079199E-2</v>
      </c>
    </row>
    <row r="164" spans="1:22">
      <c r="A164" s="140">
        <v>141</v>
      </c>
      <c r="B164" s="137" t="s">
        <v>195</v>
      </c>
      <c r="C164" s="138" t="s">
        <v>23</v>
      </c>
      <c r="D164" s="31">
        <v>7803564385.6000004</v>
      </c>
      <c r="E164" s="28">
        <f t="shared" si="112"/>
        <v>0.11870075001381372</v>
      </c>
      <c r="F164" s="31">
        <v>890.15930000000003</v>
      </c>
      <c r="G164" s="31">
        <v>916.99829999999997</v>
      </c>
      <c r="H164" s="32">
        <v>21512</v>
      </c>
      <c r="I164" s="49">
        <v>0.72740000000000005</v>
      </c>
      <c r="J164" s="49">
        <v>0.24579999999999999</v>
      </c>
      <c r="K164" s="31">
        <v>7876948075.29</v>
      </c>
      <c r="L164" s="52">
        <f t="shared" si="113"/>
        <v>0.11874044134412315</v>
      </c>
      <c r="M164" s="31">
        <v>895.81079999999997</v>
      </c>
      <c r="N164" s="31">
        <v>922.8202</v>
      </c>
      <c r="O164" s="32">
        <v>21531</v>
      </c>
      <c r="P164" s="49">
        <v>0.33100000000000002</v>
      </c>
      <c r="Q164" s="49">
        <v>0.2505</v>
      </c>
      <c r="R164" s="55">
        <f t="shared" ref="R164:R189" si="114">((K164-D164)/D164)</f>
        <v>9.4038680356652495E-3</v>
      </c>
      <c r="S164" s="55">
        <f t="shared" ref="S164:T189" si="115">((N164-G164)/G164)</f>
        <v>6.3488667318140372E-3</v>
      </c>
      <c r="T164" s="55">
        <f t="shared" si="115"/>
        <v>8.8322796578653776E-4</v>
      </c>
      <c r="U164" s="55">
        <f t="shared" ref="U164:V189" si="116">P164-I164</f>
        <v>-0.39640000000000003</v>
      </c>
      <c r="V164" s="56">
        <f t="shared" si="116"/>
        <v>4.7000000000000097E-3</v>
      </c>
    </row>
    <row r="165" spans="1:22">
      <c r="A165" s="140">
        <v>142</v>
      </c>
      <c r="B165" s="137" t="s">
        <v>196</v>
      </c>
      <c r="C165" s="138" t="s">
        <v>109</v>
      </c>
      <c r="D165" s="31">
        <v>4936956586.2799997</v>
      </c>
      <c r="E165" s="28">
        <f t="shared" si="112"/>
        <v>7.5096509828055394E-2</v>
      </c>
      <c r="F165" s="31">
        <v>28.9696</v>
      </c>
      <c r="G165" s="31">
        <v>29.358699999999999</v>
      </c>
      <c r="H165" s="30">
        <v>6153</v>
      </c>
      <c r="I165" s="48">
        <v>5.6099999999999997E-2</v>
      </c>
      <c r="J165" s="48">
        <v>0.36320000000000002</v>
      </c>
      <c r="K165" s="31">
        <v>4930104148.9399996</v>
      </c>
      <c r="L165" s="52">
        <f t="shared" si="113"/>
        <v>7.4318471687535637E-2</v>
      </c>
      <c r="M165" s="31">
        <v>28.644400000000001</v>
      </c>
      <c r="N165" s="31">
        <v>29.026499999999999</v>
      </c>
      <c r="O165" s="30">
        <v>6152</v>
      </c>
      <c r="P165" s="48">
        <v>5.4999999999999997E-3</v>
      </c>
      <c r="Q165" s="48">
        <v>0.3478</v>
      </c>
      <c r="R165" s="55">
        <f t="shared" si="114"/>
        <v>-1.3879881704942172E-3</v>
      </c>
      <c r="S165" s="55">
        <f t="shared" si="115"/>
        <v>-1.131521491074197E-2</v>
      </c>
      <c r="T165" s="55">
        <f t="shared" si="115"/>
        <v>-1.6252234682268812E-4</v>
      </c>
      <c r="U165" s="55">
        <f t="shared" si="116"/>
        <v>-5.0599999999999999E-2</v>
      </c>
      <c r="V165" s="56">
        <f t="shared" si="116"/>
        <v>-1.5400000000000025E-2</v>
      </c>
    </row>
    <row r="166" spans="1:22">
      <c r="A166" s="140">
        <v>143</v>
      </c>
      <c r="B166" s="137" t="s">
        <v>197</v>
      </c>
      <c r="C166" s="138" t="s">
        <v>118</v>
      </c>
      <c r="D166" s="27">
        <v>2245775239.6091371</v>
      </c>
      <c r="E166" s="28">
        <f t="shared" si="112"/>
        <v>3.4160697872368535E-2</v>
      </c>
      <c r="F166" s="31">
        <v>5.3654999999999999</v>
      </c>
      <c r="G166" s="31">
        <v>5.4808000000000003</v>
      </c>
      <c r="H166" s="30">
        <v>2739</v>
      </c>
      <c r="I166" s="48">
        <v>0.10580000000000001</v>
      </c>
      <c r="J166" s="48">
        <v>0.34510000000000002</v>
      </c>
      <c r="K166" s="27">
        <v>2245775239.6091371</v>
      </c>
      <c r="L166" s="52">
        <f t="shared" si="113"/>
        <v>3.3853764244989676E-2</v>
      </c>
      <c r="M166" s="31">
        <v>5.3654999999999999</v>
      </c>
      <c r="N166" s="31">
        <v>5.4808000000000003</v>
      </c>
      <c r="O166" s="30">
        <v>2739</v>
      </c>
      <c r="P166" s="48">
        <v>0.10580000000000001</v>
      </c>
      <c r="Q166" s="48">
        <v>0.34510000000000002</v>
      </c>
      <c r="R166" s="55">
        <f t="shared" si="114"/>
        <v>0</v>
      </c>
      <c r="S166" s="55">
        <f t="shared" si="115"/>
        <v>0</v>
      </c>
      <c r="T166" s="55">
        <f t="shared" si="115"/>
        <v>0</v>
      </c>
      <c r="U166" s="55">
        <f t="shared" si="116"/>
        <v>0</v>
      </c>
      <c r="V166" s="56">
        <f t="shared" si="116"/>
        <v>0</v>
      </c>
    </row>
    <row r="167" spans="1:22">
      <c r="A167" s="140">
        <v>144</v>
      </c>
      <c r="B167" s="137" t="s">
        <v>306</v>
      </c>
      <c r="C167" s="138" t="s">
        <v>27</v>
      </c>
      <c r="D167" s="27">
        <v>865096063.99000001</v>
      </c>
      <c r="E167" s="28">
        <f t="shared" si="112"/>
        <v>1.3159057394221237E-2</v>
      </c>
      <c r="F167" s="31">
        <v>1.0673999999999999</v>
      </c>
      <c r="G167" s="31">
        <v>1.0673999999999999</v>
      </c>
      <c r="H167" s="30">
        <v>200</v>
      </c>
      <c r="I167" s="48">
        <v>4.5999999999999999E-3</v>
      </c>
      <c r="J167" s="48">
        <v>6.7400000000000002E-2</v>
      </c>
      <c r="K167" s="27">
        <v>869665917.70000005</v>
      </c>
      <c r="L167" s="52">
        <f t="shared" si="113"/>
        <v>1.3109711261596461E-2</v>
      </c>
      <c r="M167" s="31">
        <v>1.0710999999999999</v>
      </c>
      <c r="N167" s="31">
        <v>1.0710999999999999</v>
      </c>
      <c r="O167" s="30">
        <v>201</v>
      </c>
      <c r="P167" s="48">
        <v>3.5000000000000001E-3</v>
      </c>
      <c r="Q167" s="48">
        <v>7.1099999999999997E-2</v>
      </c>
      <c r="R167" s="55">
        <f t="shared" ref="R167" si="117">((K167-D167)/D167)</f>
        <v>5.2824812182394381E-3</v>
      </c>
      <c r="S167" s="55">
        <f t="shared" ref="S167" si="118">((N167-G167)/G167)</f>
        <v>3.4663668727750018E-3</v>
      </c>
      <c r="T167" s="55">
        <f t="shared" ref="T167" si="119">((O167-H167)/H167)</f>
        <v>5.0000000000000001E-3</v>
      </c>
      <c r="U167" s="55">
        <f t="shared" ref="U167" si="120">P167-I167</f>
        <v>-1.0999999999999998E-3</v>
      </c>
      <c r="V167" s="56">
        <f t="shared" ref="V167" si="121">Q167-J167</f>
        <v>3.699999999999995E-3</v>
      </c>
    </row>
    <row r="168" spans="1:22">
      <c r="A168" s="140">
        <v>145</v>
      </c>
      <c r="B168" s="137" t="s">
        <v>198</v>
      </c>
      <c r="C168" s="138" t="s">
        <v>65</v>
      </c>
      <c r="D168" s="31">
        <v>4673471005.0029697</v>
      </c>
      <c r="E168" s="28">
        <f t="shared" si="112"/>
        <v>7.1088605930559143E-2</v>
      </c>
      <c r="F168" s="31">
        <v>10164.369559888901</v>
      </c>
      <c r="G168" s="31">
        <v>10250.298942647099</v>
      </c>
      <c r="H168" s="30">
        <v>1097</v>
      </c>
      <c r="I168" s="48">
        <v>0.28417459877173601</v>
      </c>
      <c r="J168" s="48">
        <v>0.67701150082381134</v>
      </c>
      <c r="K168" s="31">
        <v>4802103511.18466</v>
      </c>
      <c r="L168" s="52">
        <f t="shared" si="113"/>
        <v>7.2388936025484352E-2</v>
      </c>
      <c r="M168" s="31">
        <v>10229.757136427599</v>
      </c>
      <c r="N168" s="31">
        <v>10313.877345913501</v>
      </c>
      <c r="O168" s="30">
        <v>1119</v>
      </c>
      <c r="P168" s="48">
        <v>0.33543596012385168</v>
      </c>
      <c r="Q168" s="48">
        <v>0.66827745596624133</v>
      </c>
      <c r="R168" s="55">
        <f t="shared" si="114"/>
        <v>2.7523976514241471E-2</v>
      </c>
      <c r="S168" s="55">
        <f t="shared" si="115"/>
        <v>6.2025901509934461E-3</v>
      </c>
      <c r="T168" s="55">
        <f t="shared" si="115"/>
        <v>2.0054694621695533E-2</v>
      </c>
      <c r="U168" s="55">
        <f t="shared" si="116"/>
        <v>5.1261361352115675E-2</v>
      </c>
      <c r="V168" s="56">
        <f t="shared" si="116"/>
        <v>-8.7340448575700114E-3</v>
      </c>
    </row>
    <row r="169" spans="1:22">
      <c r="A169" s="140">
        <v>146</v>
      </c>
      <c r="B169" s="137" t="s">
        <v>199</v>
      </c>
      <c r="C169" s="138" t="s">
        <v>67</v>
      </c>
      <c r="D169" s="31">
        <v>950403895.22000003</v>
      </c>
      <c r="E169" s="28">
        <f t="shared" si="112"/>
        <v>1.4456682818794994E-2</v>
      </c>
      <c r="F169" s="31">
        <v>210.64</v>
      </c>
      <c r="G169" s="31">
        <v>212.22</v>
      </c>
      <c r="H169" s="30">
        <v>493</v>
      </c>
      <c r="I169" s="48">
        <v>1.9E-2</v>
      </c>
      <c r="J169" s="48">
        <v>0.1535</v>
      </c>
      <c r="K169" s="31">
        <v>956079572.66999996</v>
      </c>
      <c r="L169" s="52">
        <f t="shared" si="113"/>
        <v>1.4412347184954228E-2</v>
      </c>
      <c r="M169" s="31">
        <v>211.44</v>
      </c>
      <c r="N169" s="31">
        <v>213.03</v>
      </c>
      <c r="O169" s="30">
        <v>495</v>
      </c>
      <c r="P169" s="48">
        <v>3.8E-3</v>
      </c>
      <c r="Q169" s="48">
        <v>0.15740000000000001</v>
      </c>
      <c r="R169" s="55">
        <f t="shared" si="114"/>
        <v>5.9718583631079491E-3</v>
      </c>
      <c r="S169" s="55">
        <f t="shared" si="115"/>
        <v>3.8167938931297817E-3</v>
      </c>
      <c r="T169" s="55">
        <f t="shared" si="115"/>
        <v>4.0567951318458417E-3</v>
      </c>
      <c r="U169" s="55">
        <f t="shared" si="116"/>
        <v>-1.52E-2</v>
      </c>
      <c r="V169" s="56">
        <f t="shared" si="116"/>
        <v>3.9000000000000146E-3</v>
      </c>
    </row>
    <row r="170" spans="1:22">
      <c r="A170" s="140">
        <v>147</v>
      </c>
      <c r="B170" s="137" t="s">
        <v>200</v>
      </c>
      <c r="C170" s="138" t="s">
        <v>123</v>
      </c>
      <c r="D170" s="31">
        <v>272944960.33999997</v>
      </c>
      <c r="E170" s="28">
        <f t="shared" si="112"/>
        <v>4.1517913999190468E-3</v>
      </c>
      <c r="F170" s="31">
        <v>1.7524999999999999</v>
      </c>
      <c r="G170" s="31">
        <v>1.7701</v>
      </c>
      <c r="H170" s="30">
        <v>431</v>
      </c>
      <c r="I170" s="48">
        <v>3.6736867013724694E-2</v>
      </c>
      <c r="J170" s="48">
        <v>0.19714461370312186</v>
      </c>
      <c r="K170" s="31">
        <v>288758975.86000001</v>
      </c>
      <c r="L170" s="52">
        <f t="shared" si="113"/>
        <v>4.352874731173224E-3</v>
      </c>
      <c r="M170" s="31">
        <v>1.766</v>
      </c>
      <c r="N170" s="31">
        <v>1.7836000000000001</v>
      </c>
      <c r="O170" s="30">
        <v>461</v>
      </c>
      <c r="P170" s="48">
        <v>7.7000000000000002E-3</v>
      </c>
      <c r="Q170" s="48">
        <v>0.20636655509256108</v>
      </c>
      <c r="R170" s="55">
        <f t="shared" si="114"/>
        <v>5.7938477780652038E-2</v>
      </c>
      <c r="S170" s="55">
        <f t="shared" si="115"/>
        <v>7.6266877577538372E-3</v>
      </c>
      <c r="T170" s="55">
        <f t="shared" si="115"/>
        <v>6.9605568445475635E-2</v>
      </c>
      <c r="U170" s="55">
        <f t="shared" si="116"/>
        <v>-2.9036867013724696E-2</v>
      </c>
      <c r="V170" s="56">
        <f t="shared" si="116"/>
        <v>9.2219413894392144E-3</v>
      </c>
    </row>
    <row r="171" spans="1:22">
      <c r="A171" s="140">
        <v>148</v>
      </c>
      <c r="B171" s="137" t="s">
        <v>201</v>
      </c>
      <c r="C171" s="138" t="s">
        <v>29</v>
      </c>
      <c r="D171" s="42">
        <v>141435275.53</v>
      </c>
      <c r="E171" s="28">
        <f t="shared" si="112"/>
        <v>2.1513852457988739E-3</v>
      </c>
      <c r="F171" s="31">
        <v>169.52520000000001</v>
      </c>
      <c r="G171" s="31">
        <v>170.47559999999999</v>
      </c>
      <c r="H171" s="30">
        <v>122</v>
      </c>
      <c r="I171" s="48">
        <v>7.8530000000000006E-3</v>
      </c>
      <c r="J171" s="48">
        <v>0.1208</v>
      </c>
      <c r="K171" s="42">
        <v>141435275.53</v>
      </c>
      <c r="L171" s="52">
        <f t="shared" si="113"/>
        <v>2.1320550646693917E-3</v>
      </c>
      <c r="M171" s="31">
        <v>169.52520000000001</v>
      </c>
      <c r="N171" s="31">
        <v>170.47559999999999</v>
      </c>
      <c r="O171" s="30">
        <v>122</v>
      </c>
      <c r="P171" s="48">
        <v>7.8530000000000006E-3</v>
      </c>
      <c r="Q171" s="48">
        <v>0.1208</v>
      </c>
      <c r="R171" s="55">
        <f t="shared" si="114"/>
        <v>0</v>
      </c>
      <c r="S171" s="55">
        <f t="shared" si="115"/>
        <v>0</v>
      </c>
      <c r="T171" s="55">
        <f t="shared" si="115"/>
        <v>0</v>
      </c>
      <c r="U171" s="55">
        <f t="shared" si="116"/>
        <v>0</v>
      </c>
      <c r="V171" s="56">
        <f t="shared" si="116"/>
        <v>0</v>
      </c>
    </row>
    <row r="172" spans="1:22">
      <c r="A172" s="140">
        <v>149</v>
      </c>
      <c r="B172" s="137" t="s">
        <v>202</v>
      </c>
      <c r="C172" s="138" t="s">
        <v>70</v>
      </c>
      <c r="D172" s="42">
        <v>295295794.49000001</v>
      </c>
      <c r="E172" s="28">
        <f t="shared" si="112"/>
        <v>4.4917720351701738E-3</v>
      </c>
      <c r="F172" s="31">
        <v>146.4</v>
      </c>
      <c r="G172" s="31">
        <v>147.66</v>
      </c>
      <c r="H172" s="30">
        <v>47</v>
      </c>
      <c r="I172" s="48">
        <v>7.1999999999999995E-2</v>
      </c>
      <c r="J172" s="48">
        <v>0.2369</v>
      </c>
      <c r="K172" s="42">
        <v>281168323.68000001</v>
      </c>
      <c r="L172" s="52">
        <f t="shared" si="113"/>
        <v>4.2384500350437209E-3</v>
      </c>
      <c r="M172" s="31">
        <v>139.37</v>
      </c>
      <c r="N172" s="31">
        <v>139.37</v>
      </c>
      <c r="O172" s="30">
        <v>47</v>
      </c>
      <c r="P172" s="48">
        <v>-1.7899999999999999E-2</v>
      </c>
      <c r="Q172" s="48">
        <v>0.219</v>
      </c>
      <c r="R172" s="55">
        <f t="shared" si="114"/>
        <v>-4.7841760951588562E-2</v>
      </c>
      <c r="S172" s="55">
        <f t="shared" si="115"/>
        <v>-5.6142489502912042E-2</v>
      </c>
      <c r="T172" s="55">
        <f t="shared" si="115"/>
        <v>0</v>
      </c>
      <c r="U172" s="55">
        <f t="shared" si="116"/>
        <v>-8.9899999999999994E-2</v>
      </c>
      <c r="V172" s="56">
        <f t="shared" si="116"/>
        <v>-1.7899999999999999E-2</v>
      </c>
    </row>
    <row r="173" spans="1:22" ht="15.75" customHeight="1">
      <c r="A173" s="140">
        <v>150</v>
      </c>
      <c r="B173" s="137" t="s">
        <v>203</v>
      </c>
      <c r="C173" s="138" t="s">
        <v>73</v>
      </c>
      <c r="D173" s="27">
        <v>399617522.69999999</v>
      </c>
      <c r="E173" s="28">
        <f t="shared" si="112"/>
        <v>6.0786196306247377E-3</v>
      </c>
      <c r="F173" s="31">
        <v>1.5703</v>
      </c>
      <c r="G173" s="31">
        <v>1.5879000000000001</v>
      </c>
      <c r="H173" s="30">
        <v>96</v>
      </c>
      <c r="I173" s="48">
        <v>3.6999999999999998E-2</v>
      </c>
      <c r="J173" s="48">
        <v>0.2321</v>
      </c>
      <c r="K173" s="27">
        <v>402959217.11000001</v>
      </c>
      <c r="L173" s="52">
        <f t="shared" si="113"/>
        <v>6.0743773890577753E-3</v>
      </c>
      <c r="M173" s="31">
        <v>1.5743</v>
      </c>
      <c r="N173" s="31">
        <v>1.5918999999999999</v>
      </c>
      <c r="O173" s="30">
        <v>96</v>
      </c>
      <c r="P173" s="48">
        <v>3.6999999999999998E-2</v>
      </c>
      <c r="Q173" s="48">
        <v>0.23519999999999999</v>
      </c>
      <c r="R173" s="55">
        <f t="shared" si="114"/>
        <v>8.36223193473099E-3</v>
      </c>
      <c r="S173" s="55">
        <f t="shared" si="115"/>
        <v>2.5190503180299649E-3</v>
      </c>
      <c r="T173" s="55">
        <f t="shared" si="115"/>
        <v>0</v>
      </c>
      <c r="U173" s="55">
        <f t="shared" si="116"/>
        <v>0</v>
      </c>
      <c r="V173" s="56">
        <f t="shared" si="116"/>
        <v>3.0999999999999917E-3</v>
      </c>
    </row>
    <row r="174" spans="1:22">
      <c r="A174" s="140">
        <v>151</v>
      </c>
      <c r="B174" s="137" t="s">
        <v>204</v>
      </c>
      <c r="C174" s="138" t="s">
        <v>31</v>
      </c>
      <c r="D174" s="31">
        <v>11488608009.42</v>
      </c>
      <c r="E174" s="28">
        <f t="shared" si="112"/>
        <v>0.17475429431316328</v>
      </c>
      <c r="F174" s="31">
        <v>394.44</v>
      </c>
      <c r="G174" s="31">
        <v>397.97</v>
      </c>
      <c r="H174" s="30">
        <v>5487</v>
      </c>
      <c r="I174" s="48">
        <v>2.3599999999999999E-2</v>
      </c>
      <c r="J174" s="48">
        <v>0.217</v>
      </c>
      <c r="K174" s="31">
        <v>11564038056.780001</v>
      </c>
      <c r="L174" s="52">
        <f t="shared" si="113"/>
        <v>0.17432119260627985</v>
      </c>
      <c r="M174" s="31">
        <v>396.81</v>
      </c>
      <c r="N174" s="31">
        <v>400.4</v>
      </c>
      <c r="O174" s="30">
        <v>5487</v>
      </c>
      <c r="P174" s="48">
        <v>6.1000000000000004E-3</v>
      </c>
      <c r="Q174" s="48">
        <v>0.2243</v>
      </c>
      <c r="R174" s="55">
        <f t="shared" si="114"/>
        <v>6.5656385262820608E-3</v>
      </c>
      <c r="S174" s="55">
        <f t="shared" si="115"/>
        <v>6.1059878885341857E-3</v>
      </c>
      <c r="T174" s="55">
        <f t="shared" si="115"/>
        <v>0</v>
      </c>
      <c r="U174" s="55">
        <f t="shared" si="116"/>
        <v>-1.7499999999999998E-2</v>
      </c>
      <c r="V174" s="56">
        <f t="shared" si="116"/>
        <v>7.3000000000000009E-3</v>
      </c>
    </row>
    <row r="175" spans="1:22">
      <c r="A175" s="140">
        <v>152</v>
      </c>
      <c r="B175" s="137" t="s">
        <v>205</v>
      </c>
      <c r="C175" s="138" t="s">
        <v>78</v>
      </c>
      <c r="D175" s="31">
        <v>3890623974.9699998</v>
      </c>
      <c r="E175" s="28">
        <f t="shared" si="112"/>
        <v>5.9180646308610654E-2</v>
      </c>
      <c r="F175" s="31">
        <v>2.7231999999999998</v>
      </c>
      <c r="G175" s="31">
        <v>2.7742</v>
      </c>
      <c r="H175" s="30">
        <v>10300</v>
      </c>
      <c r="I175" s="48">
        <v>2.7799999999999998E-2</v>
      </c>
      <c r="J175" s="48">
        <v>0.17519999999999999</v>
      </c>
      <c r="K175" s="31">
        <v>3912714818.0900002</v>
      </c>
      <c r="L175" s="52">
        <f t="shared" si="113"/>
        <v>5.8981915319607128E-2</v>
      </c>
      <c r="M175" s="31">
        <v>2.7416</v>
      </c>
      <c r="N175" s="31">
        <v>2.7928000000000002</v>
      </c>
      <c r="O175" s="30">
        <v>10300</v>
      </c>
      <c r="P175" s="48">
        <v>8.2000000000000007E-3</v>
      </c>
      <c r="Q175" s="48">
        <v>0.1832</v>
      </c>
      <c r="R175" s="55">
        <f t="shared" si="114"/>
        <v>5.6779692054847583E-3</v>
      </c>
      <c r="S175" s="55">
        <f t="shared" si="115"/>
        <v>6.704635570615014E-3</v>
      </c>
      <c r="T175" s="55">
        <f t="shared" si="115"/>
        <v>0</v>
      </c>
      <c r="U175" s="55">
        <f t="shared" si="116"/>
        <v>-1.9599999999999999E-2</v>
      </c>
      <c r="V175" s="56">
        <f t="shared" si="116"/>
        <v>8.0000000000000071E-3</v>
      </c>
    </row>
    <row r="176" spans="1:22">
      <c r="A176" s="140">
        <v>153</v>
      </c>
      <c r="B176" s="137" t="s">
        <v>206</v>
      </c>
      <c r="C176" s="138" t="s">
        <v>80</v>
      </c>
      <c r="D176" s="31">
        <v>273200503.12</v>
      </c>
      <c r="E176" s="28">
        <f t="shared" si="112"/>
        <v>4.1556784851211103E-3</v>
      </c>
      <c r="F176" s="31">
        <v>311.44319999999999</v>
      </c>
      <c r="G176" s="31">
        <v>313.41489999999999</v>
      </c>
      <c r="H176" s="30">
        <v>32</v>
      </c>
      <c r="I176" s="48">
        <v>1.0768E-2</v>
      </c>
      <c r="J176" s="48">
        <v>9.2588000000000004E-2</v>
      </c>
      <c r="K176" s="31">
        <v>274457453.63999999</v>
      </c>
      <c r="L176" s="52">
        <f t="shared" si="113"/>
        <v>4.1372875463823603E-3</v>
      </c>
      <c r="M176" s="31">
        <v>312.87610000000001</v>
      </c>
      <c r="N176" s="31">
        <v>314.86590000000001</v>
      </c>
      <c r="O176" s="30">
        <v>32</v>
      </c>
      <c r="P176" s="48">
        <v>4.4130000000000003E-3</v>
      </c>
      <c r="Q176" s="48">
        <v>9.6965999999999997E-2</v>
      </c>
      <c r="R176" s="55">
        <f t="shared" si="114"/>
        <v>4.6008353046402724E-3</v>
      </c>
      <c r="S176" s="55">
        <f t="shared" si="115"/>
        <v>4.6296458783549278E-3</v>
      </c>
      <c r="T176" s="55">
        <f t="shared" si="115"/>
        <v>0</v>
      </c>
      <c r="U176" s="55">
        <f t="shared" si="116"/>
        <v>-6.3549999999999995E-3</v>
      </c>
      <c r="V176" s="56">
        <f t="shared" si="116"/>
        <v>4.377999999999993E-3</v>
      </c>
    </row>
    <row r="177" spans="1:22">
      <c r="A177" s="140">
        <v>154</v>
      </c>
      <c r="B177" s="137" t="s">
        <v>207</v>
      </c>
      <c r="C177" s="137" t="s">
        <v>82</v>
      </c>
      <c r="D177" s="130">
        <v>61214241.900324844</v>
      </c>
      <c r="E177" s="28">
        <f t="shared" si="112"/>
        <v>9.3113557677616311E-4</v>
      </c>
      <c r="F177" s="31">
        <v>1.1915971589399854</v>
      </c>
      <c r="G177" s="31">
        <v>1.2042461815455785</v>
      </c>
      <c r="H177" s="30">
        <v>32</v>
      </c>
      <c r="I177" s="48">
        <v>7.5590462113289784E-3</v>
      </c>
      <c r="J177" s="48">
        <v>1.8617914143371922E-3</v>
      </c>
      <c r="K177" s="130">
        <v>62681655.443894781</v>
      </c>
      <c r="L177" s="52">
        <f t="shared" si="113"/>
        <v>9.4488974161662323E-4</v>
      </c>
      <c r="M177" s="31">
        <v>1.2123234564658045</v>
      </c>
      <c r="N177" s="31">
        <v>1.2331140904134164</v>
      </c>
      <c r="O177" s="30">
        <v>32</v>
      </c>
      <c r="P177" s="48">
        <v>2.397176699434303E-2</v>
      </c>
      <c r="Q177" s="48">
        <v>2.5878188838656783E-2</v>
      </c>
      <c r="R177" s="55">
        <f t="shared" si="114"/>
        <v>2.397176699434303E-2</v>
      </c>
      <c r="S177" s="55">
        <f t="shared" si="115"/>
        <v>2.3971766994342975E-2</v>
      </c>
      <c r="T177" s="55">
        <f t="shared" si="115"/>
        <v>0</v>
      </c>
      <c r="U177" s="55">
        <f t="shared" si="116"/>
        <v>1.6412720783014052E-2</v>
      </c>
      <c r="V177" s="56">
        <f t="shared" si="116"/>
        <v>2.4016397424319592E-2</v>
      </c>
    </row>
    <row r="178" spans="1:22" ht="13.5" customHeight="1">
      <c r="A178" s="140">
        <v>155</v>
      </c>
      <c r="B178" s="137" t="s">
        <v>208</v>
      </c>
      <c r="C178" s="138" t="s">
        <v>37</v>
      </c>
      <c r="D178" s="27">
        <v>3779866875.4200001</v>
      </c>
      <c r="E178" s="28">
        <f t="shared" si="112"/>
        <v>5.7495909675925237E-2</v>
      </c>
      <c r="F178" s="31">
        <v>5.2995289999999997</v>
      </c>
      <c r="G178" s="31">
        <v>5.4375929999999997</v>
      </c>
      <c r="H178" s="30">
        <v>2438</v>
      </c>
      <c r="I178" s="48">
        <v>6.9487984546341419E-2</v>
      </c>
      <c r="J178" s="48">
        <v>0.25009942712051036</v>
      </c>
      <c r="K178" s="27">
        <v>3818154297.6300001</v>
      </c>
      <c r="L178" s="52">
        <f t="shared" si="113"/>
        <v>5.7556470105822724E-2</v>
      </c>
      <c r="M178" s="31">
        <v>5.3503530000000001</v>
      </c>
      <c r="N178" s="31">
        <v>5.4911880000000002</v>
      </c>
      <c r="O178" s="30">
        <v>2445</v>
      </c>
      <c r="P178" s="48">
        <v>9.5902862310972559E-3</v>
      </c>
      <c r="Q178" s="48">
        <v>0.2620882384439267</v>
      </c>
      <c r="R178" s="55">
        <f t="shared" si="114"/>
        <v>1.0129304409892936E-2</v>
      </c>
      <c r="S178" s="55">
        <f t="shared" si="115"/>
        <v>9.8563831459986991E-3</v>
      </c>
      <c r="T178" s="55">
        <f t="shared" si="115"/>
        <v>2.871205906480722E-3</v>
      </c>
      <c r="U178" s="55">
        <f t="shared" si="116"/>
        <v>-5.9897698315244163E-2</v>
      </c>
      <c r="V178" s="56">
        <f t="shared" si="116"/>
        <v>1.1988811323416337E-2</v>
      </c>
    </row>
    <row r="179" spans="1:22" ht="13.5" customHeight="1">
      <c r="A179" s="140">
        <v>156</v>
      </c>
      <c r="B179" s="137" t="s">
        <v>209</v>
      </c>
      <c r="C179" s="138" t="s">
        <v>210</v>
      </c>
      <c r="D179" s="27">
        <v>89797914.109999999</v>
      </c>
      <c r="E179" s="28">
        <f t="shared" si="112"/>
        <v>1.365924496529091E-3</v>
      </c>
      <c r="F179" s="31">
        <v>2.46</v>
      </c>
      <c r="G179" s="31">
        <v>2.4700000000000002</v>
      </c>
      <c r="H179" s="30">
        <v>98</v>
      </c>
      <c r="I179" s="48">
        <v>7.0000000000000001E-3</v>
      </c>
      <c r="J179" s="48">
        <v>0.16969999999999999</v>
      </c>
      <c r="K179" s="27">
        <v>89797914.109999999</v>
      </c>
      <c r="L179" s="52">
        <f t="shared" si="113"/>
        <v>1.353651674644371E-3</v>
      </c>
      <c r="M179" s="31">
        <v>2.468</v>
      </c>
      <c r="N179" s="31">
        <v>2.4809999999999999</v>
      </c>
      <c r="O179" s="30">
        <v>98</v>
      </c>
      <c r="P179" s="48">
        <v>3.5999999999999999E-3</v>
      </c>
      <c r="Q179" s="48">
        <v>0.17399999999999999</v>
      </c>
      <c r="R179" s="55">
        <f t="shared" si="114"/>
        <v>0</v>
      </c>
      <c r="S179" s="55">
        <f t="shared" si="115"/>
        <v>4.4534412955464274E-3</v>
      </c>
      <c r="T179" s="55">
        <f t="shared" si="115"/>
        <v>0</v>
      </c>
      <c r="U179" s="55">
        <f>P179-I179</f>
        <v>-3.4000000000000002E-3</v>
      </c>
      <c r="V179" s="56">
        <f>Q179-J179</f>
        <v>4.2999999999999983E-3</v>
      </c>
    </row>
    <row r="180" spans="1:22">
      <c r="A180" s="140">
        <v>157</v>
      </c>
      <c r="B180" s="137" t="s">
        <v>211</v>
      </c>
      <c r="C180" s="138" t="s">
        <v>132</v>
      </c>
      <c r="D180" s="27">
        <v>567915160.47000003</v>
      </c>
      <c r="E180" s="28">
        <f t="shared" si="112"/>
        <v>8.6386107887314132E-3</v>
      </c>
      <c r="F180" s="31">
        <v>287.77</v>
      </c>
      <c r="G180" s="31">
        <v>289.79000000000002</v>
      </c>
      <c r="H180" s="30">
        <v>151</v>
      </c>
      <c r="I180" s="48">
        <v>1.37E-2</v>
      </c>
      <c r="J180" s="48">
        <v>0.2712</v>
      </c>
      <c r="K180" s="27">
        <v>609651519.24000001</v>
      </c>
      <c r="L180" s="52">
        <f t="shared" si="113"/>
        <v>9.1901444276065829E-3</v>
      </c>
      <c r="M180" s="31">
        <v>292.76</v>
      </c>
      <c r="N180" s="31">
        <v>294.88</v>
      </c>
      <c r="O180" s="30">
        <v>158</v>
      </c>
      <c r="P180" s="48">
        <v>1.37E-2</v>
      </c>
      <c r="Q180" s="48">
        <v>0.28749999999999998</v>
      </c>
      <c r="R180" s="55">
        <f t="shared" si="114"/>
        <v>7.3490481809746822E-2</v>
      </c>
      <c r="S180" s="55">
        <f t="shared" si="115"/>
        <v>1.7564443217502241E-2</v>
      </c>
      <c r="T180" s="55">
        <f t="shared" si="115"/>
        <v>4.6357615894039736E-2</v>
      </c>
      <c r="U180" s="55">
        <f t="shared" si="116"/>
        <v>0</v>
      </c>
      <c r="V180" s="56">
        <f t="shared" si="116"/>
        <v>1.6299999999999981E-2</v>
      </c>
    </row>
    <row r="181" spans="1:22">
      <c r="A181" s="140">
        <v>158</v>
      </c>
      <c r="B181" s="137" t="s">
        <v>212</v>
      </c>
      <c r="C181" s="138" t="s">
        <v>33</v>
      </c>
      <c r="D181" s="27">
        <v>2060289982.24</v>
      </c>
      <c r="E181" s="28">
        <f t="shared" si="112"/>
        <v>3.1339264219965988E-2</v>
      </c>
      <c r="F181" s="31">
        <v>552.22</v>
      </c>
      <c r="G181" s="31">
        <v>552.22</v>
      </c>
      <c r="H181" s="30">
        <v>823</v>
      </c>
      <c r="I181" s="48">
        <v>-1.83E-2</v>
      </c>
      <c r="J181" s="48">
        <v>-5.7599999999999998E-2</v>
      </c>
      <c r="K181" s="27">
        <v>2076334965.98</v>
      </c>
      <c r="L181" s="52">
        <f t="shared" si="113"/>
        <v>3.1299550013807E-2</v>
      </c>
      <c r="M181" s="31">
        <v>552.22</v>
      </c>
      <c r="N181" s="31">
        <v>552.22</v>
      </c>
      <c r="O181" s="30">
        <v>823</v>
      </c>
      <c r="P181" s="48">
        <v>7.7999999999999996E-3</v>
      </c>
      <c r="Q181" s="48">
        <v>-5.0299999999999997E-2</v>
      </c>
      <c r="R181" s="55">
        <f t="shared" si="114"/>
        <v>7.787730794359099E-3</v>
      </c>
      <c r="S181" s="55">
        <f t="shared" si="115"/>
        <v>0</v>
      </c>
      <c r="T181" s="55">
        <f t="shared" si="115"/>
        <v>0</v>
      </c>
      <c r="U181" s="55">
        <f t="shared" si="116"/>
        <v>2.6099999999999998E-2</v>
      </c>
      <c r="V181" s="56">
        <f t="shared" si="116"/>
        <v>7.3000000000000009E-3</v>
      </c>
    </row>
    <row r="182" spans="1:22">
      <c r="A182" s="140">
        <v>159</v>
      </c>
      <c r="B182" s="137" t="s">
        <v>213</v>
      </c>
      <c r="C182" s="138" t="s">
        <v>89</v>
      </c>
      <c r="D182" s="31">
        <v>38326357.549999997</v>
      </c>
      <c r="E182" s="28">
        <f t="shared" si="112"/>
        <v>5.8298582054087846E-4</v>
      </c>
      <c r="F182" s="31">
        <v>2.21</v>
      </c>
      <c r="G182" s="31">
        <v>2.21</v>
      </c>
      <c r="H182" s="30">
        <v>9</v>
      </c>
      <c r="I182" s="48">
        <v>4.0757000000000002E-2</v>
      </c>
      <c r="J182" s="48">
        <v>0.17734900000000001</v>
      </c>
      <c r="K182" s="31">
        <v>40864169.219999999</v>
      </c>
      <c r="L182" s="52">
        <f t="shared" si="113"/>
        <v>6.1600374180009959E-4</v>
      </c>
      <c r="M182" s="31">
        <v>2.29</v>
      </c>
      <c r="N182" s="31">
        <v>2.29</v>
      </c>
      <c r="O182" s="30">
        <v>9</v>
      </c>
      <c r="P182" s="48">
        <v>3.9114000000000003E-2</v>
      </c>
      <c r="Q182" s="48">
        <v>0.22339999999999999</v>
      </c>
      <c r="R182" s="55">
        <f t="shared" si="114"/>
        <v>6.6215832451315265E-2</v>
      </c>
      <c r="S182" s="55">
        <f t="shared" si="115"/>
        <v>3.6199095022624465E-2</v>
      </c>
      <c r="T182" s="55">
        <f t="shared" si="115"/>
        <v>0</v>
      </c>
      <c r="U182" s="55">
        <f t="shared" si="116"/>
        <v>-1.6429999999999986E-3</v>
      </c>
      <c r="V182" s="56">
        <f t="shared" si="116"/>
        <v>4.6050999999999981E-2</v>
      </c>
    </row>
    <row r="183" spans="1:22">
      <c r="A183" s="140">
        <v>160</v>
      </c>
      <c r="B183" s="137" t="s">
        <v>214</v>
      </c>
      <c r="C183" s="138" t="s">
        <v>45</v>
      </c>
      <c r="D183" s="31">
        <v>316128076.29000002</v>
      </c>
      <c r="E183" s="28">
        <f t="shared" si="112"/>
        <v>4.8086538281521376E-3</v>
      </c>
      <c r="F183" s="31">
        <v>3.1635170000000001</v>
      </c>
      <c r="G183" s="31">
        <v>3.2389709999999998</v>
      </c>
      <c r="H183" s="30">
        <v>124</v>
      </c>
      <c r="I183" s="48">
        <v>2.6200000000000001E-2</v>
      </c>
      <c r="J183" s="48">
        <v>0.216</v>
      </c>
      <c r="K183" s="31">
        <v>318269692.31</v>
      </c>
      <c r="L183" s="52">
        <f t="shared" si="113"/>
        <v>4.7977317319000271E-3</v>
      </c>
      <c r="M183" s="31">
        <v>3.18492</v>
      </c>
      <c r="N183" s="31">
        <v>3.2614749999999999</v>
      </c>
      <c r="O183" s="30">
        <v>125</v>
      </c>
      <c r="P183" s="48">
        <v>1.77E-2</v>
      </c>
      <c r="Q183" s="48">
        <v>0.21990000000000001</v>
      </c>
      <c r="R183" s="55">
        <f t="shared" si="114"/>
        <v>6.774520141119544E-3</v>
      </c>
      <c r="S183" s="55">
        <f t="shared" si="115"/>
        <v>6.9478856093494138E-3</v>
      </c>
      <c r="T183" s="55">
        <f t="shared" si="115"/>
        <v>8.0645161290322578E-3</v>
      </c>
      <c r="U183" s="55">
        <f t="shared" si="116"/>
        <v>-8.5000000000000006E-3</v>
      </c>
      <c r="V183" s="56">
        <f t="shared" si="116"/>
        <v>3.9000000000000146E-3</v>
      </c>
    </row>
    <row r="184" spans="1:22">
      <c r="A184" s="140">
        <v>161</v>
      </c>
      <c r="B184" s="137" t="s">
        <v>215</v>
      </c>
      <c r="C184" s="138" t="s">
        <v>49</v>
      </c>
      <c r="D184" s="27">
        <v>3166236012.9200001</v>
      </c>
      <c r="E184" s="28">
        <f t="shared" si="112"/>
        <v>4.8161913054486069E-2</v>
      </c>
      <c r="F184" s="31">
        <v>7979.49</v>
      </c>
      <c r="G184" s="31">
        <v>8060.1</v>
      </c>
      <c r="H184" s="30">
        <v>2463</v>
      </c>
      <c r="I184" s="48">
        <v>3.2099999999999997E-2</v>
      </c>
      <c r="J184" s="48">
        <v>0.25219999999999998</v>
      </c>
      <c r="K184" s="27">
        <v>3211569049.3400002</v>
      </c>
      <c r="L184" s="28">
        <f t="shared" si="113"/>
        <v>4.8412547941255532E-2</v>
      </c>
      <c r="M184" s="31">
        <v>8057.99</v>
      </c>
      <c r="N184" s="31">
        <v>8138.83</v>
      </c>
      <c r="O184" s="30">
        <v>2487</v>
      </c>
      <c r="P184" s="48">
        <v>9.7999999999999997E-3</v>
      </c>
      <c r="Q184" s="48">
        <v>0.26450000000000001</v>
      </c>
      <c r="R184" s="55">
        <f t="shared" si="114"/>
        <v>1.4317642852590941E-2</v>
      </c>
      <c r="S184" s="55">
        <f t="shared" si="115"/>
        <v>9.7678688850013715E-3</v>
      </c>
      <c r="T184" s="55">
        <f t="shared" si="115"/>
        <v>9.7442143727161992E-3</v>
      </c>
      <c r="U184" s="55">
        <f t="shared" si="116"/>
        <v>-2.2299999999999997E-2</v>
      </c>
      <c r="V184" s="56">
        <f t="shared" si="116"/>
        <v>1.2300000000000033E-2</v>
      </c>
    </row>
    <row r="185" spans="1:22">
      <c r="A185" s="140">
        <v>162</v>
      </c>
      <c r="B185" s="137" t="s">
        <v>216</v>
      </c>
      <c r="C185" s="137" t="s">
        <v>99</v>
      </c>
      <c r="D185" s="27">
        <v>119869772.58</v>
      </c>
      <c r="E185" s="28">
        <f t="shared" si="112"/>
        <v>1.8233503571121329E-3</v>
      </c>
      <c r="F185" s="31">
        <v>1262.21</v>
      </c>
      <c r="G185" s="31">
        <v>1281.07</v>
      </c>
      <c r="H185" s="30">
        <v>11</v>
      </c>
      <c r="I185" s="48">
        <v>2.0215345931795525E-2</v>
      </c>
      <c r="J185" s="48">
        <v>0.141485</v>
      </c>
      <c r="K185" s="27">
        <v>120536911.95</v>
      </c>
      <c r="L185" s="28">
        <f t="shared" si="113"/>
        <v>1.8170243076883271E-3</v>
      </c>
      <c r="M185" s="31">
        <v>1269.28</v>
      </c>
      <c r="N185" s="31">
        <v>1288.23</v>
      </c>
      <c r="O185" s="30">
        <v>11</v>
      </c>
      <c r="P185" s="48">
        <v>5.2809046531747672E-3</v>
      </c>
      <c r="Q185" s="48">
        <v>0.147869</v>
      </c>
      <c r="R185" s="55">
        <f t="shared" si="114"/>
        <v>5.5655346267947745E-3</v>
      </c>
      <c r="S185" s="55">
        <f t="shared" si="115"/>
        <v>5.5890778802095767E-3</v>
      </c>
      <c r="T185" s="55">
        <f t="shared" si="115"/>
        <v>0</v>
      </c>
      <c r="U185" s="55">
        <f t="shared" si="116"/>
        <v>-1.4934441278620758E-2</v>
      </c>
      <c r="V185" s="56">
        <f t="shared" si="116"/>
        <v>6.3840000000000008E-3</v>
      </c>
    </row>
    <row r="186" spans="1:22">
      <c r="A186" s="140">
        <v>163</v>
      </c>
      <c r="B186" s="137" t="s">
        <v>217</v>
      </c>
      <c r="C186" s="137" t="s">
        <v>82</v>
      </c>
      <c r="D186" s="27">
        <v>769812046.18060958</v>
      </c>
      <c r="E186" s="28">
        <f t="shared" si="112"/>
        <v>1.1709683259604598E-2</v>
      </c>
      <c r="F186" s="31">
        <v>1.4694055533460599</v>
      </c>
      <c r="G186" s="31">
        <v>1.4694055533460599</v>
      </c>
      <c r="H186" s="30">
        <v>43</v>
      </c>
      <c r="I186" s="48">
        <v>2.4831008471450683E-3</v>
      </c>
      <c r="J186" s="48">
        <v>9.1945084358583354E-2</v>
      </c>
      <c r="K186" s="27">
        <v>771808119.94646454</v>
      </c>
      <c r="L186" s="28">
        <f t="shared" si="113"/>
        <v>1.1634561497607322E-2</v>
      </c>
      <c r="M186" s="31">
        <v>1.4730000000000001</v>
      </c>
      <c r="N186" s="31">
        <v>1.4730000000000001</v>
      </c>
      <c r="O186" s="30">
        <v>43</v>
      </c>
      <c r="P186" s="48">
        <v>2.5929365171127052E-3</v>
      </c>
      <c r="Q186" s="48">
        <v>9.4776428642498439E-2</v>
      </c>
      <c r="R186" s="55">
        <f t="shared" si="114"/>
        <v>2.5929365171127052E-3</v>
      </c>
      <c r="S186" s="55">
        <f t="shared" si="115"/>
        <v>2.4461910095242606E-3</v>
      </c>
      <c r="T186" s="55">
        <f t="shared" si="115"/>
        <v>0</v>
      </c>
      <c r="U186" s="55">
        <f t="shared" si="116"/>
        <v>1.0983566996763689E-4</v>
      </c>
      <c r="V186" s="56">
        <f t="shared" si="116"/>
        <v>2.8313442839150854E-3</v>
      </c>
    </row>
    <row r="187" spans="1:22">
      <c r="A187" s="140">
        <v>164</v>
      </c>
      <c r="B187" s="137" t="s">
        <v>218</v>
      </c>
      <c r="C187" s="138" t="s">
        <v>52</v>
      </c>
      <c r="D187" s="31">
        <v>2623091652.9299998</v>
      </c>
      <c r="E187" s="28">
        <f t="shared" si="112"/>
        <v>3.9900093235897008E-2</v>
      </c>
      <c r="F187" s="31">
        <v>1.9333</v>
      </c>
      <c r="G187" s="31">
        <v>1.9473</v>
      </c>
      <c r="H187" s="30">
        <v>2395</v>
      </c>
      <c r="I187" s="48">
        <v>2.92E-2</v>
      </c>
      <c r="J187" s="48">
        <v>0.17829999999999999</v>
      </c>
      <c r="K187" s="31">
        <v>2713593381.8000002</v>
      </c>
      <c r="L187" s="52">
        <f t="shared" si="113"/>
        <v>4.090585245752823E-2</v>
      </c>
      <c r="M187" s="31">
        <v>1.9453</v>
      </c>
      <c r="N187" s="31">
        <v>1.9590000000000001</v>
      </c>
      <c r="O187" s="30">
        <v>2409</v>
      </c>
      <c r="P187" s="48">
        <v>6.1999999999999998E-3</v>
      </c>
      <c r="Q187" s="48">
        <v>0.18429999999999999</v>
      </c>
      <c r="R187" s="55">
        <f t="shared" si="114"/>
        <v>3.4501931630528317E-2</v>
      </c>
      <c r="S187" s="55">
        <f t="shared" si="115"/>
        <v>6.0083192112155518E-3</v>
      </c>
      <c r="T187" s="55">
        <f t="shared" si="115"/>
        <v>5.8455114822546974E-3</v>
      </c>
      <c r="U187" s="55">
        <f t="shared" si="116"/>
        <v>-2.3E-2</v>
      </c>
      <c r="V187" s="56">
        <f t="shared" si="116"/>
        <v>6.0000000000000053E-3</v>
      </c>
    </row>
    <row r="188" spans="1:22">
      <c r="A188" s="140">
        <v>165</v>
      </c>
      <c r="B188" s="137" t="s">
        <v>219</v>
      </c>
      <c r="C188" s="138" t="s">
        <v>52</v>
      </c>
      <c r="D188" s="31">
        <v>1507380302.1099999</v>
      </c>
      <c r="E188" s="28">
        <f t="shared" si="112"/>
        <v>2.2928903200527481E-2</v>
      </c>
      <c r="F188" s="31">
        <v>1.4968999999999999</v>
      </c>
      <c r="G188" s="31">
        <v>1.5063</v>
      </c>
      <c r="H188" s="30">
        <v>961</v>
      </c>
      <c r="I188" s="48">
        <v>2.9100000000000001E-2</v>
      </c>
      <c r="J188" s="48">
        <v>0.185</v>
      </c>
      <c r="K188" s="31">
        <v>1550000520.5599999</v>
      </c>
      <c r="L188" s="52">
        <f t="shared" si="113"/>
        <v>2.3365362337765452E-2</v>
      </c>
      <c r="M188" s="31">
        <v>1.4996</v>
      </c>
      <c r="N188" s="31">
        <v>1.5087999999999999</v>
      </c>
      <c r="O188" s="30">
        <v>964</v>
      </c>
      <c r="P188" s="48">
        <v>1.8E-3</v>
      </c>
      <c r="Q188" s="48">
        <v>0.1867</v>
      </c>
      <c r="R188" s="55">
        <f t="shared" si="114"/>
        <v>2.8274363404073376E-2</v>
      </c>
      <c r="S188" s="55">
        <f t="shared" si="115"/>
        <v>1.6596959437030782E-3</v>
      </c>
      <c r="T188" s="55">
        <f t="shared" si="115"/>
        <v>3.1217481789802288E-3</v>
      </c>
      <c r="U188" s="55">
        <f t="shared" si="116"/>
        <v>-2.7300000000000001E-2</v>
      </c>
      <c r="V188" s="56">
        <f t="shared" si="116"/>
        <v>1.7000000000000071E-3</v>
      </c>
    </row>
    <row r="189" spans="1:22">
      <c r="A189" s="140">
        <v>166</v>
      </c>
      <c r="B189" s="137" t="s">
        <v>220</v>
      </c>
      <c r="C189" s="138" t="s">
        <v>103</v>
      </c>
      <c r="D189" s="27">
        <v>11276142653.51</v>
      </c>
      <c r="E189" s="28">
        <f t="shared" si="112"/>
        <v>0.17152246385053427</v>
      </c>
      <c r="F189" s="31">
        <v>654.4</v>
      </c>
      <c r="G189" s="31">
        <v>662.47</v>
      </c>
      <c r="H189" s="30">
        <v>35</v>
      </c>
      <c r="I189" s="48">
        <v>4.2703912585275061E-2</v>
      </c>
      <c r="J189" s="48">
        <v>0.26551342612609474</v>
      </c>
      <c r="K189" s="27">
        <v>11269993320.809999</v>
      </c>
      <c r="L189" s="52">
        <f t="shared" si="113"/>
        <v>0.16988863809528562</v>
      </c>
      <c r="M189" s="31">
        <v>654.03</v>
      </c>
      <c r="N189" s="31">
        <v>662.11</v>
      </c>
      <c r="O189" s="30">
        <v>35</v>
      </c>
      <c r="P189" s="48">
        <v>-5.4491435750059214E-4</v>
      </c>
      <c r="Q189" s="48">
        <v>0.26482382969058893</v>
      </c>
      <c r="R189" s="55">
        <f t="shared" si="114"/>
        <v>-5.4534009447695475E-4</v>
      </c>
      <c r="S189" s="55">
        <f t="shared" si="115"/>
        <v>-5.4342083415100096E-4</v>
      </c>
      <c r="T189" s="55">
        <f t="shared" si="115"/>
        <v>0</v>
      </c>
      <c r="U189" s="55">
        <f t="shared" si="116"/>
        <v>-4.3248826942775653E-2</v>
      </c>
      <c r="V189" s="56">
        <f t="shared" si="116"/>
        <v>-6.8959643550581262E-4</v>
      </c>
    </row>
    <row r="190" spans="1:22">
      <c r="A190" s="34"/>
      <c r="B190" s="35"/>
      <c r="C190" s="36" t="s">
        <v>53</v>
      </c>
      <c r="D190" s="73">
        <f>SUM(D162:D189)</f>
        <v>65741491816.116287</v>
      </c>
      <c r="E190" s="38">
        <f>(D190/$D$222)</f>
        <v>1.1310810611802611E-2</v>
      </c>
      <c r="F190" s="39"/>
      <c r="G190" s="74"/>
      <c r="H190" s="41">
        <f>SUM(H162:H189)</f>
        <v>70292</v>
      </c>
      <c r="I190" s="80"/>
      <c r="J190" s="80"/>
      <c r="K190" s="73">
        <f>SUM(K162:K189)</f>
        <v>66337534088.000557</v>
      </c>
      <c r="L190" s="38">
        <f>(K190/$K$222)</f>
        <v>1.1220552623434975E-2</v>
      </c>
      <c r="M190" s="39"/>
      <c r="N190" s="74"/>
      <c r="O190" s="41">
        <f>SUM(O162:O189)</f>
        <v>70421</v>
      </c>
      <c r="P190" s="80"/>
      <c r="Q190" s="80"/>
      <c r="R190" s="55">
        <f t="shared" ref="R190" si="122">((K190-D190)/D190)</f>
        <v>9.0664549193900726E-3</v>
      </c>
      <c r="S190" s="55" t="e">
        <f t="shared" ref="S190" si="123">((N190-G190)/G190)</f>
        <v>#DIV/0!</v>
      </c>
      <c r="T190" s="55">
        <f t="shared" ref="T190" si="124">((O190-H190)/H190)</f>
        <v>1.8352017299265919E-3</v>
      </c>
      <c r="U190" s="55">
        <f t="shared" ref="U190" si="125">P190-I190</f>
        <v>0</v>
      </c>
      <c r="V190" s="56">
        <f t="shared" ref="V190" si="126">Q190-J190</f>
        <v>0</v>
      </c>
    </row>
    <row r="191" spans="1:22" ht="5.25" customHeight="1">
      <c r="A191" s="34"/>
      <c r="B191" s="155"/>
      <c r="C191" s="155"/>
      <c r="D191" s="155"/>
      <c r="E191" s="155"/>
      <c r="F191" s="155"/>
      <c r="G191" s="155"/>
      <c r="H191" s="155"/>
      <c r="I191" s="155"/>
      <c r="J191" s="155"/>
      <c r="K191" s="155"/>
      <c r="L191" s="155"/>
      <c r="M191" s="155"/>
      <c r="N191" s="155"/>
      <c r="O191" s="155"/>
      <c r="P191" s="155"/>
      <c r="Q191" s="155"/>
      <c r="R191" s="155"/>
      <c r="S191" s="155"/>
      <c r="T191" s="155"/>
      <c r="U191" s="155"/>
      <c r="V191" s="155"/>
    </row>
    <row r="192" spans="1:22" ht="15" customHeight="1">
      <c r="A192" s="157" t="s">
        <v>221</v>
      </c>
      <c r="B192" s="157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  <c r="S192" s="157"/>
      <c r="T192" s="157"/>
      <c r="U192" s="157"/>
      <c r="V192" s="157"/>
    </row>
    <row r="193" spans="1:24">
      <c r="A193" s="139">
        <v>167</v>
      </c>
      <c r="B193" s="137" t="s">
        <v>222</v>
      </c>
      <c r="C193" s="138" t="s">
        <v>223</v>
      </c>
      <c r="D193" s="76">
        <v>1290449784.8299999</v>
      </c>
      <c r="E193" s="28">
        <f>(D193/$D$195)</f>
        <v>0.19057479077091841</v>
      </c>
      <c r="F193" s="75">
        <v>36.102699999999999</v>
      </c>
      <c r="G193" s="75">
        <v>36.502299999999998</v>
      </c>
      <c r="H193" s="30">
        <v>1490</v>
      </c>
      <c r="I193" s="48">
        <v>5.5300000000000002E-2</v>
      </c>
      <c r="J193" s="48">
        <v>0.35709999999999997</v>
      </c>
      <c r="K193" s="76">
        <v>1291394860.96</v>
      </c>
      <c r="L193" s="52">
        <f>(K193/$K$195)</f>
        <v>0.18970880670849299</v>
      </c>
      <c r="M193" s="75">
        <v>35.806199999999997</v>
      </c>
      <c r="N193" s="75">
        <v>36.200000000000003</v>
      </c>
      <c r="O193" s="30">
        <v>1488</v>
      </c>
      <c r="P193" s="48">
        <v>7.4999999999999997E-3</v>
      </c>
      <c r="Q193" s="48">
        <v>0.34589999999999999</v>
      </c>
      <c r="R193" s="55">
        <f>((K193-D193)/D193)</f>
        <v>7.323618021484005E-4</v>
      </c>
      <c r="S193" s="55">
        <f t="shared" ref="S193:T195" si="127">((N193-G193)/G193)</f>
        <v>-8.2816699221691607E-3</v>
      </c>
      <c r="T193" s="55">
        <f t="shared" si="127"/>
        <v>-1.3422818791946308E-3</v>
      </c>
      <c r="U193" s="55">
        <f t="shared" ref="U193:V195" si="128">P193-I193</f>
        <v>-4.7800000000000002E-2</v>
      </c>
      <c r="V193" s="56">
        <f t="shared" si="128"/>
        <v>-1.1199999999999988E-2</v>
      </c>
    </row>
    <row r="194" spans="1:24">
      <c r="A194" s="139">
        <v>168</v>
      </c>
      <c r="B194" s="137" t="s">
        <v>224</v>
      </c>
      <c r="C194" s="138" t="s">
        <v>49</v>
      </c>
      <c r="D194" s="42">
        <v>5480906382.5299997</v>
      </c>
      <c r="E194" s="28">
        <f>(D194/$D$195)</f>
        <v>0.80942520922908157</v>
      </c>
      <c r="F194" s="75">
        <v>3.81</v>
      </c>
      <c r="G194" s="75">
        <v>3.86</v>
      </c>
      <c r="H194" s="30">
        <v>10534</v>
      </c>
      <c r="I194" s="48">
        <v>4.6100000000000002E-2</v>
      </c>
      <c r="J194" s="48">
        <v>0.33100000000000002</v>
      </c>
      <c r="K194" s="42">
        <v>5515852959.3500004</v>
      </c>
      <c r="L194" s="52">
        <f>(K194/$K$195)</f>
        <v>0.81029119329150701</v>
      </c>
      <c r="M194" s="75">
        <v>3.82</v>
      </c>
      <c r="N194" s="75">
        <v>3.88</v>
      </c>
      <c r="O194" s="30">
        <v>10572</v>
      </c>
      <c r="P194" s="48">
        <v>5.1999999999999998E-3</v>
      </c>
      <c r="Q194" s="48">
        <v>0.33789999999999998</v>
      </c>
      <c r="R194" s="55">
        <f>((K194-D194)/D194)</f>
        <v>6.3760579694246162E-3</v>
      </c>
      <c r="S194" s="55">
        <f t="shared" si="127"/>
        <v>5.1813471502590719E-3</v>
      </c>
      <c r="T194" s="55">
        <f t="shared" si="127"/>
        <v>3.6073666223656732E-3</v>
      </c>
      <c r="U194" s="55">
        <f t="shared" si="128"/>
        <v>-4.0900000000000006E-2</v>
      </c>
      <c r="V194" s="56">
        <f t="shared" si="128"/>
        <v>6.8999999999999617E-3</v>
      </c>
    </row>
    <row r="195" spans="1:24">
      <c r="A195" s="34"/>
      <c r="B195" s="35"/>
      <c r="C195" s="69" t="s">
        <v>53</v>
      </c>
      <c r="D195" s="73">
        <f>SUM(D193:D194)</f>
        <v>6771356167.3599997</v>
      </c>
      <c r="E195" s="38">
        <f>(D195/$D$222)</f>
        <v>1.1650104839162608E-3</v>
      </c>
      <c r="F195" s="39"/>
      <c r="G195" s="74"/>
      <c r="H195" s="41">
        <f>SUM(H193:H194)</f>
        <v>12024</v>
      </c>
      <c r="I195" s="80"/>
      <c r="J195" s="80"/>
      <c r="K195" s="73">
        <f>SUM(K193:K194)</f>
        <v>6807247820.3100004</v>
      </c>
      <c r="L195" s="38">
        <f>(K195/$K$222)</f>
        <v>1.1514006879910171E-3</v>
      </c>
      <c r="M195" s="39"/>
      <c r="N195" s="74"/>
      <c r="O195" s="41">
        <f>SUM(O193:O194)</f>
        <v>12060</v>
      </c>
      <c r="P195" s="80"/>
      <c r="Q195" s="80"/>
      <c r="R195" s="55">
        <f>((K195-D195)/D195)</f>
        <v>5.3005117531713169E-3</v>
      </c>
      <c r="S195" s="55" t="e">
        <f t="shared" si="127"/>
        <v>#DIV/0!</v>
      </c>
      <c r="T195" s="55">
        <f t="shared" si="127"/>
        <v>2.9940119760479044E-3</v>
      </c>
      <c r="U195" s="55">
        <f t="shared" si="128"/>
        <v>0</v>
      </c>
      <c r="V195" s="56">
        <f t="shared" si="128"/>
        <v>0</v>
      </c>
    </row>
    <row r="196" spans="1:24" ht="6" customHeight="1">
      <c r="A196" s="34"/>
      <c r="B196" s="155"/>
      <c r="C196" s="155"/>
      <c r="D196" s="155"/>
      <c r="E196" s="155"/>
      <c r="F196" s="155"/>
      <c r="G196" s="155"/>
      <c r="H196" s="155"/>
      <c r="I196" s="155"/>
      <c r="J196" s="155"/>
      <c r="K196" s="155"/>
      <c r="L196" s="155"/>
      <c r="M196" s="155"/>
      <c r="N196" s="155"/>
      <c r="O196" s="155"/>
      <c r="P196" s="155"/>
      <c r="Q196" s="155"/>
      <c r="R196" s="155"/>
      <c r="S196" s="155"/>
      <c r="T196" s="155"/>
      <c r="U196" s="155"/>
      <c r="V196" s="155"/>
    </row>
    <row r="197" spans="1:24" ht="15" customHeight="1">
      <c r="A197" s="158" t="s">
        <v>225</v>
      </c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  <c r="R197" s="158"/>
      <c r="S197" s="158"/>
      <c r="T197" s="158"/>
      <c r="U197" s="158"/>
      <c r="V197" s="158"/>
    </row>
    <row r="198" spans="1:24">
      <c r="A198" s="159" t="s">
        <v>226</v>
      </c>
      <c r="B198" s="159"/>
      <c r="C198" s="159"/>
      <c r="D198" s="159"/>
      <c r="E198" s="159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  <c r="P198" s="159"/>
      <c r="Q198" s="159"/>
      <c r="R198" s="159"/>
      <c r="S198" s="159"/>
      <c r="T198" s="159"/>
      <c r="U198" s="159"/>
      <c r="V198" s="159"/>
    </row>
    <row r="199" spans="1:24">
      <c r="A199" s="139">
        <v>0</v>
      </c>
      <c r="B199" s="137" t="s">
        <v>227</v>
      </c>
      <c r="C199" s="138" t="s">
        <v>228</v>
      </c>
      <c r="D199" s="45">
        <v>6144394924.21</v>
      </c>
      <c r="E199" s="28">
        <f>(D199/$D$221)</f>
        <v>0.10155958577598759</v>
      </c>
      <c r="F199" s="77">
        <v>2.6</v>
      </c>
      <c r="G199" s="77">
        <v>2.64</v>
      </c>
      <c r="H199" s="44">
        <v>15031</v>
      </c>
      <c r="I199" s="51">
        <v>6.1000000000000004E-3</v>
      </c>
      <c r="J199" s="51">
        <v>0.1434</v>
      </c>
      <c r="K199" s="45">
        <v>6248383281.25</v>
      </c>
      <c r="L199" s="28">
        <f>(K199/$K$221)</f>
        <v>0.10271033054756014</v>
      </c>
      <c r="M199" s="77">
        <v>2.62</v>
      </c>
      <c r="N199" s="77">
        <v>2.66</v>
      </c>
      <c r="O199" s="44">
        <v>15034</v>
      </c>
      <c r="P199" s="51">
        <v>7.6E-3</v>
      </c>
      <c r="Q199" s="51">
        <v>0.15210000000000001</v>
      </c>
      <c r="R199" s="55">
        <f>((K199-D199)/D199)</f>
        <v>1.6924100472492008E-2</v>
      </c>
      <c r="S199" s="55">
        <f>((N199-G199)/G199)</f>
        <v>7.575757575757582E-3</v>
      </c>
      <c r="T199" s="55">
        <f>((O199-H199)/H199)</f>
        <v>1.9958751912713726E-4</v>
      </c>
      <c r="U199" s="55">
        <f>P199-I199</f>
        <v>1.4999999999999996E-3</v>
      </c>
      <c r="V199" s="56">
        <f>Q199-J199</f>
        <v>8.7000000000000133E-3</v>
      </c>
    </row>
    <row r="200" spans="1:24">
      <c r="A200" s="139">
        <v>170</v>
      </c>
      <c r="B200" s="137" t="s">
        <v>229</v>
      </c>
      <c r="C200" s="138" t="s">
        <v>49</v>
      </c>
      <c r="D200" s="45">
        <v>1471386593.6099999</v>
      </c>
      <c r="E200" s="28">
        <f>(D200/$D$221)</f>
        <v>2.4320281298094784E-2</v>
      </c>
      <c r="F200" s="77">
        <v>700.49</v>
      </c>
      <c r="G200" s="77">
        <v>709.04</v>
      </c>
      <c r="H200" s="44">
        <v>1103</v>
      </c>
      <c r="I200" s="51">
        <v>4.2700000000000002E-2</v>
      </c>
      <c r="J200" s="51">
        <v>0.40489999999999998</v>
      </c>
      <c r="K200" s="45">
        <v>1604876355</v>
      </c>
      <c r="L200" s="28">
        <f>(K200/$K$221)</f>
        <v>2.6380805000335617E-2</v>
      </c>
      <c r="M200" s="77">
        <v>706.62</v>
      </c>
      <c r="N200" s="77">
        <v>714.62</v>
      </c>
      <c r="O200" s="44">
        <v>1152</v>
      </c>
      <c r="P200" s="51">
        <v>7.9000000000000008E-3</v>
      </c>
      <c r="Q200" s="51">
        <v>0.41599999999999998</v>
      </c>
      <c r="R200" s="55">
        <f>((K200-D200)/D200)</f>
        <v>9.0723785285067235E-2</v>
      </c>
      <c r="S200" s="55">
        <f>((N200-G200)/G200)</f>
        <v>7.8697957802099198E-3</v>
      </c>
      <c r="T200" s="55">
        <f>((O200-H200)/H200)</f>
        <v>4.4424297370806894E-2</v>
      </c>
      <c r="U200" s="55">
        <f>P200-I200</f>
        <v>-3.4799999999999998E-2</v>
      </c>
      <c r="V200" s="56">
        <f>Q200-J200</f>
        <v>1.1099999999999999E-2</v>
      </c>
    </row>
    <row r="201" spans="1:24" ht="6" customHeight="1">
      <c r="A201" s="34"/>
      <c r="B201" s="155"/>
      <c r="C201" s="155"/>
      <c r="D201" s="155"/>
      <c r="E201" s="155"/>
      <c r="F201" s="155"/>
      <c r="G201" s="155"/>
      <c r="H201" s="155"/>
      <c r="I201" s="155"/>
      <c r="J201" s="155"/>
      <c r="K201" s="155"/>
      <c r="L201" s="155"/>
      <c r="M201" s="155"/>
      <c r="N201" s="155"/>
      <c r="O201" s="155"/>
      <c r="P201" s="155"/>
      <c r="Q201" s="155"/>
      <c r="R201" s="155"/>
      <c r="S201" s="155"/>
      <c r="T201" s="155"/>
      <c r="U201" s="155"/>
      <c r="V201" s="155"/>
    </row>
    <row r="202" spans="1:24" ht="15" customHeight="1">
      <c r="A202" s="159" t="s">
        <v>171</v>
      </c>
      <c r="B202" s="159"/>
      <c r="C202" s="159"/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9"/>
    </row>
    <row r="203" spans="1:24">
      <c r="A203" s="139">
        <v>171</v>
      </c>
      <c r="B203" s="137" t="s">
        <v>289</v>
      </c>
      <c r="C203" s="138" t="s">
        <v>23</v>
      </c>
      <c r="D203" s="27">
        <v>1262132417.72</v>
      </c>
      <c r="E203" s="28">
        <f>(D203/$D$221)</f>
        <v>2.0861557097026862E-2</v>
      </c>
      <c r="F203" s="75">
        <v>1.0860000000000001</v>
      </c>
      <c r="G203" s="75">
        <v>1.0860000000000001</v>
      </c>
      <c r="H203" s="30">
        <v>626</v>
      </c>
      <c r="I203" s="48">
        <v>0.12509999999999999</v>
      </c>
      <c r="J203" s="48">
        <v>0.14760000000000001</v>
      </c>
      <c r="K203" s="27">
        <v>1266738310.8099999</v>
      </c>
      <c r="L203" s="28">
        <f t="shared" ref="L203:L215" si="129">(K203/$K$221)</f>
        <v>2.0822523965675313E-2</v>
      </c>
      <c r="M203" s="75">
        <v>1.073</v>
      </c>
      <c r="N203" s="75">
        <v>1.073</v>
      </c>
      <c r="O203" s="30">
        <v>632</v>
      </c>
      <c r="P203" s="48">
        <v>-0.62419999999999998</v>
      </c>
      <c r="Q203" s="48">
        <v>0.1167</v>
      </c>
      <c r="R203" s="55">
        <f>((K203-D203)/D203)</f>
        <v>3.64929465825805E-3</v>
      </c>
      <c r="S203" s="55">
        <f>((N203-G203)/G203)</f>
        <v>-1.1970534069981695E-2</v>
      </c>
      <c r="T203" s="55">
        <f>((O203-H203)/H203)</f>
        <v>9.5846645367412137E-3</v>
      </c>
      <c r="U203" s="55">
        <f>P203-I203</f>
        <v>-0.74929999999999997</v>
      </c>
      <c r="V203" s="56">
        <f>Q203-J203</f>
        <v>-3.0900000000000011E-2</v>
      </c>
      <c r="X203" s="81"/>
    </row>
    <row r="204" spans="1:24">
      <c r="A204" s="139">
        <v>172</v>
      </c>
      <c r="B204" s="137" t="s">
        <v>230</v>
      </c>
      <c r="C204" s="138" t="s">
        <v>231</v>
      </c>
      <c r="D204" s="27">
        <v>350590305.69999999</v>
      </c>
      <c r="E204" s="28">
        <f>(D204/$D$221)</f>
        <v>5.7948433756553801E-3</v>
      </c>
      <c r="F204" s="75">
        <v>1071.43</v>
      </c>
      <c r="G204" s="75">
        <v>1071.43</v>
      </c>
      <c r="H204" s="30">
        <v>18</v>
      </c>
      <c r="I204" s="48">
        <v>1.4E-3</v>
      </c>
      <c r="J204" s="48">
        <v>4.3499999999999997E-2</v>
      </c>
      <c r="K204" s="27">
        <v>350912632.95999998</v>
      </c>
      <c r="L204" s="28">
        <f t="shared" si="129"/>
        <v>5.7682685107988303E-3</v>
      </c>
      <c r="M204" s="75">
        <v>1072.42</v>
      </c>
      <c r="N204" s="75">
        <v>1072.42</v>
      </c>
      <c r="O204" s="30">
        <v>18</v>
      </c>
      <c r="P204" s="48">
        <v>1.4E-3</v>
      </c>
      <c r="Q204" s="48">
        <v>4.4900000000000002E-2</v>
      </c>
      <c r="R204" s="55">
        <f>((K204-D204)/D204)</f>
        <v>9.193844061273211E-4</v>
      </c>
      <c r="S204" s="55">
        <f>((N204-G204)/G204)</f>
        <v>9.2399876800165108E-4</v>
      </c>
      <c r="T204" s="55">
        <f>((O204-H204)/H204)</f>
        <v>0</v>
      </c>
      <c r="U204" s="55">
        <f>P204-I204</f>
        <v>0</v>
      </c>
      <c r="V204" s="56">
        <f>Q204-J204</f>
        <v>1.4000000000000054E-3</v>
      </c>
      <c r="X204" s="81"/>
    </row>
    <row r="205" spans="1:24">
      <c r="A205" s="139">
        <v>173</v>
      </c>
      <c r="B205" s="137" t="s">
        <v>232</v>
      </c>
      <c r="C205" s="138" t="s">
        <v>67</v>
      </c>
      <c r="D205" s="27">
        <v>293817842.95999998</v>
      </c>
      <c r="E205" s="28">
        <f>(D205/$D$221)</f>
        <v>4.8564616683470056E-3</v>
      </c>
      <c r="F205" s="75">
        <v>118.1</v>
      </c>
      <c r="G205" s="75">
        <v>118.1</v>
      </c>
      <c r="H205" s="30">
        <v>70</v>
      </c>
      <c r="I205" s="48">
        <v>1.6999999999999999E-3</v>
      </c>
      <c r="J205" s="48">
        <v>0.1263</v>
      </c>
      <c r="K205" s="27">
        <v>245201467.34999999</v>
      </c>
      <c r="L205" s="28">
        <f t="shared" si="129"/>
        <v>4.0305984170079636E-3</v>
      </c>
      <c r="M205" s="75">
        <v>118.32</v>
      </c>
      <c r="N205" s="75">
        <v>118.32</v>
      </c>
      <c r="O205" s="30">
        <v>70</v>
      </c>
      <c r="P205" s="48">
        <v>1.9E-3</v>
      </c>
      <c r="Q205" s="48">
        <v>0.1202</v>
      </c>
      <c r="R205" s="55">
        <f t="shared" ref="R205:R222" si="130">((K205-D205)/D205)</f>
        <v>-0.16546434049146078</v>
      </c>
      <c r="S205" s="55">
        <f t="shared" ref="S205:S221" si="131">((N205-G205)/G205)</f>
        <v>1.8628281117696772E-3</v>
      </c>
      <c r="T205" s="55">
        <f t="shared" ref="T205:T221" si="132">((O205-H205)/H205)</f>
        <v>0</v>
      </c>
      <c r="U205" s="55">
        <f t="shared" ref="U205:U221" si="133">P205-I205</f>
        <v>2.0000000000000009E-4</v>
      </c>
      <c r="V205" s="56">
        <f t="shared" ref="V205:V221" si="134">Q205-J205</f>
        <v>-6.0999999999999943E-3</v>
      </c>
    </row>
    <row r="206" spans="1:24">
      <c r="A206" s="139">
        <v>174</v>
      </c>
      <c r="B206" s="147" t="s">
        <v>233</v>
      </c>
      <c r="C206" s="138" t="s">
        <v>70</v>
      </c>
      <c r="D206" s="42">
        <v>63612555.659999996</v>
      </c>
      <c r="E206" s="28">
        <f>(D206/$D$221)</f>
        <v>1.0514403586797756E-3</v>
      </c>
      <c r="F206" s="75">
        <v>102.4</v>
      </c>
      <c r="G206" s="75">
        <v>102.4</v>
      </c>
      <c r="H206" s="30">
        <v>15</v>
      </c>
      <c r="I206" s="48">
        <v>5.1000000000000004E-3</v>
      </c>
      <c r="J206" s="48">
        <v>5.4899999999999997E-2</v>
      </c>
      <c r="K206" s="42">
        <v>61154461.439999998</v>
      </c>
      <c r="L206" s="28">
        <f t="shared" si="129"/>
        <v>1.0052512251943445E-3</v>
      </c>
      <c r="M206" s="75">
        <v>98.44</v>
      </c>
      <c r="N206" s="75">
        <v>98.44</v>
      </c>
      <c r="O206" s="30">
        <v>15</v>
      </c>
      <c r="P206" s="48">
        <v>-1.6000000000000001E-3</v>
      </c>
      <c r="Q206" s="48">
        <v>5.33E-2</v>
      </c>
      <c r="R206" s="55">
        <f t="shared" si="130"/>
        <v>-3.8641651706907684E-2</v>
      </c>
      <c r="S206" s="55">
        <f t="shared" si="131"/>
        <v>-3.8671875000000078E-2</v>
      </c>
      <c r="T206" s="55">
        <f t="shared" si="132"/>
        <v>0</v>
      </c>
      <c r="U206" s="55">
        <f t="shared" si="133"/>
        <v>-6.7000000000000002E-3</v>
      </c>
      <c r="V206" s="56">
        <f t="shared" si="134"/>
        <v>-1.5999999999999973E-3</v>
      </c>
    </row>
    <row r="207" spans="1:24">
      <c r="A207" s="139">
        <v>175</v>
      </c>
      <c r="B207" s="137" t="s">
        <v>234</v>
      </c>
      <c r="C207" s="138" t="s">
        <v>73</v>
      </c>
      <c r="D207" s="42">
        <v>157715855.83000001</v>
      </c>
      <c r="E207" s="28">
        <v>0</v>
      </c>
      <c r="F207" s="75">
        <v>1.1013999999999999</v>
      </c>
      <c r="G207" s="75">
        <v>1.1013999999999999</v>
      </c>
      <c r="H207" s="30">
        <v>41</v>
      </c>
      <c r="I207" s="48">
        <v>1.8E-3</v>
      </c>
      <c r="J207" s="48">
        <v>0.1195</v>
      </c>
      <c r="K207" s="42">
        <v>157571168.88</v>
      </c>
      <c r="L207" s="28">
        <f t="shared" si="129"/>
        <v>2.5901398989071852E-3</v>
      </c>
      <c r="M207" s="75">
        <v>1.1032999999999999</v>
      </c>
      <c r="N207" s="75">
        <v>1.1032999999999999</v>
      </c>
      <c r="O207" s="30">
        <v>41</v>
      </c>
      <c r="P207" s="48">
        <v>1.8E-3</v>
      </c>
      <c r="Q207" s="48">
        <v>0.11849999999999999</v>
      </c>
      <c r="R207" s="55">
        <f t="shared" ref="R207:R208" si="135">((K207-D207)/D207)</f>
        <v>-9.1739000646817758E-4</v>
      </c>
      <c r="S207" s="55">
        <f t="shared" ref="S207:S208" si="136">((N207-G207)/G207)</f>
        <v>1.725077174505187E-3</v>
      </c>
      <c r="T207" s="55">
        <f t="shared" ref="T207" si="137">((O207-H207)/H207)</f>
        <v>0</v>
      </c>
      <c r="U207" s="55">
        <f t="shared" ref="U207" si="138">P207-I207</f>
        <v>0</v>
      </c>
      <c r="V207" s="56">
        <f t="shared" ref="V207" si="139">Q207-J207</f>
        <v>-1.0000000000000009E-3</v>
      </c>
    </row>
    <row r="208" spans="1:24">
      <c r="A208" s="139">
        <v>176</v>
      </c>
      <c r="B208" s="137" t="s">
        <v>235</v>
      </c>
      <c r="C208" s="138" t="s">
        <v>31</v>
      </c>
      <c r="D208" s="27">
        <v>5289972117</v>
      </c>
      <c r="E208" s="28">
        <f t="shared" ref="E208:E215" si="140">(D208/$D$221)</f>
        <v>8.7436986651394225E-2</v>
      </c>
      <c r="F208" s="75">
        <v>154.54</v>
      </c>
      <c r="G208" s="75">
        <v>154.54</v>
      </c>
      <c r="H208" s="30">
        <v>705</v>
      </c>
      <c r="I208" s="48">
        <v>2.8E-3</v>
      </c>
      <c r="J208" s="48">
        <v>7.7200000000000005E-2</v>
      </c>
      <c r="K208" s="27">
        <v>5359895723.0299997</v>
      </c>
      <c r="L208" s="28">
        <f t="shared" si="129"/>
        <v>8.8105456505019858E-2</v>
      </c>
      <c r="M208" s="75">
        <v>154.94</v>
      </c>
      <c r="N208" s="75">
        <v>154.94</v>
      </c>
      <c r="O208" s="30">
        <v>705</v>
      </c>
      <c r="P208" s="48">
        <v>2.5000000000000001E-3</v>
      </c>
      <c r="Q208" s="48">
        <v>7.9899999999999999E-2</v>
      </c>
      <c r="R208" s="55">
        <f t="shared" si="135"/>
        <v>1.3218142644890567E-2</v>
      </c>
      <c r="S208" s="55">
        <f t="shared" si="136"/>
        <v>2.5883266468228658E-3</v>
      </c>
      <c r="T208" s="55">
        <f t="shared" si="132"/>
        <v>0</v>
      </c>
      <c r="U208" s="55">
        <f t="shared" si="133"/>
        <v>-2.9999999999999992E-4</v>
      </c>
      <c r="V208" s="56">
        <f t="shared" si="134"/>
        <v>2.6999999999999941E-3</v>
      </c>
    </row>
    <row r="209" spans="1:22">
      <c r="A209" s="139">
        <v>177</v>
      </c>
      <c r="B209" s="137" t="s">
        <v>236</v>
      </c>
      <c r="C209" s="138" t="s">
        <v>65</v>
      </c>
      <c r="D209" s="27">
        <v>806228818.53254902</v>
      </c>
      <c r="E209" s="28">
        <f t="shared" si="140"/>
        <v>1.3326009454276264E-2</v>
      </c>
      <c r="F209" s="33">
        <v>1262.75173915292</v>
      </c>
      <c r="G209" s="33">
        <v>1262.75173915292</v>
      </c>
      <c r="H209" s="30">
        <v>211</v>
      </c>
      <c r="I209" s="48">
        <v>0.11040792216186937</v>
      </c>
      <c r="J209" s="48">
        <v>0.13086931928836543</v>
      </c>
      <c r="K209" s="27">
        <v>697032084.22940695</v>
      </c>
      <c r="L209" s="28">
        <f t="shared" si="129"/>
        <v>1.1457747156498855E-2</v>
      </c>
      <c r="M209" s="33">
        <v>1265.1584410688699</v>
      </c>
      <c r="N209" s="33">
        <v>1265.1584410688699</v>
      </c>
      <c r="O209" s="30">
        <v>216</v>
      </c>
      <c r="P209" s="48">
        <v>9.9380036706979133E-2</v>
      </c>
      <c r="Q209" s="48">
        <v>0.1299178214284159</v>
      </c>
      <c r="R209" s="55">
        <f t="shared" si="130"/>
        <v>-0.1354413682481552</v>
      </c>
      <c r="S209" s="55">
        <f t="shared" si="131"/>
        <v>1.905918512188641E-3</v>
      </c>
      <c r="T209" s="55">
        <f t="shared" si="132"/>
        <v>2.3696682464454975E-2</v>
      </c>
      <c r="U209" s="55">
        <f t="shared" si="133"/>
        <v>-1.1027885454890238E-2</v>
      </c>
      <c r="V209" s="56">
        <f t="shared" si="134"/>
        <v>-9.5149785994952385E-4</v>
      </c>
    </row>
    <row r="210" spans="1:22">
      <c r="A210" s="139">
        <v>178</v>
      </c>
      <c r="B210" s="137" t="s">
        <v>237</v>
      </c>
      <c r="C210" s="138" t="s">
        <v>228</v>
      </c>
      <c r="D210" s="27">
        <v>31059036367.84</v>
      </c>
      <c r="E210" s="28">
        <f t="shared" si="140"/>
        <v>0.5133691611667891</v>
      </c>
      <c r="F210" s="33">
        <v>1273.25</v>
      </c>
      <c r="G210" s="33">
        <v>1273.25</v>
      </c>
      <c r="H210" s="30">
        <v>10577</v>
      </c>
      <c r="I210" s="48">
        <v>2.5000000000000001E-3</v>
      </c>
      <c r="J210" s="48">
        <v>6.7199999999999996E-2</v>
      </c>
      <c r="K210" s="27">
        <v>31334841649.189999</v>
      </c>
      <c r="L210" s="28">
        <f t="shared" si="129"/>
        <v>0.51507914904988195</v>
      </c>
      <c r="M210" s="33">
        <v>1276.47</v>
      </c>
      <c r="N210" s="33">
        <v>1276.47</v>
      </c>
      <c r="O210" s="30">
        <v>10554</v>
      </c>
      <c r="P210" s="48">
        <v>2.5000000000000001E-3</v>
      </c>
      <c r="Q210" s="48">
        <v>6.9699999999999998E-2</v>
      </c>
      <c r="R210" s="55">
        <f t="shared" si="130"/>
        <v>8.8800334332194662E-3</v>
      </c>
      <c r="S210" s="55">
        <f t="shared" si="131"/>
        <v>2.5289613194581012E-3</v>
      </c>
      <c r="T210" s="55">
        <f t="shared" si="132"/>
        <v>-2.1745296397844378E-3</v>
      </c>
      <c r="U210" s="55">
        <f t="shared" si="133"/>
        <v>0</v>
      </c>
      <c r="V210" s="56">
        <f t="shared" si="134"/>
        <v>2.5000000000000022E-3</v>
      </c>
    </row>
    <row r="211" spans="1:22">
      <c r="A211" s="139">
        <v>179</v>
      </c>
      <c r="B211" s="137" t="s">
        <v>238</v>
      </c>
      <c r="C211" s="138" t="s">
        <v>239</v>
      </c>
      <c r="D211" s="27">
        <v>489248229.26999998</v>
      </c>
      <c r="E211" s="28">
        <f t="shared" si="140"/>
        <v>8.0866949665812857E-3</v>
      </c>
      <c r="F211" s="77">
        <v>129.16</v>
      </c>
      <c r="G211" s="77">
        <v>130.30000000000001</v>
      </c>
      <c r="H211" s="44">
        <v>145</v>
      </c>
      <c r="I211" s="48">
        <v>6.7799999999999999E-2</v>
      </c>
      <c r="J211" s="48">
        <v>4.2099999999999999E-2</v>
      </c>
      <c r="K211" s="27">
        <v>494630159.49000001</v>
      </c>
      <c r="L211" s="28">
        <f t="shared" si="129"/>
        <v>8.1306835533698149E-3</v>
      </c>
      <c r="M211" s="77">
        <v>124.48</v>
      </c>
      <c r="N211" s="77">
        <v>124.48</v>
      </c>
      <c r="O211" s="44">
        <v>147</v>
      </c>
      <c r="P211" s="48">
        <v>-3.5700000000000003E-2</v>
      </c>
      <c r="Q211" s="48">
        <v>3.5999999999999999E-3</v>
      </c>
      <c r="R211" s="55">
        <f t="shared" si="130"/>
        <v>1.1000408173230032E-2</v>
      </c>
      <c r="S211" s="55">
        <f t="shared" si="131"/>
        <v>-4.4666155026861144E-2</v>
      </c>
      <c r="T211" s="55">
        <f t="shared" si="132"/>
        <v>1.3793103448275862E-2</v>
      </c>
      <c r="U211" s="55">
        <f t="shared" si="133"/>
        <v>-0.10350000000000001</v>
      </c>
      <c r="V211" s="56">
        <f t="shared" si="134"/>
        <v>-3.85E-2</v>
      </c>
    </row>
    <row r="212" spans="1:22">
      <c r="A212" s="139">
        <v>180</v>
      </c>
      <c r="B212" s="137" t="s">
        <v>240</v>
      </c>
      <c r="C212" s="138" t="s">
        <v>239</v>
      </c>
      <c r="D212" s="27">
        <v>237042828.63999999</v>
      </c>
      <c r="E212" s="28">
        <f t="shared" si="140"/>
        <v>3.9180377864370518E-3</v>
      </c>
      <c r="F212" s="77">
        <v>123.91</v>
      </c>
      <c r="G212" s="77">
        <v>123.91</v>
      </c>
      <c r="H212" s="44">
        <v>87</v>
      </c>
      <c r="I212" s="48">
        <v>3.0000000000000001E-3</v>
      </c>
      <c r="J212" s="48">
        <v>0.1094</v>
      </c>
      <c r="K212" s="27">
        <v>237488817.19</v>
      </c>
      <c r="L212" s="28">
        <f t="shared" si="129"/>
        <v>3.9038186066675173E-3</v>
      </c>
      <c r="M212" s="77">
        <v>124.48</v>
      </c>
      <c r="N212" s="77">
        <v>124.48</v>
      </c>
      <c r="O212" s="44">
        <v>87</v>
      </c>
      <c r="P212" s="48">
        <v>4.7999999999999996E-3</v>
      </c>
      <c r="Q212" s="48">
        <v>0.1145</v>
      </c>
      <c r="R212" s="55">
        <f t="shared" si="130"/>
        <v>1.881468224787937E-3</v>
      </c>
      <c r="S212" s="55">
        <f t="shared" si="131"/>
        <v>4.6001129852312759E-3</v>
      </c>
      <c r="T212" s="55">
        <f t="shared" si="132"/>
        <v>0</v>
      </c>
      <c r="U212" s="55">
        <f t="shared" si="133"/>
        <v>1.7999999999999995E-3</v>
      </c>
      <c r="V212" s="56">
        <f t="shared" si="134"/>
        <v>5.1000000000000073E-3</v>
      </c>
    </row>
    <row r="213" spans="1:22" ht="13.5" customHeight="1">
      <c r="A213" s="139">
        <v>181</v>
      </c>
      <c r="B213" s="137" t="s">
        <v>241</v>
      </c>
      <c r="C213" s="138" t="s">
        <v>87</v>
      </c>
      <c r="D213" s="27">
        <v>1608335369</v>
      </c>
      <c r="E213" s="28">
        <f t="shared" si="140"/>
        <v>2.6583882689720083E-2</v>
      </c>
      <c r="F213" s="58">
        <v>106.81</v>
      </c>
      <c r="G213" s="58">
        <v>106.81</v>
      </c>
      <c r="H213" s="30">
        <v>638</v>
      </c>
      <c r="I213" s="48">
        <v>2.8999999999999998E-3</v>
      </c>
      <c r="J213" s="48">
        <v>0.14369999999999999</v>
      </c>
      <c r="K213" s="27">
        <v>1615012981</v>
      </c>
      <c r="L213" s="28">
        <f t="shared" si="129"/>
        <v>2.6547429895165807E-2</v>
      </c>
      <c r="M213" s="58">
        <v>103.66</v>
      </c>
      <c r="N213" s="58">
        <v>103.66</v>
      </c>
      <c r="O213" s="30">
        <v>638</v>
      </c>
      <c r="P213" s="48">
        <v>2.8999999999999998E-3</v>
      </c>
      <c r="Q213" s="48">
        <v>0.1439</v>
      </c>
      <c r="R213" s="55">
        <f t="shared" si="130"/>
        <v>4.1518778537786415E-3</v>
      </c>
      <c r="S213" s="55">
        <f t="shared" si="131"/>
        <v>-2.9491620634772078E-2</v>
      </c>
      <c r="T213" s="55">
        <f t="shared" si="132"/>
        <v>0</v>
      </c>
      <c r="U213" s="55">
        <f t="shared" si="133"/>
        <v>0</v>
      </c>
      <c r="V213" s="56">
        <f t="shared" si="134"/>
        <v>2.0000000000000573E-4</v>
      </c>
    </row>
    <row r="214" spans="1:22" ht="15.75" customHeight="1">
      <c r="A214" s="139">
        <v>182</v>
      </c>
      <c r="B214" s="137" t="s">
        <v>242</v>
      </c>
      <c r="C214" s="138" t="s">
        <v>49</v>
      </c>
      <c r="D214" s="27">
        <v>5498551091.3500004</v>
      </c>
      <c r="E214" s="28">
        <f t="shared" si="140"/>
        <v>9.0884550569055311E-2</v>
      </c>
      <c r="F214" s="58">
        <v>137.28</v>
      </c>
      <c r="G214" s="58">
        <v>137.28</v>
      </c>
      <c r="H214" s="30">
        <v>1352</v>
      </c>
      <c r="I214" s="48">
        <v>1.8E-3</v>
      </c>
      <c r="J214" s="48">
        <v>2.2200000000000001E-2</v>
      </c>
      <c r="K214" s="27">
        <v>5420047195.3199997</v>
      </c>
      <c r="L214" s="28">
        <f t="shared" si="129"/>
        <v>8.9094220689887912E-2</v>
      </c>
      <c r="M214" s="58">
        <v>137.54</v>
      </c>
      <c r="N214" s="58">
        <v>137.54</v>
      </c>
      <c r="O214" s="30">
        <v>1353</v>
      </c>
      <c r="P214" s="48">
        <v>1.9E-3</v>
      </c>
      <c r="Q214" s="48">
        <v>2.41E-2</v>
      </c>
      <c r="R214" s="55">
        <f t="shared" si="130"/>
        <v>-1.4277196797079585E-2</v>
      </c>
      <c r="S214" s="55">
        <f t="shared" si="131"/>
        <v>1.8939393939393276E-3</v>
      </c>
      <c r="T214" s="55">
        <f t="shared" si="132"/>
        <v>7.3964497041420117E-4</v>
      </c>
      <c r="U214" s="55">
        <f t="shared" si="133"/>
        <v>1.0000000000000005E-4</v>
      </c>
      <c r="V214" s="56">
        <f t="shared" si="134"/>
        <v>1.8999999999999989E-3</v>
      </c>
    </row>
    <row r="215" spans="1:22">
      <c r="A215" s="139">
        <v>183</v>
      </c>
      <c r="B215" s="137" t="s">
        <v>243</v>
      </c>
      <c r="C215" s="138" t="s">
        <v>52</v>
      </c>
      <c r="D215" s="27">
        <v>4172531236.25</v>
      </c>
      <c r="E215" s="28">
        <f t="shared" si="140"/>
        <v>6.8967009643411445E-2</v>
      </c>
      <c r="F215" s="58">
        <v>1.137</v>
      </c>
      <c r="G215" s="58">
        <v>1.137</v>
      </c>
      <c r="H215" s="30">
        <v>1715</v>
      </c>
      <c r="I215" s="48">
        <v>-0.47639999999999999</v>
      </c>
      <c r="J215" s="48">
        <v>7.5499999999999998E-2</v>
      </c>
      <c r="K215" s="27">
        <v>4122379133.9400001</v>
      </c>
      <c r="L215" s="28">
        <f t="shared" si="129"/>
        <v>6.7763276423823668E-2</v>
      </c>
      <c r="M215" s="58">
        <v>1.1588000000000001</v>
      </c>
      <c r="N215" s="58">
        <v>1.1588000000000001</v>
      </c>
      <c r="O215" s="30">
        <v>1725</v>
      </c>
      <c r="P215" s="48">
        <v>1.6919999999999999</v>
      </c>
      <c r="Q215" s="48">
        <v>0.10929999999999999</v>
      </c>
      <c r="R215" s="55">
        <f t="shared" si="130"/>
        <v>-1.2019587025326477E-2</v>
      </c>
      <c r="S215" s="55">
        <f t="shared" si="131"/>
        <v>1.9173262972735305E-2</v>
      </c>
      <c r="T215" s="55">
        <f t="shared" si="132"/>
        <v>5.8309037900874635E-3</v>
      </c>
      <c r="U215" s="55">
        <f t="shared" si="133"/>
        <v>2.1684000000000001</v>
      </c>
      <c r="V215" s="56">
        <f t="shared" si="134"/>
        <v>3.3799999999999997E-2</v>
      </c>
    </row>
    <row r="216" spans="1:22" ht="6" customHeight="1">
      <c r="A216" s="34"/>
      <c r="B216" s="155"/>
      <c r="C216" s="155"/>
      <c r="D216" s="155"/>
      <c r="E216" s="155"/>
      <c r="F216" s="155"/>
      <c r="G216" s="155"/>
      <c r="H216" s="155"/>
      <c r="I216" s="155"/>
      <c r="J216" s="155"/>
      <c r="K216" s="155"/>
      <c r="L216" s="155"/>
      <c r="M216" s="155"/>
      <c r="N216" s="155"/>
      <c r="O216" s="155"/>
      <c r="P216" s="155"/>
      <c r="Q216" s="155"/>
      <c r="R216" s="155"/>
      <c r="S216" s="155"/>
      <c r="T216" s="155"/>
      <c r="U216" s="155"/>
      <c r="V216" s="155"/>
    </row>
    <row r="217" spans="1:22">
      <c r="A217" s="159" t="s">
        <v>244</v>
      </c>
      <c r="B217" s="159"/>
      <c r="C217" s="159"/>
      <c r="D217" s="159"/>
      <c r="E217" s="159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59"/>
      <c r="S217" s="159"/>
      <c r="T217" s="159"/>
      <c r="U217" s="159"/>
      <c r="V217" s="159"/>
    </row>
    <row r="218" spans="1:22">
      <c r="A218" s="139">
        <v>184</v>
      </c>
      <c r="B218" s="137" t="s">
        <v>313</v>
      </c>
      <c r="C218" s="138" t="s">
        <v>23</v>
      </c>
      <c r="D218" s="76">
        <v>1308311183.48</v>
      </c>
      <c r="E218" s="28">
        <f>(D218/$D$195)</f>
        <v>0.19321257826998653</v>
      </c>
      <c r="F218" s="75">
        <v>80.5</v>
      </c>
      <c r="G218" s="75">
        <v>82.927099999999996</v>
      </c>
      <c r="H218" s="32">
        <v>1837</v>
      </c>
      <c r="I218" s="49">
        <v>0.10607</v>
      </c>
      <c r="J218" s="49">
        <v>0.35680000000000001</v>
      </c>
      <c r="K218" s="76">
        <v>1328201960.9400001</v>
      </c>
      <c r="L218" s="52">
        <f>(K218/$K$195)</f>
        <v>0.19511585239738108</v>
      </c>
      <c r="M218" s="75">
        <v>81.193700000000007</v>
      </c>
      <c r="N218" s="75">
        <v>83.6417</v>
      </c>
      <c r="O218" s="32">
        <v>1852</v>
      </c>
      <c r="P218" s="49">
        <v>0.44929999999999998</v>
      </c>
      <c r="Q218" s="49">
        <v>0.36330000000000001</v>
      </c>
      <c r="R218" s="55">
        <f>((K218-D218)/D218)</f>
        <v>1.5203399398522459E-2</v>
      </c>
      <c r="S218" s="55">
        <f t="shared" ref="S218" si="141">((N218-G218)/G218)</f>
        <v>8.6172071614707899E-3</v>
      </c>
      <c r="T218" s="55">
        <f t="shared" ref="T218" si="142">((O218-H218)/H218)</f>
        <v>8.1654872074033748E-3</v>
      </c>
      <c r="U218" s="55">
        <f t="shared" ref="U218" si="143">P218-I218</f>
        <v>0.34322999999999998</v>
      </c>
      <c r="V218" s="56">
        <f t="shared" ref="V218" si="144">Q218-J218</f>
        <v>6.5000000000000058E-3</v>
      </c>
    </row>
    <row r="219" spans="1:22">
      <c r="A219" s="150">
        <v>185</v>
      </c>
      <c r="B219" s="137" t="s">
        <v>245</v>
      </c>
      <c r="C219" s="138" t="s">
        <v>228</v>
      </c>
      <c r="D219" s="27">
        <v>228609330.38999999</v>
      </c>
      <c r="E219" s="28">
        <f t="shared" ref="E219" si="145">(D219/$D$221)</f>
        <v>3.7786420282741539E-3</v>
      </c>
      <c r="F219" s="33">
        <v>1112.28</v>
      </c>
      <c r="G219" s="33">
        <v>1112.28</v>
      </c>
      <c r="H219" s="30">
        <v>136</v>
      </c>
      <c r="I219" s="48">
        <v>-2.5700000000000001E-2</v>
      </c>
      <c r="J219" s="48">
        <v>1.7500000000000002E-2</v>
      </c>
      <c r="K219" s="27">
        <v>230721929.49000001</v>
      </c>
      <c r="L219" s="28">
        <f t="shared" ref="L219" si="146">(K219/$K$221)</f>
        <v>3.7925851497618173E-3</v>
      </c>
      <c r="M219" s="33">
        <v>1122.5</v>
      </c>
      <c r="N219" s="33">
        <v>1122.5</v>
      </c>
      <c r="O219" s="30">
        <v>136</v>
      </c>
      <c r="P219" s="48">
        <v>7.4999999999999997E-3</v>
      </c>
      <c r="Q219" s="48">
        <v>2.5499999999999998E-2</v>
      </c>
      <c r="R219" s="55">
        <f t="shared" ref="R219" si="147">((K219-D219)/D219)</f>
        <v>9.2410887009554653E-3</v>
      </c>
      <c r="S219" s="55">
        <f t="shared" ref="S219" si="148">((N219-G219)/G219)</f>
        <v>9.1883338727658751E-3</v>
      </c>
      <c r="T219" s="55">
        <f t="shared" ref="T219" si="149">((O219-H219)/H219)</f>
        <v>0</v>
      </c>
      <c r="U219" s="55">
        <f t="shared" ref="U219" si="150">P219-I219</f>
        <v>3.32E-2</v>
      </c>
      <c r="V219" s="56">
        <f t="shared" ref="V219" si="151">Q219-J219</f>
        <v>7.9999999999999967E-3</v>
      </c>
    </row>
    <row r="220" spans="1:22">
      <c r="A220" s="150">
        <v>186</v>
      </c>
      <c r="B220" s="137" t="s">
        <v>290</v>
      </c>
      <c r="C220" s="138" t="s">
        <v>291</v>
      </c>
      <c r="D220" s="27">
        <v>58876639.979999997</v>
      </c>
      <c r="E220" s="28">
        <f t="shared" ref="E220" si="152">(D220/$D$221)</f>
        <v>9.731612700691675E-4</v>
      </c>
      <c r="F220" s="33">
        <v>104.4</v>
      </c>
      <c r="G220" s="33">
        <v>106.55</v>
      </c>
      <c r="H220" s="30">
        <v>191</v>
      </c>
      <c r="I220" s="48">
        <v>3.3E-3</v>
      </c>
      <c r="J220" s="48">
        <v>4.24E-2</v>
      </c>
      <c r="K220" s="27">
        <v>59913827.310000002</v>
      </c>
      <c r="L220" s="28">
        <f t="shared" ref="L220" si="153">(K220/$K$221)</f>
        <v>9.8485779927195245E-4</v>
      </c>
      <c r="M220" s="33">
        <v>104.75</v>
      </c>
      <c r="N220" s="33">
        <v>106.91</v>
      </c>
      <c r="O220" s="30">
        <v>191</v>
      </c>
      <c r="P220" s="48">
        <v>3.8700000000000002E-3</v>
      </c>
      <c r="Q220" s="48">
        <v>4.4900000000000002E-2</v>
      </c>
      <c r="R220" s="55">
        <f t="shared" ref="R220" si="154">((K220-D220)/D220)</f>
        <v>1.761627922979863E-2</v>
      </c>
      <c r="S220" s="55">
        <f t="shared" ref="S220" si="155">((N220-G220)/G220)</f>
        <v>3.3786954481464051E-3</v>
      </c>
      <c r="T220" s="55">
        <f t="shared" ref="T220" si="156">((O220-H220)/H220)</f>
        <v>0</v>
      </c>
      <c r="U220" s="55">
        <f t="shared" ref="U220" si="157">P220-I220</f>
        <v>5.7000000000000019E-4</v>
      </c>
      <c r="V220" s="56">
        <f t="shared" ref="V220" si="158">Q220-J220</f>
        <v>2.5000000000000022E-3</v>
      </c>
    </row>
    <row r="221" spans="1:22">
      <c r="A221" s="34"/>
      <c r="B221" s="35"/>
      <c r="C221" s="69" t="s">
        <v>53</v>
      </c>
      <c r="D221" s="46">
        <f>SUM(D199:D220)</f>
        <v>60500393707.422546</v>
      </c>
      <c r="E221" s="38">
        <f>(D221/$D$222)</f>
        <v>1.0409080722996235E-2</v>
      </c>
      <c r="F221" s="39"/>
      <c r="G221" s="72"/>
      <c r="H221" s="82">
        <f>SUM(H199:H220)</f>
        <v>34498</v>
      </c>
      <c r="I221" s="79"/>
      <c r="J221" s="79"/>
      <c r="K221" s="46">
        <f>SUM(K199:K220)</f>
        <v>60835003138.819405</v>
      </c>
      <c r="L221" s="38">
        <f>(K221/$K$222)</f>
        <v>1.0289836115410074E-2</v>
      </c>
      <c r="M221" s="39"/>
      <c r="N221" s="72"/>
      <c r="O221" s="41">
        <f>SUM(O199:O220)</f>
        <v>34566</v>
      </c>
      <c r="P221" s="79"/>
      <c r="Q221" s="79"/>
      <c r="R221" s="55">
        <f t="shared" si="130"/>
        <v>5.5306984118982079E-3</v>
      </c>
      <c r="S221" s="55" t="e">
        <f t="shared" si="131"/>
        <v>#DIV/0!</v>
      </c>
      <c r="T221" s="55">
        <f t="shared" si="132"/>
        <v>1.9711287610875991E-3</v>
      </c>
      <c r="U221" s="55">
        <f t="shared" si="133"/>
        <v>0</v>
      </c>
      <c r="V221" s="56">
        <f t="shared" si="134"/>
        <v>0</v>
      </c>
    </row>
    <row r="222" spans="1:22">
      <c r="A222" s="83"/>
      <c r="B222" s="83"/>
      <c r="C222" s="84" t="s">
        <v>246</v>
      </c>
      <c r="D222" s="85">
        <f>SUM(D25,D69,D110,D150,D159,D190,D195,D221)</f>
        <v>5812270585409.3535</v>
      </c>
      <c r="E222" s="86"/>
      <c r="F222" s="86"/>
      <c r="G222" s="87"/>
      <c r="H222" s="85">
        <f>SUM(H25,H69,H110,H150,H159,H190,H195,H221)</f>
        <v>911320</v>
      </c>
      <c r="I222" s="109"/>
      <c r="J222" s="109"/>
      <c r="K222" s="85">
        <f>SUM(K25,K69,K110,K150,K159,K190,K195,K221)</f>
        <v>5912144999832.6807</v>
      </c>
      <c r="L222" s="86"/>
      <c r="M222" s="86"/>
      <c r="N222" s="87"/>
      <c r="O222" s="85">
        <f>SUM(O25,O69,O110,O150,O159,O190,O195,O221)</f>
        <v>917438</v>
      </c>
      <c r="P222" s="110"/>
      <c r="Q222" s="85"/>
      <c r="R222" s="116">
        <f t="shared" si="130"/>
        <v>1.7183373168145968E-2</v>
      </c>
      <c r="S222" s="116"/>
      <c r="T222" s="116"/>
      <c r="U222" s="116"/>
      <c r="V222" s="116"/>
    </row>
    <row r="223" spans="1:22" ht="6.75" customHeight="1">
      <c r="A223" s="34"/>
      <c r="B223" s="155"/>
      <c r="C223" s="155"/>
      <c r="D223" s="155"/>
      <c r="E223" s="155"/>
      <c r="F223" s="155"/>
      <c r="G223" s="155"/>
      <c r="H223" s="155"/>
      <c r="I223" s="155"/>
      <c r="J223" s="155"/>
      <c r="K223" s="155"/>
      <c r="L223" s="155"/>
      <c r="M223" s="155"/>
      <c r="N223" s="155"/>
      <c r="O223" s="155"/>
      <c r="P223" s="155"/>
      <c r="Q223" s="155"/>
      <c r="R223" s="155"/>
      <c r="S223" s="155"/>
      <c r="T223" s="155"/>
      <c r="U223" s="155"/>
      <c r="V223" s="35"/>
    </row>
    <row r="224" spans="1:22" ht="14.4" customHeight="1">
      <c r="A224" s="158" t="s">
        <v>247</v>
      </c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  <c r="R224" s="158"/>
      <c r="S224" s="158"/>
      <c r="T224" s="158"/>
      <c r="U224" s="158"/>
      <c r="V224" s="158"/>
    </row>
    <row r="225" spans="1:22" ht="14.4" customHeight="1">
      <c r="A225" s="139">
        <v>1</v>
      </c>
      <c r="B225" s="137" t="s">
        <v>312</v>
      </c>
      <c r="C225" s="138" t="s">
        <v>23</v>
      </c>
      <c r="D225" s="27">
        <f>983457.03*1543.537</f>
        <v>1518002313.7151101</v>
      </c>
      <c r="E225" s="28">
        <f t="shared" ref="E225:E228" si="159">(D225/$D$221)</f>
        <v>2.5090784054333726E-2</v>
      </c>
      <c r="F225" s="33">
        <f>1.0074*1543.537</f>
        <v>1554.9591738000001</v>
      </c>
      <c r="G225" s="33">
        <f>1.0074*1543.537</f>
        <v>1554.9591738000001</v>
      </c>
      <c r="H225" s="30">
        <v>39</v>
      </c>
      <c r="I225" s="48">
        <v>4.1399999999999999E-2</v>
      </c>
      <c r="J225" s="48">
        <v>3.7499999999999999E-2</v>
      </c>
      <c r="K225" s="27">
        <f>1042737.56*1529.80693</f>
        <v>1595187145.4592907</v>
      </c>
      <c r="L225" s="28">
        <f>(K225/$K$230)</f>
        <v>8.9999370537204457E-2</v>
      </c>
      <c r="M225" s="33">
        <f>1.0071*1529.80693</f>
        <v>1540.6685592030001</v>
      </c>
      <c r="N225" s="33">
        <f>1.0071*1529.80693</f>
        <v>1540.6685592030001</v>
      </c>
      <c r="O225" s="30">
        <v>42</v>
      </c>
      <c r="P225" s="48">
        <v>-1.55E-2</v>
      </c>
      <c r="Q225" s="48">
        <v>3.2800000000000003E-2</v>
      </c>
      <c r="R225" s="55">
        <f t="shared" ref="R225" si="160">((K225-D225)/D225)</f>
        <v>5.0846320224164222E-2</v>
      </c>
      <c r="S225" s="55">
        <f t="shared" ref="S225" si="161">((N225-G225)/G225)</f>
        <v>-9.1903471408041771E-3</v>
      </c>
      <c r="T225" s="55">
        <f t="shared" ref="T225" si="162">((O225-H225)/H225)</f>
        <v>7.6923076923076927E-2</v>
      </c>
      <c r="U225" s="55">
        <f t="shared" ref="U225" si="163">P225-I225</f>
        <v>-5.6899999999999999E-2</v>
      </c>
      <c r="V225" s="56">
        <f t="shared" ref="V225" si="164">Q225-J225</f>
        <v>-4.6999999999999958E-3</v>
      </c>
    </row>
    <row r="226" spans="1:22" ht="14.4" customHeight="1">
      <c r="A226" s="139">
        <v>2</v>
      </c>
      <c r="B226" s="137" t="s">
        <v>248</v>
      </c>
      <c r="C226" s="138" t="s">
        <v>186</v>
      </c>
      <c r="D226" s="27">
        <v>4315257293.8993826</v>
      </c>
      <c r="E226" s="28">
        <f t="shared" ref="E226" si="165">(D226/$D$221)</f>
        <v>7.1326102682369177E-2</v>
      </c>
      <c r="F226" s="33">
        <v>123.2</v>
      </c>
      <c r="G226" s="33">
        <v>123.2</v>
      </c>
      <c r="H226" s="30">
        <v>9</v>
      </c>
      <c r="I226" s="48">
        <v>0.29634366755976055</v>
      </c>
      <c r="J226" s="48">
        <v>0.25265719366554723</v>
      </c>
      <c r="K226" s="27">
        <v>4343842371.5941181</v>
      </c>
      <c r="L226" s="28">
        <f>(K226/$K$230)</f>
        <v>0.24507662330976632</v>
      </c>
      <c r="M226" s="33">
        <v>123.2</v>
      </c>
      <c r="N226" s="33">
        <v>123.2</v>
      </c>
      <c r="O226" s="30">
        <v>9</v>
      </c>
      <c r="P226" s="48">
        <v>0.30620811310511953</v>
      </c>
      <c r="Q226" s="48">
        <v>0.25634481208862397</v>
      </c>
      <c r="R226" s="55">
        <f t="shared" ref="R226" si="166">((K226-D226)/D226)</f>
        <v>6.6241884893276622E-3</v>
      </c>
      <c r="S226" s="55">
        <f t="shared" ref="S226" si="167">((N226-G226)/G226)</f>
        <v>0</v>
      </c>
      <c r="T226" s="55">
        <f t="shared" ref="T226" si="168">((O226-H226)/H226)</f>
        <v>0</v>
      </c>
      <c r="U226" s="55">
        <f t="shared" ref="U226" si="169">P226-I226</f>
        <v>9.8644455453589797E-3</v>
      </c>
      <c r="V226" s="56">
        <f t="shared" ref="V226" si="170">Q226-J226</f>
        <v>3.6876184230767439E-3</v>
      </c>
    </row>
    <row r="227" spans="1:22" ht="14.4" customHeight="1">
      <c r="A227" s="139">
        <v>3</v>
      </c>
      <c r="B227" s="137" t="s">
        <v>310</v>
      </c>
      <c r="C227" s="138" t="s">
        <v>31</v>
      </c>
      <c r="D227" s="27">
        <f>370290.29*1545.2</f>
        <v>572172556.10800004</v>
      </c>
      <c r="E227" s="28">
        <f t="shared" si="159"/>
        <v>9.4573360774312196E-3</v>
      </c>
      <c r="F227" s="33">
        <f>102.43*1545.2</f>
        <v>158274.83600000001</v>
      </c>
      <c r="G227" s="33">
        <f>102.43*1545.2</f>
        <v>158274.83600000001</v>
      </c>
      <c r="H227" s="30">
        <v>4</v>
      </c>
      <c r="I227" s="48">
        <v>5.1999999999999998E-3</v>
      </c>
      <c r="J227" s="48">
        <v>2.4299999999999999E-2</v>
      </c>
      <c r="K227" s="27">
        <f>371209.65*1529.56</f>
        <v>567787432.25400007</v>
      </c>
      <c r="L227" s="28">
        <f>(K227/$K$230)</f>
        <v>3.2034179592816757E-2</v>
      </c>
      <c r="M227" s="33">
        <f>102.69*1529.56</f>
        <v>157070.51639999999</v>
      </c>
      <c r="N227" s="33">
        <f>102.69*1529.56</f>
        <v>157070.51639999999</v>
      </c>
      <c r="O227" s="30">
        <v>4</v>
      </c>
      <c r="P227" s="48">
        <v>2.5000000000000001E-3</v>
      </c>
      <c r="Q227" s="48">
        <v>2.69E-2</v>
      </c>
      <c r="R227" s="55">
        <f t="shared" ref="R227:R228" si="171">((K227-D227)/D227)</f>
        <v>-7.6639884370341268E-3</v>
      </c>
      <c r="S227" s="55">
        <f t="shared" ref="S227:S228" si="172">((N227-G227)/G227)</f>
        <v>-7.6090402646193048E-3</v>
      </c>
      <c r="T227" s="55">
        <f t="shared" ref="T227:T228" si="173">((O227-H227)/H227)</f>
        <v>0</v>
      </c>
      <c r="U227" s="55">
        <f t="shared" ref="U227:U228" si="174">P227-I227</f>
        <v>-2.6999999999999997E-3</v>
      </c>
      <c r="V227" s="56">
        <f t="shared" ref="V227:V228" si="175">Q227-J227</f>
        <v>2.6000000000000016E-3</v>
      </c>
    </row>
    <row r="228" spans="1:22" ht="14.4" customHeight="1">
      <c r="A228" s="139">
        <v>4</v>
      </c>
      <c r="B228" s="137" t="s">
        <v>297</v>
      </c>
      <c r="C228" s="138" t="s">
        <v>41</v>
      </c>
      <c r="D228" s="27">
        <v>11111817612.92</v>
      </c>
      <c r="E228" s="28">
        <f t="shared" si="159"/>
        <v>0.18366521161261032</v>
      </c>
      <c r="F228" s="33">
        <v>1.07</v>
      </c>
      <c r="G228" s="33">
        <v>1.07</v>
      </c>
      <c r="H228" s="30">
        <v>16</v>
      </c>
      <c r="I228" s="48">
        <v>5.0000000000000001E-4</v>
      </c>
      <c r="J228" s="48">
        <v>4.7699999999999999E-2</v>
      </c>
      <c r="K228" s="27">
        <v>11103925628.209999</v>
      </c>
      <c r="L228" s="28">
        <f>(K228/$K$230)</f>
        <v>0.62647590903391959</v>
      </c>
      <c r="M228" s="33">
        <v>1.06</v>
      </c>
      <c r="N228" s="33">
        <v>1.06</v>
      </c>
      <c r="O228" s="30">
        <v>16</v>
      </c>
      <c r="P228" s="48">
        <v>-6.9999999999999999E-4</v>
      </c>
      <c r="Q228" s="48">
        <v>4.4400000000000002E-2</v>
      </c>
      <c r="R228" s="55">
        <f t="shared" si="171"/>
        <v>-7.1023346358968086E-4</v>
      </c>
      <c r="S228" s="55">
        <f t="shared" si="172"/>
        <v>-9.3457943925233725E-3</v>
      </c>
      <c r="T228" s="55">
        <f t="shared" si="173"/>
        <v>0</v>
      </c>
      <c r="U228" s="55">
        <f t="shared" si="174"/>
        <v>-1.2000000000000001E-3</v>
      </c>
      <c r="V228" s="56">
        <f t="shared" si="175"/>
        <v>-3.2999999999999974E-3</v>
      </c>
    </row>
    <row r="229" spans="1:22" ht="14.4" customHeight="1">
      <c r="A229" s="139">
        <v>5</v>
      </c>
      <c r="B229" s="137" t="s">
        <v>315</v>
      </c>
      <c r="C229" s="138" t="s">
        <v>52</v>
      </c>
      <c r="D229" s="27">
        <v>112592716.64</v>
      </c>
      <c r="E229" s="28">
        <f t="shared" ref="E229" si="176">(D229/$D$221)</f>
        <v>1.8610245279476001E-3</v>
      </c>
      <c r="F229" s="33">
        <v>1.0241</v>
      </c>
      <c r="G229" s="33">
        <v>1.0241</v>
      </c>
      <c r="H229" s="30">
        <v>5</v>
      </c>
      <c r="I229" s="48">
        <v>9.5999999999999992E-3</v>
      </c>
      <c r="J229" s="48">
        <v>2.41E-2</v>
      </c>
      <c r="K229" s="27">
        <v>113683003.88</v>
      </c>
      <c r="L229" s="28">
        <f>(K229/$K$230)</f>
        <v>6.4139175262929527E-3</v>
      </c>
      <c r="M229" s="33">
        <v>1.0333000000000001</v>
      </c>
      <c r="N229" s="33">
        <v>1.0333000000000001</v>
      </c>
      <c r="O229" s="30">
        <v>7</v>
      </c>
      <c r="P229" s="48">
        <v>8.9999999999999993E-3</v>
      </c>
      <c r="Q229" s="48">
        <v>3.39E-2</v>
      </c>
      <c r="R229" s="55">
        <f t="shared" ref="R229:R230" si="177">((K229-D229)/D229)</f>
        <v>9.6834615287420475E-3</v>
      </c>
      <c r="S229" s="55">
        <f t="shared" ref="S229" si="178">((N229-G229)/G229)</f>
        <v>8.9834977053023114E-3</v>
      </c>
      <c r="T229" s="55">
        <f t="shared" ref="T229" si="179">((O229-H229)/H229)</f>
        <v>0.4</v>
      </c>
      <c r="U229" s="55">
        <f t="shared" ref="U229" si="180">P229-I229</f>
        <v>-5.9999999999999984E-4</v>
      </c>
      <c r="V229" s="56">
        <f t="shared" ref="V229" si="181">Q229-J229</f>
        <v>9.7999999999999997E-3</v>
      </c>
    </row>
    <row r="230" spans="1:22" ht="14.4" customHeight="1">
      <c r="A230" s="88"/>
      <c r="B230" s="88"/>
      <c r="C230" s="88" t="s">
        <v>53</v>
      </c>
      <c r="D230" s="88">
        <f>SUM(D225:D229)</f>
        <v>17629842493.282494</v>
      </c>
      <c r="E230" s="88"/>
      <c r="F230" s="88"/>
      <c r="G230" s="88"/>
      <c r="H230" s="88">
        <f>SUM(H225:H229)</f>
        <v>73</v>
      </c>
      <c r="I230" s="88"/>
      <c r="J230" s="88"/>
      <c r="K230" s="88">
        <f>SUM(K225:K229)</f>
        <v>17724425581.397408</v>
      </c>
      <c r="L230" s="38"/>
      <c r="M230" s="88"/>
      <c r="N230" s="88"/>
      <c r="O230" s="88">
        <f>SUM(O225:O229)</f>
        <v>78</v>
      </c>
      <c r="P230" s="88"/>
      <c r="Q230" s="88"/>
      <c r="R230" s="116">
        <f t="shared" si="177"/>
        <v>5.3649423215750775E-3</v>
      </c>
      <c r="S230" s="88"/>
      <c r="T230" s="88"/>
      <c r="U230" s="88"/>
      <c r="V230" s="88"/>
    </row>
    <row r="231" spans="1:22" ht="6" customHeight="1">
      <c r="A231" s="34"/>
      <c r="B231" s="131"/>
      <c r="C231" s="69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35"/>
    </row>
    <row r="232" spans="1:22" ht="15.6">
      <c r="A232" s="158" t="s">
        <v>249</v>
      </c>
      <c r="B232" s="158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  <c r="R232" s="158"/>
      <c r="S232" s="158"/>
      <c r="T232" s="158"/>
      <c r="U232" s="158"/>
      <c r="V232" s="158"/>
    </row>
    <row r="233" spans="1:22">
      <c r="A233" s="139">
        <v>1</v>
      </c>
      <c r="B233" s="137" t="s">
        <v>250</v>
      </c>
      <c r="C233" s="138" t="s">
        <v>251</v>
      </c>
      <c r="D233" s="27">
        <v>117431274879</v>
      </c>
      <c r="E233" s="28">
        <f>(D233/$D$235)</f>
        <v>0.89297413833915074</v>
      </c>
      <c r="F233" s="58">
        <v>111.28</v>
      </c>
      <c r="G233" s="58">
        <v>111.28</v>
      </c>
      <c r="H233" s="30">
        <v>0</v>
      </c>
      <c r="I233" s="48">
        <v>0.23899999999999999</v>
      </c>
      <c r="J233" s="48">
        <v>0.23899999999999999</v>
      </c>
      <c r="K233" s="27">
        <v>117431274879</v>
      </c>
      <c r="L233" s="28">
        <f>(K233/$K$235)</f>
        <v>0.89250728959814762</v>
      </c>
      <c r="M233" s="58">
        <v>111.28</v>
      </c>
      <c r="N233" s="58">
        <v>111.28</v>
      </c>
      <c r="O233" s="30">
        <v>0</v>
      </c>
      <c r="P233" s="48">
        <v>0.23899999999999999</v>
      </c>
      <c r="Q233" s="48">
        <v>0.23899999999999999</v>
      </c>
      <c r="R233" s="55">
        <f>((K233-D233)/D233)</f>
        <v>0</v>
      </c>
      <c r="S233" s="55">
        <f>((N233-G233)/G233)</f>
        <v>0</v>
      </c>
      <c r="T233" s="55" t="e">
        <f>((O233-H233)/H233)</f>
        <v>#DIV/0!</v>
      </c>
      <c r="U233" s="55">
        <f>P233-I233</f>
        <v>0</v>
      </c>
      <c r="V233" s="56">
        <f>Q233-J233</f>
        <v>0</v>
      </c>
    </row>
    <row r="234" spans="1:22" ht="14.4" customHeight="1">
      <c r="A234" s="139">
        <v>2</v>
      </c>
      <c r="B234" s="137" t="s">
        <v>252</v>
      </c>
      <c r="C234" s="138" t="s">
        <v>52</v>
      </c>
      <c r="D234" s="27">
        <v>14074521131.41</v>
      </c>
      <c r="E234" s="28">
        <f>(D234/$D$235)</f>
        <v>0.10702586166084924</v>
      </c>
      <c r="F234" s="89">
        <v>1000000</v>
      </c>
      <c r="G234" s="89">
        <v>1000000</v>
      </c>
      <c r="H234" s="30">
        <v>26</v>
      </c>
      <c r="I234" s="48">
        <v>0.22289999999999999</v>
      </c>
      <c r="J234" s="48">
        <v>0.22289999999999999</v>
      </c>
      <c r="K234" s="27">
        <v>14143308597.93</v>
      </c>
      <c r="L234" s="28">
        <f>(K234/$K$235)</f>
        <v>0.10749271040185249</v>
      </c>
      <c r="M234" s="89">
        <v>1000000</v>
      </c>
      <c r="N234" s="89">
        <v>1000000</v>
      </c>
      <c r="O234" s="30">
        <v>26</v>
      </c>
      <c r="P234" s="48">
        <v>0.22459999999999999</v>
      </c>
      <c r="Q234" s="48">
        <v>0.22459999999999999</v>
      </c>
      <c r="R234" s="55">
        <f>((K234-D234)/D234)</f>
        <v>4.8873752703733559E-3</v>
      </c>
      <c r="S234" s="55">
        <f>((N234-G234)/G234)</f>
        <v>0</v>
      </c>
      <c r="T234" s="55">
        <f>((O234-H234)/H234)</f>
        <v>0</v>
      </c>
      <c r="U234" s="55">
        <f>P234-I234</f>
        <v>1.7000000000000071E-3</v>
      </c>
      <c r="V234" s="56">
        <f>Q234-J234</f>
        <v>1.7000000000000071E-3</v>
      </c>
    </row>
    <row r="235" spans="1:22" ht="15" customHeight="1">
      <c r="A235" s="83"/>
      <c r="B235" s="83"/>
      <c r="C235" s="84" t="s">
        <v>253</v>
      </c>
      <c r="D235" s="88">
        <f>SUM(D233:D234)</f>
        <v>131505796010.41</v>
      </c>
      <c r="E235" s="90"/>
      <c r="F235" s="91"/>
      <c r="G235" s="91"/>
      <c r="H235" s="88">
        <f>SUM(H233:H234)</f>
        <v>26</v>
      </c>
      <c r="I235" s="111"/>
      <c r="J235" s="111"/>
      <c r="K235" s="88">
        <f>SUM(K233:K234)</f>
        <v>131574583476.92999</v>
      </c>
      <c r="L235" s="90"/>
      <c r="M235" s="91"/>
      <c r="N235" s="91"/>
      <c r="O235" s="88">
        <f>SUM(O233:O234)</f>
        <v>26</v>
      </c>
      <c r="P235" s="111"/>
      <c r="Q235" s="88"/>
      <c r="R235" s="116">
        <f>((K235-D235)/D235)</f>
        <v>5.2307554957154736E-4</v>
      </c>
      <c r="S235" s="117"/>
      <c r="T235" s="117"/>
      <c r="U235" s="116"/>
      <c r="V235" s="118"/>
    </row>
    <row r="236" spans="1:22" ht="4.5" customHeight="1">
      <c r="A236" s="34"/>
      <c r="B236" s="160"/>
      <c r="C236" s="160"/>
      <c r="D236" s="160"/>
      <c r="E236" s="160"/>
      <c r="F236" s="160"/>
      <c r="G236" s="160"/>
      <c r="H236" s="160"/>
      <c r="I236" s="160"/>
      <c r="J236" s="160"/>
      <c r="K236" s="160"/>
      <c r="L236" s="160"/>
      <c r="M236" s="160"/>
      <c r="N236" s="160"/>
      <c r="O236" s="160"/>
      <c r="P236" s="160"/>
      <c r="Q236" s="160"/>
      <c r="R236" s="160"/>
      <c r="S236" s="160"/>
      <c r="T236" s="160"/>
      <c r="U236" s="160"/>
      <c r="V236" s="160"/>
    </row>
    <row r="237" spans="1:22" ht="15.6">
      <c r="A237" s="158" t="s">
        <v>254</v>
      </c>
      <c r="B237" s="158"/>
      <c r="C237" s="158"/>
      <c r="D237" s="158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  <c r="R237" s="158"/>
      <c r="S237" s="158"/>
      <c r="T237" s="158"/>
      <c r="U237" s="158"/>
      <c r="V237" s="158"/>
    </row>
    <row r="238" spans="1:22">
      <c r="A238" s="139">
        <v>1</v>
      </c>
      <c r="B238" s="137" t="s">
        <v>255</v>
      </c>
      <c r="C238" s="138" t="s">
        <v>80</v>
      </c>
      <c r="D238" s="92">
        <v>1143726809.1500001</v>
      </c>
      <c r="E238" s="93">
        <f t="shared" ref="E238:E249" si="182">(D238/$D$250)</f>
        <v>7.8072079797511892E-2</v>
      </c>
      <c r="F238" s="89">
        <v>279.46100000000001</v>
      </c>
      <c r="G238" s="89">
        <v>279.46100000000001</v>
      </c>
      <c r="H238" s="94">
        <v>266</v>
      </c>
      <c r="I238" s="50">
        <v>1.5608E-2</v>
      </c>
      <c r="J238" s="50">
        <v>0.14614099999999999</v>
      </c>
      <c r="K238" s="92">
        <v>1153985685.8299999</v>
      </c>
      <c r="L238" s="93">
        <f t="shared" ref="L238:L249" si="183">(K238/$K$250)</f>
        <v>7.9376237092931651E-2</v>
      </c>
      <c r="M238" s="89">
        <v>281.96767149999999</v>
      </c>
      <c r="N238" s="89">
        <v>281.96767149999999</v>
      </c>
      <c r="O238" s="94">
        <v>266</v>
      </c>
      <c r="P238" s="50">
        <v>9.0989999999999994E-3</v>
      </c>
      <c r="Q238" s="50">
        <v>0.156421</v>
      </c>
      <c r="R238" s="55">
        <f>((K238-D238)/D238)</f>
        <v>8.9696915364116236E-3</v>
      </c>
      <c r="S238" s="55">
        <f>((N238-G238)/G238)</f>
        <v>8.9696648190623444E-3</v>
      </c>
      <c r="T238" s="55">
        <f>((O238-H238)/H238)</f>
        <v>0</v>
      </c>
      <c r="U238" s="55">
        <f>P238-I238</f>
        <v>-6.5090000000000009E-3</v>
      </c>
      <c r="V238" s="56">
        <f>Q238-J238</f>
        <v>1.0280000000000011E-2</v>
      </c>
    </row>
    <row r="239" spans="1:22">
      <c r="A239" s="139">
        <v>2</v>
      </c>
      <c r="B239" s="137" t="s">
        <v>256</v>
      </c>
      <c r="C239" s="138" t="s">
        <v>228</v>
      </c>
      <c r="D239" s="92">
        <v>1426330664.0699999</v>
      </c>
      <c r="E239" s="93">
        <f t="shared" si="182"/>
        <v>9.7362937138519678E-2</v>
      </c>
      <c r="F239" s="89">
        <v>40.57</v>
      </c>
      <c r="G239" s="89">
        <v>44.84</v>
      </c>
      <c r="H239" s="94">
        <v>230</v>
      </c>
      <c r="I239" s="50">
        <v>2.8400000000000002E-2</v>
      </c>
      <c r="J239" s="50">
        <v>0.32340000000000002</v>
      </c>
      <c r="K239" s="92">
        <v>1444965075.5599999</v>
      </c>
      <c r="L239" s="93">
        <f t="shared" si="183"/>
        <v>9.9391085900828874E-2</v>
      </c>
      <c r="M239" s="89">
        <v>41.1</v>
      </c>
      <c r="N239" s="89">
        <v>45.43</v>
      </c>
      <c r="O239" s="94">
        <v>230</v>
      </c>
      <c r="P239" s="50">
        <v>1.3100000000000001E-2</v>
      </c>
      <c r="Q239" s="50">
        <v>0.34060000000000001</v>
      </c>
      <c r="R239" s="55">
        <f t="shared" ref="R239:R250" si="184">((K239-D239)/D239)</f>
        <v>1.3064580296428017E-2</v>
      </c>
      <c r="S239" s="55">
        <f t="shared" ref="S239:S250" si="185">((N239-G239)/G239)</f>
        <v>1.3157894736842021E-2</v>
      </c>
      <c r="T239" s="55">
        <f t="shared" ref="T239:T250" si="186">((O239-H239)/H239)</f>
        <v>0</v>
      </c>
      <c r="U239" s="55">
        <f t="shared" ref="U239:U250" si="187">P239-I239</f>
        <v>-1.5300000000000001E-2</v>
      </c>
      <c r="V239" s="56">
        <f t="shared" ref="V239:V250" si="188">Q239-J239</f>
        <v>1.7199999999999993E-2</v>
      </c>
    </row>
    <row r="240" spans="1:22">
      <c r="A240" s="139">
        <v>3</v>
      </c>
      <c r="B240" s="137" t="s">
        <v>257</v>
      </c>
      <c r="C240" s="138" t="s">
        <v>43</v>
      </c>
      <c r="D240" s="92">
        <v>450764317.33999997</v>
      </c>
      <c r="E240" s="93">
        <f t="shared" si="182"/>
        <v>3.0769679849853022E-2</v>
      </c>
      <c r="F240" s="89">
        <v>33.631861999999998</v>
      </c>
      <c r="G240" s="89">
        <v>34.030737000000002</v>
      </c>
      <c r="H240" s="94">
        <v>185</v>
      </c>
      <c r="I240" s="50">
        <v>4.2000000000000003E-2</v>
      </c>
      <c r="J240" s="50">
        <v>0.17610000000000001</v>
      </c>
      <c r="K240" s="92">
        <v>450764317.33999997</v>
      </c>
      <c r="L240" s="93">
        <f t="shared" si="183"/>
        <v>3.1005562517423001E-2</v>
      </c>
      <c r="M240" s="89">
        <v>33.631861999999998</v>
      </c>
      <c r="N240" s="89">
        <v>34.030737000000002</v>
      </c>
      <c r="O240" s="94">
        <v>185</v>
      </c>
      <c r="P240" s="50">
        <v>4.2000000000000003E-2</v>
      </c>
      <c r="Q240" s="50">
        <v>0.17610000000000001</v>
      </c>
      <c r="R240" s="55">
        <f t="shared" si="184"/>
        <v>0</v>
      </c>
      <c r="S240" s="55">
        <f t="shared" si="185"/>
        <v>0</v>
      </c>
      <c r="T240" s="55">
        <f t="shared" si="186"/>
        <v>0</v>
      </c>
      <c r="U240" s="55">
        <f t="shared" si="187"/>
        <v>0</v>
      </c>
      <c r="V240" s="56">
        <f t="shared" si="188"/>
        <v>0</v>
      </c>
    </row>
    <row r="241" spans="1:26">
      <c r="A241" s="139">
        <v>4</v>
      </c>
      <c r="B241" s="137" t="s">
        <v>258</v>
      </c>
      <c r="C241" s="138" t="s">
        <v>43</v>
      </c>
      <c r="D241" s="92">
        <v>960654119.60000002</v>
      </c>
      <c r="E241" s="93">
        <f t="shared" si="182"/>
        <v>6.5575331874015222E-2</v>
      </c>
      <c r="F241" s="89">
        <v>72.086046999999994</v>
      </c>
      <c r="G241" s="89">
        <v>72.563953999999995</v>
      </c>
      <c r="H241" s="94">
        <v>223</v>
      </c>
      <c r="I241" s="50">
        <v>0.06</v>
      </c>
      <c r="J241" s="50">
        <v>8.6699999999999999E-2</v>
      </c>
      <c r="K241" s="92">
        <v>960654119.60000002</v>
      </c>
      <c r="L241" s="93">
        <f t="shared" si="183"/>
        <v>6.607803727376943E-2</v>
      </c>
      <c r="M241" s="89">
        <v>72.086046999999994</v>
      </c>
      <c r="N241" s="89">
        <v>72.563953999999995</v>
      </c>
      <c r="O241" s="94">
        <v>223</v>
      </c>
      <c r="P241" s="50">
        <v>0.06</v>
      </c>
      <c r="Q241" s="50">
        <v>8.6699999999999999E-2</v>
      </c>
      <c r="R241" s="55">
        <f t="shared" si="184"/>
        <v>0</v>
      </c>
      <c r="S241" s="55">
        <f t="shared" si="185"/>
        <v>0</v>
      </c>
      <c r="T241" s="55">
        <f t="shared" si="186"/>
        <v>0</v>
      </c>
      <c r="U241" s="55">
        <f t="shared" si="187"/>
        <v>0</v>
      </c>
      <c r="V241" s="56">
        <f t="shared" si="188"/>
        <v>0</v>
      </c>
    </row>
    <row r="242" spans="1:26">
      <c r="A242" s="139">
        <v>5</v>
      </c>
      <c r="B242" s="137" t="s">
        <v>259</v>
      </c>
      <c r="C242" s="138" t="s">
        <v>260</v>
      </c>
      <c r="D242" s="92">
        <v>1575506761.1800001</v>
      </c>
      <c r="E242" s="93">
        <f t="shared" si="182"/>
        <v>0.10754586549543108</v>
      </c>
      <c r="F242" s="89">
        <v>45850</v>
      </c>
      <c r="G242" s="89">
        <v>48180</v>
      </c>
      <c r="H242" s="94">
        <v>246</v>
      </c>
      <c r="I242" s="50">
        <v>-3.4000000000000002E-2</v>
      </c>
      <c r="J242" s="50">
        <v>0.25</v>
      </c>
      <c r="K242" s="92">
        <v>1590639694.1500001</v>
      </c>
      <c r="L242" s="93">
        <f t="shared" si="183"/>
        <v>0.10941123017610689</v>
      </c>
      <c r="M242" s="89">
        <v>45570</v>
      </c>
      <c r="N242" s="89">
        <v>48070</v>
      </c>
      <c r="O242" s="94">
        <v>246</v>
      </c>
      <c r="P242" s="50">
        <v>0.01</v>
      </c>
      <c r="Q242" s="50">
        <v>0.26</v>
      </c>
      <c r="R242" s="55">
        <f t="shared" si="184"/>
        <v>9.6051209317984682E-3</v>
      </c>
      <c r="S242" s="55">
        <f t="shared" si="185"/>
        <v>-2.2831050228310501E-3</v>
      </c>
      <c r="T242" s="55">
        <f t="shared" si="186"/>
        <v>0</v>
      </c>
      <c r="U242" s="55">
        <f t="shared" si="187"/>
        <v>4.4000000000000004E-2</v>
      </c>
      <c r="V242" s="56">
        <f t="shared" si="188"/>
        <v>1.0000000000000009E-2</v>
      </c>
    </row>
    <row r="243" spans="1:26">
      <c r="A243" s="139">
        <v>6</v>
      </c>
      <c r="B243" s="137" t="s">
        <v>261</v>
      </c>
      <c r="C243" s="138" t="s">
        <v>262</v>
      </c>
      <c r="D243" s="92">
        <v>842516103.53999996</v>
      </c>
      <c r="E243" s="93">
        <f t="shared" si="182"/>
        <v>5.7511097877602516E-2</v>
      </c>
      <c r="F243" s="89">
        <v>292.01</v>
      </c>
      <c r="G243" s="89">
        <v>292.01</v>
      </c>
      <c r="H243" s="94">
        <v>144</v>
      </c>
      <c r="I243" s="50">
        <v>2.1999999999999999E-2</v>
      </c>
      <c r="J243" s="50">
        <v>0.28289999999999998</v>
      </c>
      <c r="K243" s="92">
        <v>839657739.22000003</v>
      </c>
      <c r="L243" s="93">
        <f t="shared" si="183"/>
        <v>5.7755371321876268E-2</v>
      </c>
      <c r="M243" s="89">
        <v>292.01</v>
      </c>
      <c r="N243" s="89">
        <v>292.01</v>
      </c>
      <c r="O243" s="94">
        <v>145</v>
      </c>
      <c r="P243" s="50">
        <v>-3.8E-3</v>
      </c>
      <c r="Q243" s="50">
        <v>0.27810000000000001</v>
      </c>
      <c r="R243" s="55">
        <f t="shared" si="184"/>
        <v>-3.3926524466297366E-3</v>
      </c>
      <c r="S243" s="55">
        <f t="shared" si="185"/>
        <v>0</v>
      </c>
      <c r="T243" s="55">
        <f t="shared" si="186"/>
        <v>6.9444444444444441E-3</v>
      </c>
      <c r="U243" s="55">
        <f t="shared" si="187"/>
        <v>-2.58E-2</v>
      </c>
      <c r="V243" s="56">
        <f t="shared" si="188"/>
        <v>-4.799999999999971E-3</v>
      </c>
    </row>
    <row r="244" spans="1:26">
      <c r="A244" s="139">
        <v>7</v>
      </c>
      <c r="B244" s="137" t="s">
        <v>263</v>
      </c>
      <c r="C244" s="138" t="s">
        <v>262</v>
      </c>
      <c r="D244" s="92">
        <v>854801853.59000003</v>
      </c>
      <c r="E244" s="93">
        <f t="shared" si="182"/>
        <v>5.8349737009432197E-2</v>
      </c>
      <c r="F244" s="89">
        <v>385</v>
      </c>
      <c r="G244" s="89">
        <v>385</v>
      </c>
      <c r="H244" s="94">
        <v>657</v>
      </c>
      <c r="I244" s="50">
        <v>1.6899999999999998E-2</v>
      </c>
      <c r="J244" s="50">
        <v>0.17330000000000001</v>
      </c>
      <c r="K244" s="92">
        <v>855401563.51999998</v>
      </c>
      <c r="L244" s="93">
        <f t="shared" si="183"/>
        <v>5.8838301158642331E-2</v>
      </c>
      <c r="M244" s="89">
        <v>500</v>
      </c>
      <c r="N244" s="89">
        <v>500</v>
      </c>
      <c r="O244" s="94">
        <v>682</v>
      </c>
      <c r="P244" s="50">
        <v>8.9999999999999998E-4</v>
      </c>
      <c r="Q244" s="50">
        <v>0.17430000000000001</v>
      </c>
      <c r="R244" s="55">
        <f t="shared" si="184"/>
        <v>7.0157771357336619E-4</v>
      </c>
      <c r="S244" s="55">
        <f t="shared" si="185"/>
        <v>0.29870129870129869</v>
      </c>
      <c r="T244" s="55">
        <f t="shared" si="186"/>
        <v>3.8051750380517502E-2</v>
      </c>
      <c r="U244" s="55">
        <f t="shared" si="187"/>
        <v>-1.5999999999999997E-2</v>
      </c>
      <c r="V244" s="56">
        <f t="shared" si="188"/>
        <v>1.0000000000000009E-3</v>
      </c>
    </row>
    <row r="245" spans="1:26">
      <c r="A245" s="139">
        <v>8</v>
      </c>
      <c r="B245" s="137" t="s">
        <v>264</v>
      </c>
      <c r="C245" s="138" t="s">
        <v>265</v>
      </c>
      <c r="D245" s="92">
        <v>91163314.930000007</v>
      </c>
      <c r="E245" s="93">
        <f t="shared" si="182"/>
        <v>6.2229105245072821E-3</v>
      </c>
      <c r="F245" s="89">
        <v>26.1</v>
      </c>
      <c r="G245" s="89">
        <v>26.2</v>
      </c>
      <c r="H245" s="94">
        <v>96</v>
      </c>
      <c r="I245" s="50">
        <v>3.1699999999999999E-2</v>
      </c>
      <c r="J245" s="50">
        <v>0.51160000000000005</v>
      </c>
      <c r="K245" s="92">
        <v>94291401.530000001</v>
      </c>
      <c r="L245" s="93">
        <f t="shared" si="183"/>
        <v>6.4857794473307537E-3</v>
      </c>
      <c r="M245" s="89">
        <v>27.17</v>
      </c>
      <c r="N245" s="89">
        <v>27.27</v>
      </c>
      <c r="O245" s="94">
        <v>102</v>
      </c>
      <c r="P245" s="50">
        <v>7.7000000000000002E-3</v>
      </c>
      <c r="Q245" s="50">
        <v>0.52329999999999999</v>
      </c>
      <c r="R245" s="55">
        <f t="shared" si="184"/>
        <v>3.4312997529783812E-2</v>
      </c>
      <c r="S245" s="55">
        <f t="shared" si="185"/>
        <v>4.0839694656488561E-2</v>
      </c>
      <c r="T245" s="55">
        <f t="shared" si="186"/>
        <v>6.25E-2</v>
      </c>
      <c r="U245" s="55">
        <f t="shared" si="187"/>
        <v>-2.4E-2</v>
      </c>
      <c r="V245" s="56">
        <f t="shared" si="188"/>
        <v>1.1699999999999933E-2</v>
      </c>
    </row>
    <row r="246" spans="1:26">
      <c r="A246" s="139">
        <v>9</v>
      </c>
      <c r="B246" s="137" t="s">
        <v>266</v>
      </c>
      <c r="C246" s="138" t="s">
        <v>265</v>
      </c>
      <c r="D246" s="95">
        <v>828827782.59000003</v>
      </c>
      <c r="E246" s="93">
        <f t="shared" si="182"/>
        <v>5.6576717676882576E-2</v>
      </c>
      <c r="F246" s="89">
        <v>12.89</v>
      </c>
      <c r="G246" s="89">
        <v>12.99</v>
      </c>
      <c r="H246" s="94">
        <v>142</v>
      </c>
      <c r="I246" s="50">
        <v>0.04</v>
      </c>
      <c r="J246" s="50">
        <v>0.19270000000000001</v>
      </c>
      <c r="K246" s="95">
        <v>828782961.72000003</v>
      </c>
      <c r="L246" s="93">
        <f t="shared" si="183"/>
        <v>5.7007356049440697E-2</v>
      </c>
      <c r="M246" s="89">
        <v>12.91</v>
      </c>
      <c r="N246" s="89">
        <v>13.01</v>
      </c>
      <c r="O246" s="94">
        <v>154</v>
      </c>
      <c r="P246" s="50">
        <v>3.85E-2</v>
      </c>
      <c r="Q246" s="50">
        <v>0.23849999999999999</v>
      </c>
      <c r="R246" s="55">
        <f t="shared" si="184"/>
        <v>-5.407742228420993E-5</v>
      </c>
      <c r="S246" s="55">
        <f t="shared" si="185"/>
        <v>1.5396458814472343E-3</v>
      </c>
      <c r="T246" s="55">
        <f t="shared" si="186"/>
        <v>8.4507042253521125E-2</v>
      </c>
      <c r="U246" s="55">
        <f t="shared" si="187"/>
        <v>-1.5000000000000013E-3</v>
      </c>
      <c r="V246" s="56">
        <f t="shared" si="188"/>
        <v>4.579999999999998E-2</v>
      </c>
    </row>
    <row r="247" spans="1:26" ht="15" customHeight="1">
      <c r="A247" s="139">
        <v>10</v>
      </c>
      <c r="B247" s="137" t="s">
        <v>267</v>
      </c>
      <c r="C247" s="138" t="s">
        <v>265</v>
      </c>
      <c r="D247" s="92">
        <v>98899064.859999999</v>
      </c>
      <c r="E247" s="93">
        <f t="shared" si="182"/>
        <v>6.7509615249707585E-3</v>
      </c>
      <c r="F247" s="89">
        <v>135.21</v>
      </c>
      <c r="G247" s="89">
        <v>137.21</v>
      </c>
      <c r="H247" s="94">
        <v>307</v>
      </c>
      <c r="I247" s="50">
        <v>0</v>
      </c>
      <c r="J247" s="50">
        <v>0.51219999999999999</v>
      </c>
      <c r="K247" s="92">
        <v>114308652.36</v>
      </c>
      <c r="L247" s="93">
        <f t="shared" si="183"/>
        <v>7.8626544530964945E-3</v>
      </c>
      <c r="M247" s="89">
        <v>137.37</v>
      </c>
      <c r="N247" s="89">
        <v>139.37</v>
      </c>
      <c r="O247" s="94">
        <v>308</v>
      </c>
      <c r="P247" s="50">
        <v>0.4194</v>
      </c>
      <c r="Q247" s="50">
        <v>1.1463000000000001</v>
      </c>
      <c r="R247" s="55">
        <f t="shared" si="184"/>
        <v>0.1558112558679253</v>
      </c>
      <c r="S247" s="55">
        <f t="shared" si="185"/>
        <v>1.5742292835799115E-2</v>
      </c>
      <c r="T247" s="55">
        <f t="shared" si="186"/>
        <v>3.2573289902280132E-3</v>
      </c>
      <c r="U247" s="55">
        <f t="shared" si="187"/>
        <v>0.4194</v>
      </c>
      <c r="V247" s="56">
        <f t="shared" si="188"/>
        <v>0.63410000000000011</v>
      </c>
    </row>
    <row r="248" spans="1:26">
      <c r="A248" s="139">
        <v>11</v>
      </c>
      <c r="B248" s="137" t="s">
        <v>268</v>
      </c>
      <c r="C248" s="138" t="s">
        <v>265</v>
      </c>
      <c r="D248" s="92">
        <v>6311656949.4300003</v>
      </c>
      <c r="E248" s="93">
        <f t="shared" si="182"/>
        <v>0.43084081012023673</v>
      </c>
      <c r="F248" s="89">
        <v>44.54</v>
      </c>
      <c r="G248" s="89">
        <v>44.74</v>
      </c>
      <c r="H248" s="94">
        <v>318</v>
      </c>
      <c r="I248" s="50">
        <v>4.4999999999999997E-3</v>
      </c>
      <c r="J248" s="50">
        <v>0.17549999999999999</v>
      </c>
      <c r="K248" s="92">
        <v>6140436439.5299997</v>
      </c>
      <c r="L248" s="93">
        <f t="shared" si="183"/>
        <v>0.4223663643866139</v>
      </c>
      <c r="M248" s="89">
        <v>44.72</v>
      </c>
      <c r="N248" s="89">
        <v>44.92</v>
      </c>
      <c r="O248" s="94">
        <v>327</v>
      </c>
      <c r="P248" s="50">
        <v>0</v>
      </c>
      <c r="Q248" s="50">
        <v>0.17549999999999999</v>
      </c>
      <c r="R248" s="55">
        <f t="shared" si="184"/>
        <v>-2.7127664141420635E-2</v>
      </c>
      <c r="S248" s="55">
        <f t="shared" si="185"/>
        <v>4.0232454179704898E-3</v>
      </c>
      <c r="T248" s="55">
        <f t="shared" si="186"/>
        <v>2.8301886792452831E-2</v>
      </c>
      <c r="U248" s="55">
        <f t="shared" si="187"/>
        <v>-4.4999999999999997E-3</v>
      </c>
      <c r="V248" s="56">
        <f t="shared" si="188"/>
        <v>0</v>
      </c>
    </row>
    <row r="249" spans="1:26">
      <c r="A249" s="139">
        <v>12</v>
      </c>
      <c r="B249" s="137" t="s">
        <v>269</v>
      </c>
      <c r="C249" s="138" t="s">
        <v>265</v>
      </c>
      <c r="D249" s="95">
        <v>64778760.210000001</v>
      </c>
      <c r="E249" s="93">
        <f t="shared" si="182"/>
        <v>4.4218711110370823E-3</v>
      </c>
      <c r="F249" s="89">
        <v>36.43</v>
      </c>
      <c r="G249" s="89">
        <v>36.630000000000003</v>
      </c>
      <c r="H249" s="94">
        <v>89</v>
      </c>
      <c r="I249" s="50">
        <v>2.3300000000000001E-2</v>
      </c>
      <c r="J249" s="50">
        <v>-0.1087</v>
      </c>
      <c r="K249" s="95">
        <v>64288107.189999998</v>
      </c>
      <c r="L249" s="93">
        <f t="shared" si="183"/>
        <v>4.4220202219397266E-3</v>
      </c>
      <c r="M249" s="89">
        <v>35.659999999999997</v>
      </c>
      <c r="N249" s="89">
        <v>35.86</v>
      </c>
      <c r="O249" s="94">
        <v>98</v>
      </c>
      <c r="P249" s="50">
        <v>-2.2800000000000001E-2</v>
      </c>
      <c r="Q249" s="50">
        <v>-0.129</v>
      </c>
      <c r="R249" s="55">
        <f t="shared" si="184"/>
        <v>-7.5742885231116289E-3</v>
      </c>
      <c r="S249" s="55">
        <f t="shared" si="185"/>
        <v>-2.1021021021021106E-2</v>
      </c>
      <c r="T249" s="55">
        <f t="shared" si="186"/>
        <v>0.10112359550561797</v>
      </c>
      <c r="U249" s="55">
        <f t="shared" si="187"/>
        <v>-4.6100000000000002E-2</v>
      </c>
      <c r="V249" s="56">
        <f t="shared" si="188"/>
        <v>-2.0299999999999999E-2</v>
      </c>
    </row>
    <row r="250" spans="1:26">
      <c r="A250" s="127"/>
      <c r="B250" s="127"/>
      <c r="C250" s="128" t="s">
        <v>270</v>
      </c>
      <c r="D250" s="88">
        <f>SUM(D238:D249)</f>
        <v>14649626500.49</v>
      </c>
      <c r="E250" s="90"/>
      <c r="F250" s="90"/>
      <c r="G250" s="91"/>
      <c r="H250" s="88">
        <f>SUM(H238:H249)</f>
        <v>2903</v>
      </c>
      <c r="I250" s="111"/>
      <c r="J250" s="111"/>
      <c r="K250" s="88">
        <f>SUM(K238:K249)</f>
        <v>14538175757.549999</v>
      </c>
      <c r="L250" s="90"/>
      <c r="M250" s="90"/>
      <c r="N250" s="91"/>
      <c r="O250" s="88">
        <f>SUM(O238:O249)</f>
        <v>2966</v>
      </c>
      <c r="P250" s="111"/>
      <c r="Q250" s="111"/>
      <c r="R250" s="55">
        <f t="shared" si="184"/>
        <v>-7.6077532035559222E-3</v>
      </c>
      <c r="S250" s="55" t="e">
        <f t="shared" si="185"/>
        <v>#DIV/0!</v>
      </c>
      <c r="T250" s="55">
        <f t="shared" si="186"/>
        <v>2.1701687909059592E-2</v>
      </c>
      <c r="U250" s="55">
        <f t="shared" si="187"/>
        <v>0</v>
      </c>
      <c r="V250" s="56">
        <f t="shared" si="188"/>
        <v>0</v>
      </c>
      <c r="Z250" s="63"/>
    </row>
    <row r="251" spans="1:26">
      <c r="A251" s="96"/>
      <c r="B251" s="96"/>
      <c r="C251" s="97" t="s">
        <v>271</v>
      </c>
      <c r="D251" s="98">
        <f>SUM(D222,D230,D235,D250)</f>
        <v>5976055850413.5361</v>
      </c>
      <c r="E251" s="99"/>
      <c r="F251" s="99"/>
      <c r="G251" s="100"/>
      <c r="H251" s="98">
        <f>SUM(H222,H230,H235,H250)</f>
        <v>914322</v>
      </c>
      <c r="I251" s="112"/>
      <c r="J251" s="112"/>
      <c r="K251" s="98">
        <f>SUM(K222,K230,K235,K250)</f>
        <v>6075982184648.5576</v>
      </c>
      <c r="L251" s="99"/>
      <c r="M251" s="99"/>
      <c r="N251" s="98"/>
      <c r="O251" s="98">
        <f>SUM(O222,O230,O235,O250)</f>
        <v>920508</v>
      </c>
      <c r="P251" s="113"/>
      <c r="Q251" s="98"/>
      <c r="R251" s="119"/>
      <c r="S251" s="120"/>
      <c r="T251" s="120"/>
      <c r="U251" s="121"/>
      <c r="V251" s="121"/>
      <c r="Z251" s="63"/>
    </row>
    <row r="252" spans="1:26">
      <c r="A252" s="101" t="s">
        <v>272</v>
      </c>
      <c r="B252" s="125" t="s">
        <v>322</v>
      </c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</row>
    <row r="253" spans="1:26">
      <c r="B253" s="124"/>
    </row>
    <row r="254" spans="1:26">
      <c r="B254" s="124"/>
      <c r="C254" s="103"/>
      <c r="D254" s="104"/>
      <c r="K254" s="104"/>
    </row>
    <row r="255" spans="1:26" ht="15">
      <c r="B255" s="105"/>
      <c r="C255" s="106"/>
      <c r="D255" s="107"/>
      <c r="F255" s="108"/>
      <c r="G255" s="108"/>
      <c r="I255" s="114"/>
      <c r="J255" s="115"/>
    </row>
    <row r="256" spans="1:26">
      <c r="C256" s="124"/>
    </row>
    <row r="258" spans="2:2">
      <c r="B258" s="103"/>
    </row>
  </sheetData>
  <sheetProtection algorithmName="SHA-512" hashValue="/H2DZHlHpQYF5YAP85nnMHMdqcLhyf1Ow1XxaPi6gqS6D+BIEmcM0UIpdGbNwTcG9IL5TsTorMczk7Y/tBXaqg==" saltValue="bsh4eYvfkGypZmfhP8VLAQ==" spinCount="100000" sheet="1" objects="1" scenarios="1"/>
  <sortState ref="A150:C177">
    <sortCondition descending="1" ref="A149"/>
  </sortState>
  <mergeCells count="34">
    <mergeCell ref="A224:V224"/>
    <mergeCell ref="A232:V232"/>
    <mergeCell ref="B236:V236"/>
    <mergeCell ref="A237:V237"/>
    <mergeCell ref="B201:V201"/>
    <mergeCell ref="A202:V202"/>
    <mergeCell ref="B216:V216"/>
    <mergeCell ref="A217:V217"/>
    <mergeCell ref="B223:U223"/>
    <mergeCell ref="B191:V191"/>
    <mergeCell ref="A192:V192"/>
    <mergeCell ref="B196:V196"/>
    <mergeCell ref="A197:V197"/>
    <mergeCell ref="A198:V198"/>
    <mergeCell ref="A132:V132"/>
    <mergeCell ref="B151:V151"/>
    <mergeCell ref="A152:V152"/>
    <mergeCell ref="B160:V160"/>
    <mergeCell ref="A161:V161"/>
    <mergeCell ref="A71:V71"/>
    <mergeCell ref="B111:V111"/>
    <mergeCell ref="A112:V112"/>
    <mergeCell ref="A113:V113"/>
    <mergeCell ref="B131:V131"/>
    <mergeCell ref="B4:V4"/>
    <mergeCell ref="A5:V5"/>
    <mergeCell ref="B26:V26"/>
    <mergeCell ref="A27:V27"/>
    <mergeCell ref="B70:V70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95 E95 E76 L48 E48 L34 E34 L136 E136" formula="1"/>
    <ignoredError sqref="S159 S25 S69 S110 S150 S190 S195 S221 S250 T233:T234 R49:T49 R136 R125:T125 R45:T4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G29"/>
  <sheetViews>
    <sheetView zoomScaleNormal="100" workbookViewId="0">
      <selection activeCell="E8" sqref="E8"/>
    </sheetView>
  </sheetViews>
  <sheetFormatPr defaultColWidth="9" defaultRowHeight="14.4"/>
  <cols>
    <col min="1" max="1" width="34" customWidth="1"/>
    <col min="2" max="2" width="17.6640625" customWidth="1"/>
    <col min="3" max="3" width="16.109375" customWidth="1"/>
  </cols>
  <sheetData>
    <row r="1" spans="1:7">
      <c r="A1" s="168"/>
      <c r="B1" s="168"/>
      <c r="C1" s="168"/>
      <c r="D1" s="168"/>
      <c r="E1" s="19"/>
      <c r="F1" s="15"/>
      <c r="G1" s="142"/>
    </row>
    <row r="2" spans="1:7" ht="27.6">
      <c r="A2" s="170" t="s">
        <v>273</v>
      </c>
      <c r="B2" s="171" t="s">
        <v>319</v>
      </c>
      <c r="C2" s="171" t="s">
        <v>323</v>
      </c>
      <c r="D2" s="172"/>
      <c r="E2" s="19"/>
      <c r="F2" s="15"/>
      <c r="G2" s="142"/>
    </row>
    <row r="3" spans="1:7">
      <c r="A3" s="173" t="s">
        <v>17</v>
      </c>
      <c r="B3" s="174">
        <f t="shared" ref="B3:C10" si="0">B13</f>
        <v>47.767435566352702</v>
      </c>
      <c r="C3" s="174">
        <f t="shared" si="0"/>
        <v>48.773441499237897</v>
      </c>
      <c r="D3" s="172"/>
      <c r="E3" s="19"/>
      <c r="F3" s="15"/>
      <c r="G3" s="142"/>
    </row>
    <row r="4" spans="1:7" ht="15.6" customHeight="1">
      <c r="A4" s="170" t="s">
        <v>54</v>
      </c>
      <c r="B4" s="175">
        <f t="shared" si="0"/>
        <v>3143.9721279913156</v>
      </c>
      <c r="C4" s="175">
        <f t="shared" si="0"/>
        <v>3240.091962076584</v>
      </c>
      <c r="D4" s="172"/>
      <c r="E4" s="19"/>
      <c r="F4" s="15"/>
      <c r="G4" s="142"/>
    </row>
    <row r="5" spans="1:7" ht="16.2" customHeight="1">
      <c r="A5" s="170" t="s">
        <v>274</v>
      </c>
      <c r="B5" s="174">
        <f t="shared" si="0"/>
        <v>209.22973471064913</v>
      </c>
      <c r="C5" s="174">
        <f t="shared" si="0"/>
        <v>209.30261295389982</v>
      </c>
      <c r="D5" s="172"/>
      <c r="E5" s="19"/>
      <c r="F5" s="15"/>
      <c r="G5" s="142"/>
    </row>
    <row r="6" spans="1:7">
      <c r="A6" s="170" t="s">
        <v>154</v>
      </c>
      <c r="B6" s="175">
        <f t="shared" si="0"/>
        <v>1919.9030689790252</v>
      </c>
      <c r="C6" s="175">
        <f t="shared" si="0"/>
        <v>1920.4307165455255</v>
      </c>
      <c r="D6" s="172"/>
      <c r="E6" s="19"/>
      <c r="F6" s="15"/>
      <c r="G6" s="142"/>
    </row>
    <row r="7" spans="1:7">
      <c r="A7" s="170" t="s">
        <v>275</v>
      </c>
      <c r="B7" s="174">
        <f t="shared" si="0"/>
        <v>358.38497647111234</v>
      </c>
      <c r="C7" s="174">
        <f t="shared" si="0"/>
        <v>359.56648171030395</v>
      </c>
      <c r="D7" s="172"/>
      <c r="E7" s="19"/>
      <c r="F7" s="15"/>
      <c r="G7" s="142"/>
    </row>
    <row r="8" spans="1:7">
      <c r="A8" s="170" t="s">
        <v>191</v>
      </c>
      <c r="B8" s="176">
        <f t="shared" si="0"/>
        <v>65.74149181611628</v>
      </c>
      <c r="C8" s="176">
        <f t="shared" si="0"/>
        <v>66.337534088000552</v>
      </c>
      <c r="D8" s="172"/>
      <c r="E8" s="19"/>
      <c r="F8" s="15"/>
      <c r="G8" s="142"/>
    </row>
    <row r="9" spans="1:7">
      <c r="A9" s="170" t="s">
        <v>221</v>
      </c>
      <c r="B9" s="174">
        <f t="shared" si="0"/>
        <v>6.7713561673599996</v>
      </c>
      <c r="C9" s="174">
        <f t="shared" si="0"/>
        <v>6.8072478203100006</v>
      </c>
      <c r="D9" s="172"/>
      <c r="E9" s="19"/>
      <c r="F9" s="15"/>
      <c r="G9" s="142"/>
    </row>
    <row r="10" spans="1:7">
      <c r="A10" s="170" t="s">
        <v>276</v>
      </c>
      <c r="B10" s="174">
        <f t="shared" si="0"/>
        <v>60.500393707422546</v>
      </c>
      <c r="C10" s="174">
        <f t="shared" si="0"/>
        <v>60.835003138819403</v>
      </c>
      <c r="D10" s="172"/>
      <c r="E10" s="19"/>
      <c r="F10" s="15"/>
      <c r="G10" s="142"/>
    </row>
    <row r="11" spans="1:7">
      <c r="A11" s="170"/>
      <c r="B11" s="174"/>
      <c r="C11" s="174"/>
      <c r="D11" s="172"/>
      <c r="E11" s="19"/>
      <c r="F11" s="15"/>
      <c r="G11" s="142"/>
    </row>
    <row r="12" spans="1:7">
      <c r="A12" s="168"/>
      <c r="B12" s="168"/>
      <c r="C12" s="168"/>
      <c r="D12" s="168"/>
      <c r="E12" s="19"/>
      <c r="F12" s="15"/>
      <c r="G12" s="142"/>
    </row>
    <row r="13" spans="1:7">
      <c r="A13" s="177" t="s">
        <v>17</v>
      </c>
      <c r="B13" s="178">
        <f>'Weekly Valuation'!D25/1000000000</f>
        <v>47.767435566352702</v>
      </c>
      <c r="C13" s="179">
        <f>'Weekly Valuation'!K25/1000000000</f>
        <v>48.773441499237897</v>
      </c>
      <c r="D13" s="168"/>
      <c r="E13" s="19"/>
      <c r="F13" s="15"/>
      <c r="G13" s="142"/>
    </row>
    <row r="14" spans="1:7">
      <c r="A14" s="180" t="s">
        <v>54</v>
      </c>
      <c r="B14" s="178">
        <f>'Weekly Valuation'!D69/1000000000</f>
        <v>3143.9721279913156</v>
      </c>
      <c r="C14" s="181">
        <f>'Weekly Valuation'!K69/1000000000</f>
        <v>3240.091962076584</v>
      </c>
      <c r="D14" s="168"/>
      <c r="E14" s="19"/>
      <c r="F14" s="15"/>
      <c r="G14" s="142"/>
    </row>
    <row r="15" spans="1:7">
      <c r="A15" s="180" t="s">
        <v>274</v>
      </c>
      <c r="B15" s="178">
        <f>'Weekly Valuation'!D110/1000000000</f>
        <v>209.22973471064913</v>
      </c>
      <c r="C15" s="179">
        <f>'Weekly Valuation'!K110/1000000000</f>
        <v>209.30261295389982</v>
      </c>
      <c r="D15" s="168"/>
      <c r="E15" s="19"/>
      <c r="F15" s="15"/>
      <c r="G15" s="142"/>
    </row>
    <row r="16" spans="1:7">
      <c r="A16" s="180" t="s">
        <v>154</v>
      </c>
      <c r="B16" s="178">
        <f>'Weekly Valuation'!D150/1000000000</f>
        <v>1919.9030689790252</v>
      </c>
      <c r="C16" s="181">
        <f>'Weekly Valuation'!K150/1000000000</f>
        <v>1920.4307165455255</v>
      </c>
      <c r="D16" s="168"/>
      <c r="E16" s="19"/>
      <c r="F16" s="15"/>
      <c r="G16" s="142"/>
    </row>
    <row r="17" spans="1:7">
      <c r="A17" s="180" t="s">
        <v>275</v>
      </c>
      <c r="B17" s="178">
        <f>'Weekly Valuation'!D159/1000000000</f>
        <v>358.38497647111234</v>
      </c>
      <c r="C17" s="179">
        <f>'Weekly Valuation'!K159/1000000000</f>
        <v>359.56648171030395</v>
      </c>
      <c r="D17" s="168"/>
      <c r="E17" s="19"/>
      <c r="F17" s="15"/>
      <c r="G17" s="142"/>
    </row>
    <row r="18" spans="1:7">
      <c r="A18" s="180" t="s">
        <v>191</v>
      </c>
      <c r="B18" s="178">
        <f>'Weekly Valuation'!D190/1000000000</f>
        <v>65.74149181611628</v>
      </c>
      <c r="C18" s="182">
        <f>'Weekly Valuation'!K190/1000000000</f>
        <v>66.337534088000552</v>
      </c>
      <c r="D18" s="168"/>
      <c r="E18" s="19"/>
      <c r="F18" s="15"/>
      <c r="G18" s="142"/>
    </row>
    <row r="19" spans="1:7">
      <c r="A19" s="180" t="s">
        <v>221</v>
      </c>
      <c r="B19" s="178">
        <f>'Weekly Valuation'!D195/1000000000</f>
        <v>6.7713561673599996</v>
      </c>
      <c r="C19" s="179">
        <f>'Weekly Valuation'!K195/1000000000</f>
        <v>6.8072478203100006</v>
      </c>
      <c r="D19" s="168"/>
      <c r="E19" s="19"/>
      <c r="F19" s="15"/>
      <c r="G19" s="142"/>
    </row>
    <row r="20" spans="1:7">
      <c r="A20" s="180" t="s">
        <v>276</v>
      </c>
      <c r="B20" s="178">
        <f>'Weekly Valuation'!D221/1000000000</f>
        <v>60.500393707422546</v>
      </c>
      <c r="C20" s="179">
        <f>'Weekly Valuation'!K221/1000000000</f>
        <v>60.835003138819403</v>
      </c>
      <c r="D20" s="168"/>
      <c r="E20" s="19"/>
      <c r="F20" s="15"/>
      <c r="G20" s="142"/>
    </row>
    <row r="21" spans="1:7">
      <c r="A21" s="164"/>
      <c r="B21" s="168"/>
      <c r="C21" s="167"/>
      <c r="D21" s="168"/>
      <c r="E21" s="19"/>
      <c r="F21" s="15"/>
      <c r="G21" s="142"/>
    </row>
    <row r="22" spans="1:7">
      <c r="A22" s="164"/>
      <c r="B22" s="168"/>
      <c r="C22" s="165"/>
      <c r="D22" s="168"/>
      <c r="E22" s="19"/>
      <c r="F22" s="15"/>
      <c r="G22" s="142"/>
    </row>
    <row r="23" spans="1:7">
      <c r="A23" s="183"/>
      <c r="B23" s="184"/>
      <c r="C23" s="166"/>
      <c r="D23" s="19"/>
      <c r="E23" s="19"/>
      <c r="F23" s="15"/>
      <c r="G23" s="142"/>
    </row>
    <row r="24" spans="1:7">
      <c r="A24" s="183"/>
      <c r="B24" s="184"/>
      <c r="C24" s="184"/>
      <c r="D24" s="19"/>
      <c r="E24" s="19"/>
      <c r="F24" s="15"/>
      <c r="G24" s="142"/>
    </row>
    <row r="25" spans="1:7">
      <c r="A25" s="145"/>
      <c r="B25" s="143"/>
      <c r="C25" s="143"/>
      <c r="D25" s="15"/>
      <c r="E25" s="15"/>
      <c r="F25" s="15"/>
      <c r="G25" s="142"/>
    </row>
    <row r="26" spans="1:7">
      <c r="A26" s="145"/>
      <c r="B26" s="143"/>
      <c r="C26" s="143"/>
      <c r="D26" s="15"/>
      <c r="E26" s="15"/>
      <c r="F26" s="15"/>
      <c r="G26" s="142"/>
    </row>
    <row r="27" spans="1:7">
      <c r="A27" s="145"/>
      <c r="B27" s="143"/>
      <c r="C27" s="143"/>
      <c r="D27" s="15"/>
      <c r="E27" s="15"/>
      <c r="F27" s="15"/>
      <c r="G27" s="142"/>
    </row>
    <row r="28" spans="1:7">
      <c r="A28" s="15"/>
      <c r="B28" s="15"/>
      <c r="C28" s="15"/>
      <c r="D28" s="15"/>
      <c r="E28" s="15"/>
      <c r="F28" s="15"/>
    </row>
    <row r="29" spans="1:7">
      <c r="A29" s="15"/>
      <c r="B29" s="15"/>
      <c r="C29" s="15"/>
      <c r="D29" s="15"/>
      <c r="E29" s="15"/>
      <c r="F29" s="15"/>
    </row>
  </sheetData>
  <sheetProtection algorithmName="SHA-512" hashValue="UyuVnlKVTS5DiCs0WKKlK0CG2DZTsHpOVHNKInbwEZGSsl0OxnP6EhAhJ0nDj2yEBUvTIpLHB656Y7JQwzyNRw==" saltValue="uLqTRF9oazUQ6QEWH3cLJ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I12" sqref="I12"/>
    </sheetView>
  </sheetViews>
  <sheetFormatPr defaultColWidth="9" defaultRowHeight="14.4"/>
  <cols>
    <col min="1" max="1" width="31.33203125" customWidth="1"/>
    <col min="2" max="2" width="17.44140625" customWidth="1"/>
    <col min="16" max="16" width="7.5546875" customWidth="1"/>
  </cols>
  <sheetData>
    <row r="1" spans="1:16" ht="15.6">
      <c r="A1" s="162" t="s">
        <v>273</v>
      </c>
      <c r="B1" s="163">
        <v>45842</v>
      </c>
      <c r="C1" s="19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64" t="s">
        <v>221</v>
      </c>
      <c r="B2" s="165">
        <f>'Weekly Valuation'!K195</f>
        <v>6807247820.3100004</v>
      </c>
      <c r="C2" s="19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>
      <c r="A3" s="164" t="s">
        <v>17</v>
      </c>
      <c r="B3" s="165">
        <f>'Weekly Valuation'!K25</f>
        <v>48773441499.2379</v>
      </c>
      <c r="C3" s="19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>
      <c r="A4" s="164" t="s">
        <v>276</v>
      </c>
      <c r="B4" s="166">
        <f>'Weekly Valuation'!K221</f>
        <v>60835003138.819405</v>
      </c>
      <c r="C4" s="19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>
      <c r="A5" s="164" t="s">
        <v>191</v>
      </c>
      <c r="B5" s="165">
        <f>'Weekly Valuation'!K190</f>
        <v>66337534088.000557</v>
      </c>
      <c r="C5" s="19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>
      <c r="A6" s="164" t="s">
        <v>275</v>
      </c>
      <c r="B6" s="165">
        <f>'Weekly Valuation'!K159</f>
        <v>359566481710.30396</v>
      </c>
      <c r="C6" s="19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>
      <c r="A7" s="164" t="s">
        <v>274</v>
      </c>
      <c r="B7" s="165">
        <f>'Weekly Valuation'!K110</f>
        <v>209302612953.89981</v>
      </c>
      <c r="C7" s="19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>
      <c r="A8" s="164" t="s">
        <v>154</v>
      </c>
      <c r="B8" s="167">
        <f>'Weekly Valuation'!K150</f>
        <v>1920430716545.5254</v>
      </c>
      <c r="C8" s="19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>
      <c r="A9" s="164" t="s">
        <v>54</v>
      </c>
      <c r="B9" s="167">
        <f>'Weekly Valuation'!K69</f>
        <v>3240091962076.584</v>
      </c>
      <c r="C9" s="19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>
      <c r="A10" s="168"/>
      <c r="B10" s="168"/>
      <c r="C10" s="19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>
      <c r="A11" s="164"/>
      <c r="B11" s="169"/>
      <c r="C11" s="19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>
      <c r="A12" s="14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>
      <c r="A13" s="143"/>
      <c r="B13" s="143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>
      <c r="A14" s="143"/>
      <c r="B14" s="143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6.5" customHeight="1">
      <c r="A15" s="144"/>
      <c r="B15" s="14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>
      <c r="A16" s="143"/>
      <c r="B16" s="143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7">
      <c r="A17" s="143"/>
      <c r="B17" s="143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7">
      <c r="A18" s="134"/>
      <c r="B18" s="143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7">
      <c r="A19" s="134"/>
      <c r="B19" s="13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7">
      <c r="A20" s="134"/>
      <c r="B20" s="13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7">
      <c r="A21" s="145"/>
      <c r="B21" s="13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7">
      <c r="A22" s="15"/>
      <c r="B22" s="13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7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7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7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7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7" ht="16.5" customHeight="1">
      <c r="A32" s="161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20"/>
    </row>
    <row r="33" spans="1:17" ht="15" customHeight="1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20"/>
    </row>
  </sheetData>
  <sheetProtection algorithmName="SHA-512" hashValue="4xlN4qMSHi8c5S3lnSJ8u+cdqivlXyIM3JNrMRnIfRWGYWfW5zH4X2dS+fwphaWLJip4ixdLRZu+KZca1P9qzg==" saltValue="ujpK3ItpguDu8vRtg125xw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7"/>
  <sheetViews>
    <sheetView zoomScale="110" zoomScaleNormal="110" workbookViewId="0">
      <selection activeCell="D7" sqref="D7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  <c r="M1" s="15"/>
    </row>
    <row r="2" spans="1:13">
      <c r="A2" s="185" t="s">
        <v>277</v>
      </c>
      <c r="B2" s="186">
        <v>45793</v>
      </c>
      <c r="C2" s="186">
        <v>45800</v>
      </c>
      <c r="D2" s="186">
        <v>45807</v>
      </c>
      <c r="E2" s="186">
        <v>45813</v>
      </c>
      <c r="F2" s="186">
        <v>45821</v>
      </c>
      <c r="G2" s="186">
        <v>45828</v>
      </c>
      <c r="H2" s="186">
        <v>45835</v>
      </c>
      <c r="I2" s="186">
        <v>45842</v>
      </c>
      <c r="J2" s="19"/>
      <c r="K2" s="19"/>
      <c r="L2" s="15"/>
      <c r="M2" s="15"/>
    </row>
    <row r="3" spans="1:13">
      <c r="A3" s="185" t="s">
        <v>278</v>
      </c>
      <c r="B3" s="187">
        <f t="shared" ref="B3:I3" si="0">B4</f>
        <v>5600.7611033252406</v>
      </c>
      <c r="C3" s="187">
        <f t="shared" si="0"/>
        <v>5614.7878514083422</v>
      </c>
      <c r="D3" s="187">
        <f t="shared" si="0"/>
        <v>5661.0011217265082</v>
      </c>
      <c r="E3" s="187">
        <f t="shared" si="0"/>
        <v>5706.8748281549615</v>
      </c>
      <c r="F3" s="187">
        <f t="shared" si="0"/>
        <v>5739.2216808320509</v>
      </c>
      <c r="G3" s="187">
        <f t="shared" si="0"/>
        <v>5778.470729655005</v>
      </c>
      <c r="H3" s="187">
        <f t="shared" si="0"/>
        <v>5812.2705854093538</v>
      </c>
      <c r="I3" s="187">
        <f t="shared" si="0"/>
        <v>5912.1449998326807</v>
      </c>
      <c r="J3" s="19"/>
      <c r="K3" s="19"/>
      <c r="L3" s="15"/>
      <c r="M3" s="15"/>
    </row>
    <row r="4" spans="1:13">
      <c r="A4" s="19"/>
      <c r="B4" s="188">
        <f>'NAV Trend'!C10/1000000000</f>
        <v>5600.7611033252406</v>
      </c>
      <c r="C4" s="188">
        <f>'NAV Trend'!D10/1000000000</f>
        <v>5614.7878514083422</v>
      </c>
      <c r="D4" s="188">
        <f>'NAV Trend'!E10/1000000000</f>
        <v>5661.0011217265082</v>
      </c>
      <c r="E4" s="188">
        <f>'NAV Trend'!F10/1000000000</f>
        <v>5706.8748281549615</v>
      </c>
      <c r="F4" s="188">
        <f>'NAV Trend'!G10/1000000000</f>
        <v>5739.2216808320509</v>
      </c>
      <c r="G4" s="188">
        <f>'NAV Trend'!H10/1000000000</f>
        <v>5778.470729655005</v>
      </c>
      <c r="H4" s="189">
        <f>'NAV Trend'!I10/1000000000</f>
        <v>5812.2705854093538</v>
      </c>
      <c r="I4" s="189">
        <f>'NAV Trend'!J10/1000000000</f>
        <v>5912.1449998326807</v>
      </c>
      <c r="J4" s="19"/>
      <c r="K4" s="19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  <c r="M6" s="15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5"/>
      <c r="M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35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35"/>
    </row>
    <row r="12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35"/>
    </row>
    <row r="13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</sheetData>
  <sheetProtection algorithmName="SHA-512" hashValue="RuY4KbopoVJgysbsjPfFN6erWiNujNRLvQkY9x6c9QnMk+IsuVprOdssWit54K0ciS0e94IGfOAF3W2+EEDn+A==" saltValue="R/tQruyGLafUa5R7XDk9F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N17"/>
  <sheetViews>
    <sheetView workbookViewId="0">
      <selection activeCell="D7" sqref="D7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5"/>
      <c r="N1" s="15"/>
    </row>
    <row r="2" spans="1:14">
      <c r="A2" s="185" t="s">
        <v>277</v>
      </c>
      <c r="B2" s="186">
        <v>45793</v>
      </c>
      <c r="C2" s="186">
        <v>45800</v>
      </c>
      <c r="D2" s="186">
        <v>45807</v>
      </c>
      <c r="E2" s="186">
        <v>45813</v>
      </c>
      <c r="F2" s="186">
        <v>45821</v>
      </c>
      <c r="G2" s="186">
        <v>45828</v>
      </c>
      <c r="H2" s="186">
        <v>45835</v>
      </c>
      <c r="I2" s="186">
        <v>45842</v>
      </c>
      <c r="J2" s="19"/>
      <c r="K2" s="19"/>
      <c r="L2" s="19"/>
      <c r="M2" s="15"/>
      <c r="N2" s="15"/>
    </row>
    <row r="3" spans="1:14">
      <c r="A3" s="185" t="s">
        <v>279</v>
      </c>
      <c r="B3" s="187">
        <f t="shared" ref="B3:I3" si="0">B4</f>
        <v>13.906596090597997</v>
      </c>
      <c r="C3" s="187">
        <f t="shared" si="0"/>
        <v>13.574054999743</v>
      </c>
      <c r="D3" s="187">
        <f t="shared" si="0"/>
        <v>13.663574619923001</v>
      </c>
      <c r="E3" s="187">
        <f t="shared" si="0"/>
        <v>13.910462089520001</v>
      </c>
      <c r="F3" s="187">
        <f t="shared" si="0"/>
        <v>14.097996343838002</v>
      </c>
      <c r="G3" s="187">
        <f t="shared" si="0"/>
        <v>14.438197157056999</v>
      </c>
      <c r="H3" s="187">
        <f t="shared" si="0"/>
        <v>14.649626500489999</v>
      </c>
      <c r="I3" s="187">
        <f t="shared" si="0"/>
        <v>14.538175757549999</v>
      </c>
      <c r="J3" s="19"/>
      <c r="K3" s="19"/>
      <c r="L3" s="19"/>
      <c r="M3" s="15"/>
      <c r="N3" s="15"/>
    </row>
    <row r="4" spans="1:14">
      <c r="A4" s="19"/>
      <c r="B4" s="188">
        <f>'NAV Trend'!C16/1000000000</f>
        <v>13.906596090597997</v>
      </c>
      <c r="C4" s="188">
        <f>'NAV Trend'!D16/1000000000</f>
        <v>13.574054999743</v>
      </c>
      <c r="D4" s="188">
        <f>'NAV Trend'!E16/1000000000</f>
        <v>13.663574619923001</v>
      </c>
      <c r="E4" s="188">
        <f>'NAV Trend'!F16/1000000000</f>
        <v>13.910462089520001</v>
      </c>
      <c r="F4" s="188">
        <f>'NAV Trend'!G16/1000000000</f>
        <v>14.097996343838002</v>
      </c>
      <c r="G4" s="188">
        <f>'NAV Trend'!H16/1000000000</f>
        <v>14.438197157056999</v>
      </c>
      <c r="H4" s="188">
        <f>'NAV Trend'!I16/1000000000</f>
        <v>14.649626500489999</v>
      </c>
      <c r="I4" s="189">
        <f>'NAV Trend'!J16/1000000000</f>
        <v>14.538175757549999</v>
      </c>
      <c r="J4" s="19"/>
      <c r="K4" s="19"/>
      <c r="L4" s="19"/>
      <c r="M4" s="15"/>
      <c r="N4" s="15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5"/>
      <c r="N5" s="15"/>
    </row>
    <row r="6" spans="1:14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5"/>
      <c r="N6" s="15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5"/>
      <c r="N7" s="15"/>
    </row>
    <row r="8" spans="1:14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5"/>
      <c r="N8" s="15"/>
    </row>
    <row r="9" spans="1:14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5"/>
      <c r="N9" s="15"/>
    </row>
    <row r="10" spans="1:14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5"/>
      <c r="N10" s="15"/>
    </row>
    <row r="11" spans="1:14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5"/>
      <c r="N11" s="15"/>
    </row>
    <row r="12" spans="1:1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</sheetData>
  <sheetProtection algorithmName="SHA-512" hashValue="Gru8PdMO1wUipGHnQ4WzqAh6cIzMZW7chUeLnVCLrTdRKNPj9+760LalsgJLcCSrYYBxb+ZEcJvhE3WlV+ud8w==" saltValue="MNEHUBIKmT8RNFMUgKuDsg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zoomScale="150" zoomScaleNormal="150" workbookViewId="0">
      <selection activeCell="J16" sqref="J16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273</v>
      </c>
      <c r="B1" s="2">
        <v>45786</v>
      </c>
      <c r="C1" s="2">
        <v>45793</v>
      </c>
      <c r="D1" s="2">
        <v>45800</v>
      </c>
      <c r="E1" s="2">
        <v>45807</v>
      </c>
      <c r="F1" s="2">
        <v>45813</v>
      </c>
      <c r="G1" s="2">
        <v>45821</v>
      </c>
      <c r="H1" s="2">
        <v>45828</v>
      </c>
      <c r="I1" s="2">
        <v>45835</v>
      </c>
      <c r="J1" s="2">
        <v>45842</v>
      </c>
    </row>
    <row r="2" spans="1:11">
      <c r="A2" s="3" t="s">
        <v>17</v>
      </c>
      <c r="B2" s="4">
        <v>40052509206.349998</v>
      </c>
      <c r="C2" s="4">
        <v>40696491951.950005</v>
      </c>
      <c r="D2" s="4">
        <v>41222274085.630005</v>
      </c>
      <c r="E2" s="4">
        <v>41941704345.110001</v>
      </c>
      <c r="F2" s="4">
        <v>42835043182.520004</v>
      </c>
      <c r="G2" s="4">
        <v>42622857191.780403</v>
      </c>
      <c r="H2" s="4">
        <v>45399164105.915703</v>
      </c>
      <c r="I2" s="4">
        <v>47767435566.352699</v>
      </c>
      <c r="J2" s="4">
        <v>48773441499.2379</v>
      </c>
    </row>
    <row r="3" spans="1:11">
      <c r="A3" s="3" t="s">
        <v>54</v>
      </c>
      <c r="B3" s="4">
        <v>2849135060100.6763</v>
      </c>
      <c r="C3" s="4">
        <v>2909623160997.8462</v>
      </c>
      <c r="D3" s="4">
        <v>2955969352323.3311</v>
      </c>
      <c r="E3" s="4">
        <v>2990664241362.4419</v>
      </c>
      <c r="F3" s="4">
        <v>3044846889135.2236</v>
      </c>
      <c r="G3" s="4">
        <v>3096275132899.1284</v>
      </c>
      <c r="H3" s="4">
        <v>3113167425546.7334</v>
      </c>
      <c r="I3" s="4">
        <v>3143972127991.3154</v>
      </c>
      <c r="J3" s="4">
        <v>3240091962076.584</v>
      </c>
    </row>
    <row r="4" spans="1:11">
      <c r="A4" s="3" t="s">
        <v>274</v>
      </c>
      <c r="B4" s="5">
        <v>208791291417.70242</v>
      </c>
      <c r="C4" s="5">
        <v>208401438383.2999</v>
      </c>
      <c r="D4" s="5">
        <v>209025769943.79047</v>
      </c>
      <c r="E4" s="5">
        <v>209159742342.28909</v>
      </c>
      <c r="F4" s="5">
        <v>210586835111.91571</v>
      </c>
      <c r="G4" s="5">
        <v>202341287400.03244</v>
      </c>
      <c r="H4" s="5">
        <v>210070664052.05121</v>
      </c>
      <c r="I4" s="5">
        <v>209229734710.64914</v>
      </c>
      <c r="J4" s="5">
        <v>209302612953.89981</v>
      </c>
    </row>
    <row r="5" spans="1:11">
      <c r="A5" s="3" t="s">
        <v>154</v>
      </c>
      <c r="B5" s="4">
        <v>1970845618406.8262</v>
      </c>
      <c r="C5" s="4">
        <v>1962901357676.8562</v>
      </c>
      <c r="D5" s="4">
        <v>1929073604440.7039</v>
      </c>
      <c r="E5" s="4">
        <v>1938034504366.4832</v>
      </c>
      <c r="F5" s="4">
        <v>1924601424924.0278</v>
      </c>
      <c r="G5" s="4">
        <v>1913220478334.1814</v>
      </c>
      <c r="H5" s="4">
        <v>1920956396176.9661</v>
      </c>
      <c r="I5" s="4">
        <v>1919903068979.0251</v>
      </c>
      <c r="J5" s="4">
        <v>1920430716545.5254</v>
      </c>
    </row>
    <row r="6" spans="1:11">
      <c r="A6" s="3" t="s">
        <v>275</v>
      </c>
      <c r="B6" s="6">
        <v>102440757490.53162</v>
      </c>
      <c r="C6" s="6">
        <v>353913355615.99237</v>
      </c>
      <c r="D6" s="6">
        <v>354567498315.10614</v>
      </c>
      <c r="E6" s="6">
        <v>355725329056.43384</v>
      </c>
      <c r="F6" s="6">
        <v>356681164790.01733</v>
      </c>
      <c r="G6" s="6">
        <v>357629608042.17529</v>
      </c>
      <c r="H6" s="6">
        <v>358535779287.37018</v>
      </c>
      <c r="I6" s="6">
        <v>358384976471.11237</v>
      </c>
      <c r="J6" s="6">
        <v>359566481710.30396</v>
      </c>
    </row>
    <row r="7" spans="1:11">
      <c r="A7" s="3" t="s">
        <v>191</v>
      </c>
      <c r="B7" s="7">
        <v>60348931993.098541</v>
      </c>
      <c r="C7" s="7">
        <v>60537200481.56192</v>
      </c>
      <c r="D7" s="7">
        <v>60839325442.61261</v>
      </c>
      <c r="E7" s="7">
        <v>60841613029.135788</v>
      </c>
      <c r="F7" s="7">
        <v>61815946486.813843</v>
      </c>
      <c r="G7" s="7">
        <v>61694711710.161476</v>
      </c>
      <c r="H7" s="7">
        <v>63650811988.436371</v>
      </c>
      <c r="I7" s="7">
        <v>65741491816.116287</v>
      </c>
      <c r="J7" s="7">
        <v>66337534088.000557</v>
      </c>
    </row>
    <row r="8" spans="1:11">
      <c r="A8" s="3" t="s">
        <v>221</v>
      </c>
      <c r="B8" s="6">
        <v>7090375954.5700006</v>
      </c>
      <c r="C8" s="6">
        <v>5933942499.0900002</v>
      </c>
      <c r="D8" s="6">
        <v>5993726972.2399998</v>
      </c>
      <c r="E8" s="6">
        <v>5992665978.8000002</v>
      </c>
      <c r="F8" s="6">
        <v>6131520024.7600002</v>
      </c>
      <c r="G8" s="6">
        <v>6161637634.4500008</v>
      </c>
      <c r="H8" s="6">
        <v>6456038640.0900002</v>
      </c>
      <c r="I8" s="6">
        <v>6771356167.3599997</v>
      </c>
      <c r="J8" s="6">
        <v>6807247820.3100004</v>
      </c>
    </row>
    <row r="9" spans="1:11">
      <c r="A9" s="3" t="s">
        <v>276</v>
      </c>
      <c r="B9" s="6">
        <v>58999122337.327522</v>
      </c>
      <c r="C9" s="6">
        <v>58754155718.644669</v>
      </c>
      <c r="D9" s="6">
        <v>58096299884.927956</v>
      </c>
      <c r="E9" s="6">
        <v>58641321245.814735</v>
      </c>
      <c r="F9" s="6">
        <v>59376004499.683235</v>
      </c>
      <c r="G9" s="6">
        <v>59275967620.142563</v>
      </c>
      <c r="H9" s="6">
        <v>60234449857.442543</v>
      </c>
      <c r="I9" s="6">
        <v>60500393707.422546</v>
      </c>
      <c r="J9" s="6">
        <v>60835003138.819405</v>
      </c>
    </row>
    <row r="10" spans="1:11" ht="15.6">
      <c r="A10" s="8" t="s">
        <v>280</v>
      </c>
      <c r="B10" s="9">
        <f t="shared" ref="B10:J10" si="0">SUM(B2:B9)</f>
        <v>5297703666907.082</v>
      </c>
      <c r="C10" s="9">
        <f t="shared" si="0"/>
        <v>5600761103325.2402</v>
      </c>
      <c r="D10" s="9">
        <f t="shared" si="0"/>
        <v>5614787851408.3418</v>
      </c>
      <c r="E10" s="9">
        <f t="shared" si="0"/>
        <v>5661001121726.5078</v>
      </c>
      <c r="F10" s="9">
        <f t="shared" si="0"/>
        <v>5706874828154.9619</v>
      </c>
      <c r="G10" s="9">
        <f t="shared" si="0"/>
        <v>5739221680832.0508</v>
      </c>
      <c r="H10" s="9">
        <f t="shared" si="0"/>
        <v>5778470729655.0049</v>
      </c>
      <c r="I10" s="9">
        <f t="shared" si="0"/>
        <v>5812270585409.3535</v>
      </c>
      <c r="J10" s="9">
        <f t="shared" si="0"/>
        <v>5912144999832.6807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281</v>
      </c>
      <c r="B12" s="122" t="s">
        <v>282</v>
      </c>
      <c r="C12" s="13">
        <f>(B10+C10)/2</f>
        <v>5449232385116.1611</v>
      </c>
      <c r="D12" s="14">
        <f t="shared" ref="D12:J12" si="1">(C10+D10)/2</f>
        <v>5607774477366.791</v>
      </c>
      <c r="E12" s="14">
        <f t="shared" si="1"/>
        <v>5637894486567.4248</v>
      </c>
      <c r="F12" s="14">
        <f t="shared" si="1"/>
        <v>5683937974940.7344</v>
      </c>
      <c r="G12" s="14">
        <f t="shared" si="1"/>
        <v>5723048254493.5059</v>
      </c>
      <c r="H12" s="14">
        <f t="shared" si="1"/>
        <v>5758846205243.5273</v>
      </c>
      <c r="I12" s="14">
        <f t="shared" si="1"/>
        <v>5795370657532.1797</v>
      </c>
      <c r="J12" s="14">
        <f t="shared" si="1"/>
        <v>5862207792621.0176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45786</v>
      </c>
      <c r="C15" s="2">
        <v>45793</v>
      </c>
      <c r="D15" s="2">
        <v>45800</v>
      </c>
      <c r="E15" s="2">
        <v>45807</v>
      </c>
      <c r="F15" s="2">
        <v>45813</v>
      </c>
      <c r="G15" s="2">
        <v>45821</v>
      </c>
      <c r="H15" s="2">
        <v>45828</v>
      </c>
      <c r="I15" s="2">
        <v>45835</v>
      </c>
      <c r="J15" s="2">
        <v>45842</v>
      </c>
      <c r="K15" s="15"/>
    </row>
    <row r="16" spans="1:11">
      <c r="A16" s="16" t="s">
        <v>283</v>
      </c>
      <c r="B16" s="17">
        <v>13893621057.049999</v>
      </c>
      <c r="C16" s="17">
        <v>13906596090.597998</v>
      </c>
      <c r="D16" s="17">
        <v>13574054999.743</v>
      </c>
      <c r="E16" s="17">
        <v>13663574619.923</v>
      </c>
      <c r="F16" s="17">
        <v>13910462089.52</v>
      </c>
      <c r="G16" s="17">
        <v>14097996343.838001</v>
      </c>
      <c r="H16" s="17">
        <v>14438197157.056999</v>
      </c>
      <c r="I16" s="17">
        <v>14649626500.49</v>
      </c>
      <c r="J16" s="17">
        <v>14538175757.549999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29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lDHPxyQN+mWOamI/+LNCQxn/JCA8yXJHBP19W/Fcx2TjgL+0YKIWdnAMFcGt2DY7B6L8rW3ZPVBVM81xdjlXpQ==" saltValue="pM8n59WB2+G4z4ZVjJyb4w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  <vt:lpstr>FX_RATE</vt:lpstr>
      <vt:lpstr>'Weekly Valuation'!NFEM_RATE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2025-07-15T23:24:38Z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