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isaac\Desktop\Weekly NAV\2025\"/>
    </mc:Choice>
  </mc:AlternateContent>
  <bookViews>
    <workbookView xWindow="0" yWindow="0" windowWidth="11496" windowHeight="9168"/>
  </bookViews>
  <sheets>
    <sheet name="Weekly Valuation" sheetId="1" r:id="rId1"/>
    <sheet name="NAV Comparison" sheetId="2" r:id="rId2"/>
    <sheet name="Market Share" sheetId="3" r:id="rId3"/>
    <sheet name="8-Week Movement in NAV" sheetId="5" r:id="rId4"/>
    <sheet name="8-Week Movement in ETFs" sheetId="6" r:id="rId5"/>
    <sheet name="NAV Trend" sheetId="4" state="hidden" r:id="rId6"/>
  </sheets>
  <definedNames>
    <definedName name="FX_RATE">'Weekly Valuation'!$W$133</definedName>
    <definedName name="NFEM_RATE" localSheetId="0">'Weekly Valuation'!$W$133</definedName>
  </definedNames>
  <calcPr calcId="162913"/>
</workbook>
</file>

<file path=xl/calcChain.xml><?xml version="1.0" encoding="utf-8"?>
<calcChain xmlns="http://schemas.openxmlformats.org/spreadsheetml/2006/main">
  <c r="N126" i="1" l="1"/>
  <c r="M126" i="1"/>
  <c r="K126" i="1"/>
  <c r="N148" i="1" l="1"/>
  <c r="M148" i="1"/>
  <c r="K148" i="1"/>
  <c r="N142" i="1" l="1"/>
  <c r="M142" i="1"/>
  <c r="K142" i="1"/>
  <c r="M139" i="1"/>
  <c r="K139" i="1"/>
  <c r="N143" i="1"/>
  <c r="M143" i="1"/>
  <c r="K143" i="1"/>
  <c r="N133" i="1"/>
  <c r="M133" i="1"/>
  <c r="K133" i="1"/>
  <c r="M119" i="1"/>
  <c r="K119" i="1"/>
  <c r="N121" i="1"/>
  <c r="M121" i="1"/>
  <c r="K121" i="1"/>
  <c r="N129" i="1"/>
  <c r="M129" i="1"/>
  <c r="K129" i="1"/>
  <c r="N141" i="1" l="1"/>
  <c r="M141" i="1"/>
  <c r="K115" i="1"/>
  <c r="N145" i="1"/>
  <c r="M145" i="1"/>
  <c r="K145" i="1"/>
  <c r="K125" i="1"/>
  <c r="N114" i="1" l="1"/>
  <c r="M114" i="1"/>
  <c r="K114" i="1"/>
  <c r="N128" i="1"/>
  <c r="M128" i="1"/>
  <c r="K128" i="1"/>
  <c r="N149" i="1" l="1"/>
  <c r="M149" i="1"/>
  <c r="K149" i="1"/>
  <c r="N118" i="1" l="1"/>
  <c r="M118" i="1"/>
  <c r="K118" i="1"/>
  <c r="N138" i="1"/>
  <c r="M138" i="1"/>
  <c r="N140" i="1" l="1"/>
  <c r="M140" i="1"/>
  <c r="K140" i="1"/>
  <c r="K127" i="1" l="1"/>
  <c r="N136" i="1"/>
  <c r="M136" i="1"/>
  <c r="K136" i="1"/>
  <c r="R179" i="1"/>
  <c r="N134" i="1"/>
  <c r="M134" i="1"/>
  <c r="K134" i="1"/>
  <c r="N120" i="1"/>
  <c r="M120" i="1"/>
  <c r="K120" i="1"/>
  <c r="N225" i="1" l="1"/>
  <c r="M225" i="1"/>
  <c r="K225" i="1"/>
  <c r="N117" i="1"/>
  <c r="M117" i="1"/>
  <c r="K117" i="1"/>
  <c r="N116" i="1"/>
  <c r="M116" i="1"/>
  <c r="K116" i="1"/>
  <c r="N227" i="1"/>
  <c r="M227" i="1"/>
  <c r="K227" i="1"/>
  <c r="K124" i="1"/>
  <c r="N124" i="1"/>
  <c r="M124" i="1"/>
  <c r="N123" i="1"/>
  <c r="M123" i="1"/>
  <c r="K123" i="1"/>
  <c r="N146" i="1" l="1"/>
  <c r="M146" i="1"/>
  <c r="K146" i="1"/>
  <c r="K130" i="1"/>
  <c r="N130" i="1"/>
  <c r="M130" i="1"/>
  <c r="G227" i="1" l="1"/>
  <c r="F227" i="1"/>
  <c r="G225" i="1"/>
  <c r="F225" i="1"/>
  <c r="D227" i="1"/>
  <c r="D225" i="1"/>
  <c r="N139" i="1" l="1"/>
  <c r="R81" i="1"/>
  <c r="R82" i="1"/>
  <c r="R104" i="1" l="1"/>
  <c r="S104" i="1"/>
  <c r="T104" i="1"/>
  <c r="U104" i="1"/>
  <c r="V104" i="1"/>
  <c r="N127" i="1" l="1"/>
  <c r="M127" i="1"/>
  <c r="N119" i="1" l="1"/>
  <c r="R15" i="1" l="1"/>
  <c r="V228" i="1" l="1"/>
  <c r="U228" i="1"/>
  <c r="T228" i="1"/>
  <c r="S228" i="1"/>
  <c r="R228" i="1"/>
  <c r="R234" i="1"/>
  <c r="R154" i="1" l="1"/>
  <c r="S154" i="1"/>
  <c r="T154" i="1"/>
  <c r="U154" i="1"/>
  <c r="V154" i="1"/>
  <c r="R126" i="1" l="1"/>
  <c r="R125" i="1"/>
  <c r="S133" i="1"/>
  <c r="R133" i="1"/>
  <c r="S149" i="1"/>
  <c r="R149" i="1"/>
  <c r="S121" i="1"/>
  <c r="S140" i="1"/>
  <c r="R140" i="1"/>
  <c r="R127" i="1"/>
  <c r="S145" i="1"/>
  <c r="R145" i="1"/>
  <c r="S136" i="1"/>
  <c r="R136" i="1"/>
  <c r="S120" i="1"/>
  <c r="R120" i="1"/>
  <c r="K159" i="1"/>
  <c r="L156" i="1" s="1"/>
  <c r="V218" i="1"/>
  <c r="U218" i="1"/>
  <c r="T218" i="1"/>
  <c r="S218" i="1"/>
  <c r="R218" i="1"/>
  <c r="K195" i="1"/>
  <c r="L218" i="1" s="1"/>
  <c r="D195" i="1"/>
  <c r="B19" i="2" s="1"/>
  <c r="B9" i="2" s="1"/>
  <c r="V219" i="1"/>
  <c r="U219" i="1"/>
  <c r="T219" i="1"/>
  <c r="S219" i="1"/>
  <c r="R219" i="1"/>
  <c r="K221" i="1"/>
  <c r="L203" i="1" s="1"/>
  <c r="D221" i="1"/>
  <c r="S134" i="1"/>
  <c r="S148" i="1"/>
  <c r="R115" i="1"/>
  <c r="S143" i="1"/>
  <c r="R143" i="1"/>
  <c r="R128" i="1"/>
  <c r="S114" i="1"/>
  <c r="V234" i="1"/>
  <c r="M125" i="1"/>
  <c r="N125" i="1"/>
  <c r="S125" i="1" s="1"/>
  <c r="V226" i="1"/>
  <c r="U226" i="1"/>
  <c r="T226" i="1"/>
  <c r="S226" i="1"/>
  <c r="R226" i="1"/>
  <c r="K230" i="1"/>
  <c r="S138" i="1"/>
  <c r="U142" i="1"/>
  <c r="V142" i="1"/>
  <c r="N115" i="1"/>
  <c r="S115" i="1" s="1"/>
  <c r="M115" i="1"/>
  <c r="R227" i="1"/>
  <c r="S227" i="1"/>
  <c r="T227" i="1"/>
  <c r="U227" i="1"/>
  <c r="V227" i="1"/>
  <c r="V52" i="1"/>
  <c r="U52" i="1"/>
  <c r="T52" i="1"/>
  <c r="S52" i="1"/>
  <c r="R52" i="1"/>
  <c r="R148" i="1"/>
  <c r="V148" i="1"/>
  <c r="U148" i="1"/>
  <c r="T148" i="1"/>
  <c r="R167" i="1"/>
  <c r="S167" i="1"/>
  <c r="T167" i="1"/>
  <c r="U167" i="1"/>
  <c r="V167" i="1"/>
  <c r="V143" i="1"/>
  <c r="U143" i="1"/>
  <c r="T143" i="1"/>
  <c r="R58" i="1"/>
  <c r="V58" i="1"/>
  <c r="U58" i="1"/>
  <c r="S58" i="1"/>
  <c r="T58" i="1"/>
  <c r="R32" i="1"/>
  <c r="V32" i="1"/>
  <c r="U32" i="1"/>
  <c r="T32" i="1"/>
  <c r="S32" i="1"/>
  <c r="T137" i="1"/>
  <c r="V125" i="1"/>
  <c r="U125" i="1"/>
  <c r="T125" i="1"/>
  <c r="R45" i="1"/>
  <c r="S45" i="1"/>
  <c r="T45" i="1"/>
  <c r="U45" i="1"/>
  <c r="V45" i="1"/>
  <c r="O230" i="1"/>
  <c r="H230" i="1"/>
  <c r="D230" i="1"/>
  <c r="V225" i="1"/>
  <c r="U225" i="1"/>
  <c r="T225" i="1"/>
  <c r="S225" i="1"/>
  <c r="R225" i="1"/>
  <c r="V136" i="1"/>
  <c r="U136" i="1"/>
  <c r="T136" i="1"/>
  <c r="V82" i="1"/>
  <c r="U82" i="1"/>
  <c r="T82" i="1"/>
  <c r="S82" i="1"/>
  <c r="R171" i="1"/>
  <c r="V23" i="1"/>
  <c r="U23" i="1"/>
  <c r="T23" i="1"/>
  <c r="S23" i="1"/>
  <c r="R23" i="1"/>
  <c r="O221" i="1"/>
  <c r="H221" i="1"/>
  <c r="V220" i="1"/>
  <c r="U220" i="1"/>
  <c r="T220" i="1"/>
  <c r="S220" i="1"/>
  <c r="R220" i="1"/>
  <c r="R31" i="1"/>
  <c r="R117" i="1"/>
  <c r="S117" i="1"/>
  <c r="T117" i="1"/>
  <c r="U117" i="1"/>
  <c r="V117" i="1"/>
  <c r="R53" i="1"/>
  <c r="R212" i="1"/>
  <c r="V204" i="1"/>
  <c r="U204" i="1"/>
  <c r="T204" i="1"/>
  <c r="S204" i="1"/>
  <c r="R204" i="1"/>
  <c r="T145" i="1"/>
  <c r="U145" i="1"/>
  <c r="V145" i="1"/>
  <c r="R6" i="1"/>
  <c r="V189" i="1"/>
  <c r="U189" i="1"/>
  <c r="T189" i="1"/>
  <c r="S189" i="1"/>
  <c r="R189" i="1"/>
  <c r="V188" i="1"/>
  <c r="U188" i="1"/>
  <c r="T188" i="1"/>
  <c r="S188" i="1"/>
  <c r="R188" i="1"/>
  <c r="V187" i="1"/>
  <c r="U187" i="1"/>
  <c r="T187" i="1"/>
  <c r="S187" i="1"/>
  <c r="R187" i="1"/>
  <c r="V186" i="1"/>
  <c r="U186" i="1"/>
  <c r="T186" i="1"/>
  <c r="S186" i="1"/>
  <c r="R186" i="1"/>
  <c r="V185" i="1"/>
  <c r="U185" i="1"/>
  <c r="T185" i="1"/>
  <c r="S185" i="1"/>
  <c r="R185" i="1"/>
  <c r="V184" i="1"/>
  <c r="U184" i="1"/>
  <c r="T184" i="1"/>
  <c r="S184" i="1"/>
  <c r="R184" i="1"/>
  <c r="V183" i="1"/>
  <c r="U183" i="1"/>
  <c r="T183" i="1"/>
  <c r="S183" i="1"/>
  <c r="R183" i="1"/>
  <c r="V182" i="1"/>
  <c r="U182" i="1"/>
  <c r="T182" i="1"/>
  <c r="S182" i="1"/>
  <c r="R182" i="1"/>
  <c r="V181" i="1"/>
  <c r="U181" i="1"/>
  <c r="T181" i="1"/>
  <c r="S181" i="1"/>
  <c r="R181" i="1"/>
  <c r="V180" i="1"/>
  <c r="U180" i="1"/>
  <c r="T180" i="1"/>
  <c r="S180" i="1"/>
  <c r="R180" i="1"/>
  <c r="V179" i="1"/>
  <c r="U179" i="1"/>
  <c r="T179" i="1"/>
  <c r="S179" i="1"/>
  <c r="V178" i="1"/>
  <c r="U178" i="1"/>
  <c r="T178" i="1"/>
  <c r="S178" i="1"/>
  <c r="R178" i="1"/>
  <c r="V177" i="1"/>
  <c r="U177" i="1"/>
  <c r="T177" i="1"/>
  <c r="S177" i="1"/>
  <c r="R177" i="1"/>
  <c r="V176" i="1"/>
  <c r="U176" i="1"/>
  <c r="T176" i="1"/>
  <c r="S176" i="1"/>
  <c r="R176" i="1"/>
  <c r="V175" i="1"/>
  <c r="U175" i="1"/>
  <c r="T175" i="1"/>
  <c r="S175" i="1"/>
  <c r="R175" i="1"/>
  <c r="V174" i="1"/>
  <c r="U174" i="1"/>
  <c r="T174" i="1"/>
  <c r="S174" i="1"/>
  <c r="R174" i="1"/>
  <c r="V173" i="1"/>
  <c r="U173" i="1"/>
  <c r="T173" i="1"/>
  <c r="S173" i="1"/>
  <c r="R173" i="1"/>
  <c r="V172" i="1"/>
  <c r="U172" i="1"/>
  <c r="T172" i="1"/>
  <c r="S172" i="1"/>
  <c r="R172" i="1"/>
  <c r="V171" i="1"/>
  <c r="U171" i="1"/>
  <c r="T171" i="1"/>
  <c r="S171" i="1"/>
  <c r="V170" i="1"/>
  <c r="U170" i="1"/>
  <c r="T170" i="1"/>
  <c r="S170" i="1"/>
  <c r="R170" i="1"/>
  <c r="V169" i="1"/>
  <c r="U169" i="1"/>
  <c r="T169" i="1"/>
  <c r="S169" i="1"/>
  <c r="R169" i="1"/>
  <c r="V168" i="1"/>
  <c r="U168" i="1"/>
  <c r="T168" i="1"/>
  <c r="S168" i="1"/>
  <c r="R168" i="1"/>
  <c r="V166" i="1"/>
  <c r="U166" i="1"/>
  <c r="T166" i="1"/>
  <c r="S166" i="1"/>
  <c r="R166" i="1"/>
  <c r="V165" i="1"/>
  <c r="U165" i="1"/>
  <c r="T165" i="1"/>
  <c r="S165" i="1"/>
  <c r="R165" i="1"/>
  <c r="V164" i="1"/>
  <c r="U164" i="1"/>
  <c r="T164" i="1"/>
  <c r="S164" i="1"/>
  <c r="R164" i="1"/>
  <c r="V163" i="1"/>
  <c r="U163" i="1"/>
  <c r="T163" i="1"/>
  <c r="S163" i="1"/>
  <c r="R163" i="1"/>
  <c r="V162" i="1"/>
  <c r="U162" i="1"/>
  <c r="T162" i="1"/>
  <c r="S162" i="1"/>
  <c r="R162" i="1"/>
  <c r="R94" i="1"/>
  <c r="V34" i="1"/>
  <c r="U34" i="1"/>
  <c r="T34" i="1"/>
  <c r="S34" i="1"/>
  <c r="R34" i="1"/>
  <c r="V76" i="1"/>
  <c r="V49" i="1"/>
  <c r="U49" i="1"/>
  <c r="T49" i="1"/>
  <c r="S49" i="1"/>
  <c r="R49" i="1"/>
  <c r="J10" i="4"/>
  <c r="I4" i="5" s="1"/>
  <c r="I3" i="5" s="1"/>
  <c r="I10" i="4"/>
  <c r="H4" i="5" s="1"/>
  <c r="H3" i="5" s="1"/>
  <c r="H10" i="4"/>
  <c r="G4" i="5" s="1"/>
  <c r="G3" i="5" s="1"/>
  <c r="G10" i="4"/>
  <c r="F4" i="5" s="1"/>
  <c r="F3" i="5" s="1"/>
  <c r="F10" i="4"/>
  <c r="E10" i="4"/>
  <c r="D10" i="4"/>
  <c r="E12" i="4" s="1"/>
  <c r="C10" i="4"/>
  <c r="D12" i="4" s="1"/>
  <c r="B10" i="4"/>
  <c r="I4" i="6"/>
  <c r="I3" i="6" s="1"/>
  <c r="H4" i="6"/>
  <c r="H3" i="6"/>
  <c r="G4" i="6"/>
  <c r="G3" i="6" s="1"/>
  <c r="F4" i="6"/>
  <c r="F3" i="6" s="1"/>
  <c r="E4" i="6"/>
  <c r="E3" i="6" s="1"/>
  <c r="D4" i="6"/>
  <c r="D3" i="6" s="1"/>
  <c r="C4" i="6"/>
  <c r="C3" i="6" s="1"/>
  <c r="B4" i="6"/>
  <c r="B3" i="6" s="1"/>
  <c r="V250" i="1"/>
  <c r="U250" i="1"/>
  <c r="S250" i="1"/>
  <c r="O250" i="1"/>
  <c r="K250" i="1"/>
  <c r="L247" i="1" s="1"/>
  <c r="H250" i="1"/>
  <c r="D250" i="1"/>
  <c r="E238" i="1" s="1"/>
  <c r="V249" i="1"/>
  <c r="U249" i="1"/>
  <c r="T249" i="1"/>
  <c r="S249" i="1"/>
  <c r="R249" i="1"/>
  <c r="V248" i="1"/>
  <c r="U248" i="1"/>
  <c r="T248" i="1"/>
  <c r="S248" i="1"/>
  <c r="R248" i="1"/>
  <c r="V247" i="1"/>
  <c r="U247" i="1"/>
  <c r="T247" i="1"/>
  <c r="S247" i="1"/>
  <c r="R247" i="1"/>
  <c r="V246" i="1"/>
  <c r="U246" i="1"/>
  <c r="T246" i="1"/>
  <c r="S246" i="1"/>
  <c r="R246" i="1"/>
  <c r="V245" i="1"/>
  <c r="U245" i="1"/>
  <c r="T245" i="1"/>
  <c r="S245" i="1"/>
  <c r="R245" i="1"/>
  <c r="V244" i="1"/>
  <c r="U244" i="1"/>
  <c r="T244" i="1"/>
  <c r="S244" i="1"/>
  <c r="R244" i="1"/>
  <c r="V243" i="1"/>
  <c r="U243" i="1"/>
  <c r="T243" i="1"/>
  <c r="S243" i="1"/>
  <c r="R243" i="1"/>
  <c r="V242" i="1"/>
  <c r="U242" i="1"/>
  <c r="T242" i="1"/>
  <c r="S242" i="1"/>
  <c r="R242" i="1"/>
  <c r="V241" i="1"/>
  <c r="U241" i="1"/>
  <c r="T241" i="1"/>
  <c r="S241" i="1"/>
  <c r="R241" i="1"/>
  <c r="V240" i="1"/>
  <c r="U240" i="1"/>
  <c r="T240" i="1"/>
  <c r="S240" i="1"/>
  <c r="R240" i="1"/>
  <c r="V239" i="1"/>
  <c r="U239" i="1"/>
  <c r="T239" i="1"/>
  <c r="S239" i="1"/>
  <c r="R239" i="1"/>
  <c r="V238" i="1"/>
  <c r="U238" i="1"/>
  <c r="T238" i="1"/>
  <c r="S238" i="1"/>
  <c r="R238" i="1"/>
  <c r="O235" i="1"/>
  <c r="K235" i="1"/>
  <c r="L233" i="1" s="1"/>
  <c r="H235" i="1"/>
  <c r="D235" i="1"/>
  <c r="E233" i="1" s="1"/>
  <c r="U234" i="1"/>
  <c r="T234" i="1"/>
  <c r="S234" i="1"/>
  <c r="V233" i="1"/>
  <c r="U233" i="1"/>
  <c r="T233" i="1"/>
  <c r="S233" i="1"/>
  <c r="R233" i="1"/>
  <c r="V229" i="1"/>
  <c r="U229" i="1"/>
  <c r="T229" i="1"/>
  <c r="S229" i="1"/>
  <c r="R229" i="1"/>
  <c r="V221" i="1"/>
  <c r="U221" i="1"/>
  <c r="S221" i="1"/>
  <c r="V215" i="1"/>
  <c r="U215" i="1"/>
  <c r="T215" i="1"/>
  <c r="S215" i="1"/>
  <c r="R215" i="1"/>
  <c r="V214" i="1"/>
  <c r="U214" i="1"/>
  <c r="T214" i="1"/>
  <c r="S214" i="1"/>
  <c r="R214" i="1"/>
  <c r="V213" i="1"/>
  <c r="U213" i="1"/>
  <c r="T213" i="1"/>
  <c r="S213" i="1"/>
  <c r="R213" i="1"/>
  <c r="V212" i="1"/>
  <c r="U212" i="1"/>
  <c r="T212" i="1"/>
  <c r="S212" i="1"/>
  <c r="V211" i="1"/>
  <c r="U211" i="1"/>
  <c r="T211" i="1"/>
  <c r="S211" i="1"/>
  <c r="R211" i="1"/>
  <c r="V210" i="1"/>
  <c r="U210" i="1"/>
  <c r="T210" i="1"/>
  <c r="S210" i="1"/>
  <c r="R210" i="1"/>
  <c r="V209" i="1"/>
  <c r="U209" i="1"/>
  <c r="T209" i="1"/>
  <c r="S209" i="1"/>
  <c r="R209" i="1"/>
  <c r="V208" i="1"/>
  <c r="U208" i="1"/>
  <c r="T208" i="1"/>
  <c r="S208" i="1"/>
  <c r="R208" i="1"/>
  <c r="V207" i="1"/>
  <c r="U207" i="1"/>
  <c r="T207" i="1"/>
  <c r="S207" i="1"/>
  <c r="R207" i="1"/>
  <c r="V206" i="1"/>
  <c r="U206" i="1"/>
  <c r="T206" i="1"/>
  <c r="S206" i="1"/>
  <c r="R206" i="1"/>
  <c r="V205" i="1"/>
  <c r="U205" i="1"/>
  <c r="T205" i="1"/>
  <c r="S205" i="1"/>
  <c r="R205" i="1"/>
  <c r="V203" i="1"/>
  <c r="U203" i="1"/>
  <c r="T203" i="1"/>
  <c r="S203" i="1"/>
  <c r="R203" i="1"/>
  <c r="V200" i="1"/>
  <c r="U200" i="1"/>
  <c r="T200" i="1"/>
  <c r="S200" i="1"/>
  <c r="R200" i="1"/>
  <c r="V199" i="1"/>
  <c r="U199" i="1"/>
  <c r="T199" i="1"/>
  <c r="S199" i="1"/>
  <c r="R199" i="1"/>
  <c r="V195" i="1"/>
  <c r="U195" i="1"/>
  <c r="S195" i="1"/>
  <c r="O195" i="1"/>
  <c r="H195" i="1"/>
  <c r="T195" i="1" s="1"/>
  <c r="V194" i="1"/>
  <c r="U194" i="1"/>
  <c r="T194" i="1"/>
  <c r="S194" i="1"/>
  <c r="R194" i="1"/>
  <c r="V193" i="1"/>
  <c r="U193" i="1"/>
  <c r="T193" i="1"/>
  <c r="S193" i="1"/>
  <c r="R193" i="1"/>
  <c r="V190" i="1"/>
  <c r="U190" i="1"/>
  <c r="S190" i="1"/>
  <c r="O190" i="1"/>
  <c r="K190" i="1"/>
  <c r="H190" i="1"/>
  <c r="D190" i="1"/>
  <c r="E167" i="1" s="1"/>
  <c r="V159" i="1"/>
  <c r="U159" i="1"/>
  <c r="S159" i="1"/>
  <c r="O159" i="1"/>
  <c r="H159" i="1"/>
  <c r="D159" i="1"/>
  <c r="E153" i="1" s="1"/>
  <c r="V158" i="1"/>
  <c r="U158" i="1"/>
  <c r="T158" i="1"/>
  <c r="S158" i="1"/>
  <c r="R158" i="1"/>
  <c r="V157" i="1"/>
  <c r="U157" i="1"/>
  <c r="T157" i="1"/>
  <c r="S157" i="1"/>
  <c r="R157" i="1"/>
  <c r="V156" i="1"/>
  <c r="U156" i="1"/>
  <c r="T156" i="1"/>
  <c r="S156" i="1"/>
  <c r="R156" i="1"/>
  <c r="V155" i="1"/>
  <c r="U155" i="1"/>
  <c r="T155" i="1"/>
  <c r="S155" i="1"/>
  <c r="R155" i="1"/>
  <c r="V153" i="1"/>
  <c r="U153" i="1"/>
  <c r="T153" i="1"/>
  <c r="S153" i="1"/>
  <c r="R153" i="1"/>
  <c r="V150" i="1"/>
  <c r="U150" i="1"/>
  <c r="S150" i="1"/>
  <c r="O150" i="1"/>
  <c r="H150" i="1"/>
  <c r="V149" i="1"/>
  <c r="U149" i="1"/>
  <c r="T149" i="1"/>
  <c r="V147" i="1"/>
  <c r="U147" i="1"/>
  <c r="T147" i="1"/>
  <c r="S147" i="1"/>
  <c r="R147" i="1"/>
  <c r="V146" i="1"/>
  <c r="U146" i="1"/>
  <c r="T146" i="1"/>
  <c r="S146" i="1"/>
  <c r="V144" i="1"/>
  <c r="U144" i="1"/>
  <c r="T144" i="1"/>
  <c r="S144" i="1"/>
  <c r="R144" i="1"/>
  <c r="T142" i="1"/>
  <c r="S142" i="1"/>
  <c r="V141" i="1"/>
  <c r="U141" i="1"/>
  <c r="T141" i="1"/>
  <c r="R141" i="1"/>
  <c r="S141" i="1"/>
  <c r="V140" i="1"/>
  <c r="U140" i="1"/>
  <c r="T140" i="1"/>
  <c r="V139" i="1"/>
  <c r="U139" i="1"/>
  <c r="T139" i="1"/>
  <c r="S139" i="1"/>
  <c r="R139" i="1"/>
  <c r="V138" i="1"/>
  <c r="U138" i="1"/>
  <c r="T138" i="1"/>
  <c r="R138" i="1"/>
  <c r="V137" i="1"/>
  <c r="U137" i="1"/>
  <c r="S137" i="1"/>
  <c r="R137" i="1"/>
  <c r="V135" i="1"/>
  <c r="U135" i="1"/>
  <c r="T135" i="1"/>
  <c r="S135" i="1"/>
  <c r="R135" i="1"/>
  <c r="V134" i="1"/>
  <c r="U134" i="1"/>
  <c r="T134" i="1"/>
  <c r="V133" i="1"/>
  <c r="U133" i="1"/>
  <c r="T133" i="1"/>
  <c r="V130" i="1"/>
  <c r="U130" i="1"/>
  <c r="T130" i="1"/>
  <c r="S130" i="1"/>
  <c r="V129" i="1"/>
  <c r="U129" i="1"/>
  <c r="T129" i="1"/>
  <c r="S129" i="1"/>
  <c r="R129" i="1"/>
  <c r="V128" i="1"/>
  <c r="U128" i="1"/>
  <c r="T128" i="1"/>
  <c r="S128" i="1"/>
  <c r="V127" i="1"/>
  <c r="U127" i="1"/>
  <c r="T127" i="1"/>
  <c r="S127" i="1"/>
  <c r="V126" i="1"/>
  <c r="U126" i="1"/>
  <c r="T126" i="1"/>
  <c r="S126" i="1"/>
  <c r="V124" i="1"/>
  <c r="U124" i="1"/>
  <c r="T124" i="1"/>
  <c r="S124" i="1"/>
  <c r="R124" i="1"/>
  <c r="V123" i="1"/>
  <c r="U123" i="1"/>
  <c r="T123" i="1"/>
  <c r="S123" i="1"/>
  <c r="R123" i="1"/>
  <c r="V122" i="1"/>
  <c r="U122" i="1"/>
  <c r="T122" i="1"/>
  <c r="S122" i="1"/>
  <c r="R122" i="1"/>
  <c r="V121" i="1"/>
  <c r="U121" i="1"/>
  <c r="T121" i="1"/>
  <c r="V120" i="1"/>
  <c r="U120" i="1"/>
  <c r="T120" i="1"/>
  <c r="V119" i="1"/>
  <c r="U119" i="1"/>
  <c r="T119" i="1"/>
  <c r="S119" i="1"/>
  <c r="V118" i="1"/>
  <c r="U118" i="1"/>
  <c r="T118" i="1"/>
  <c r="S118" i="1"/>
  <c r="V116" i="1"/>
  <c r="U116" i="1"/>
  <c r="T116" i="1"/>
  <c r="S116" i="1"/>
  <c r="V115" i="1"/>
  <c r="U115" i="1"/>
  <c r="T115" i="1"/>
  <c r="V114" i="1"/>
  <c r="U114" i="1"/>
  <c r="T114" i="1"/>
  <c r="R114" i="1"/>
  <c r="V110" i="1"/>
  <c r="U110" i="1"/>
  <c r="S110" i="1"/>
  <c r="O110" i="1"/>
  <c r="K110" i="1"/>
  <c r="L104" i="1" s="1"/>
  <c r="H110" i="1"/>
  <c r="D110" i="1"/>
  <c r="E96" i="1" s="1"/>
  <c r="V109" i="1"/>
  <c r="U109" i="1"/>
  <c r="T109" i="1"/>
  <c r="S109" i="1"/>
  <c r="R109" i="1"/>
  <c r="V108" i="1"/>
  <c r="U108" i="1"/>
  <c r="T108" i="1"/>
  <c r="S108" i="1"/>
  <c r="R108" i="1"/>
  <c r="V107" i="1"/>
  <c r="U107" i="1"/>
  <c r="T107" i="1"/>
  <c r="S107" i="1"/>
  <c r="R107" i="1"/>
  <c r="V106" i="1"/>
  <c r="U106" i="1"/>
  <c r="T106" i="1"/>
  <c r="S106" i="1"/>
  <c r="R106" i="1"/>
  <c r="V105" i="1"/>
  <c r="U105" i="1"/>
  <c r="T105" i="1"/>
  <c r="S105" i="1"/>
  <c r="R105" i="1"/>
  <c r="V103" i="1"/>
  <c r="U103" i="1"/>
  <c r="T103" i="1"/>
  <c r="S103" i="1"/>
  <c r="R103" i="1"/>
  <c r="V102" i="1"/>
  <c r="U102" i="1"/>
  <c r="T102" i="1"/>
  <c r="S102" i="1"/>
  <c r="R102" i="1"/>
  <c r="V101" i="1"/>
  <c r="U101" i="1"/>
  <c r="T101" i="1"/>
  <c r="S101" i="1"/>
  <c r="R101" i="1"/>
  <c r="V100" i="1"/>
  <c r="U100" i="1"/>
  <c r="T100" i="1"/>
  <c r="S100" i="1"/>
  <c r="R100" i="1"/>
  <c r="V99" i="1"/>
  <c r="U99" i="1"/>
  <c r="T99" i="1"/>
  <c r="S99" i="1"/>
  <c r="R99" i="1"/>
  <c r="V98" i="1"/>
  <c r="U98" i="1"/>
  <c r="T98" i="1"/>
  <c r="S98" i="1"/>
  <c r="R98" i="1"/>
  <c r="V97" i="1"/>
  <c r="U97" i="1"/>
  <c r="T97" i="1"/>
  <c r="S97" i="1"/>
  <c r="R97" i="1"/>
  <c r="V96" i="1"/>
  <c r="U96" i="1"/>
  <c r="T96" i="1"/>
  <c r="S96" i="1"/>
  <c r="R96" i="1"/>
  <c r="V95" i="1"/>
  <c r="U95" i="1"/>
  <c r="T95" i="1"/>
  <c r="S95" i="1"/>
  <c r="R95" i="1"/>
  <c r="V94" i="1"/>
  <c r="U94" i="1"/>
  <c r="T94" i="1"/>
  <c r="S94" i="1"/>
  <c r="V93" i="1"/>
  <c r="U93" i="1"/>
  <c r="T93" i="1"/>
  <c r="S93" i="1"/>
  <c r="R93" i="1"/>
  <c r="V92" i="1"/>
  <c r="U92" i="1"/>
  <c r="T92" i="1"/>
  <c r="S92" i="1"/>
  <c r="R92" i="1"/>
  <c r="V91" i="1"/>
  <c r="U91" i="1"/>
  <c r="T91" i="1"/>
  <c r="S91" i="1"/>
  <c r="R91" i="1"/>
  <c r="V90" i="1"/>
  <c r="U90" i="1"/>
  <c r="T90" i="1"/>
  <c r="S90" i="1"/>
  <c r="R90" i="1"/>
  <c r="V89" i="1"/>
  <c r="U89" i="1"/>
  <c r="T89" i="1"/>
  <c r="S89" i="1"/>
  <c r="R89" i="1"/>
  <c r="V88" i="1"/>
  <c r="U88" i="1"/>
  <c r="T88" i="1"/>
  <c r="S88" i="1"/>
  <c r="R88" i="1"/>
  <c r="V87" i="1"/>
  <c r="U87" i="1"/>
  <c r="T87" i="1"/>
  <c r="S87" i="1"/>
  <c r="R87" i="1"/>
  <c r="V86" i="1"/>
  <c r="U86" i="1"/>
  <c r="T86" i="1"/>
  <c r="S86" i="1"/>
  <c r="R86" i="1"/>
  <c r="V85" i="1"/>
  <c r="U85" i="1"/>
  <c r="T85" i="1"/>
  <c r="S85" i="1"/>
  <c r="R85" i="1"/>
  <c r="V84" i="1"/>
  <c r="U84" i="1"/>
  <c r="T84" i="1"/>
  <c r="S84" i="1"/>
  <c r="R84" i="1"/>
  <c r="V83" i="1"/>
  <c r="U83" i="1"/>
  <c r="T83" i="1"/>
  <c r="S83" i="1"/>
  <c r="R83" i="1"/>
  <c r="V81" i="1"/>
  <c r="U81" i="1"/>
  <c r="T81" i="1"/>
  <c r="S81" i="1"/>
  <c r="V80" i="1"/>
  <c r="U80" i="1"/>
  <c r="T80" i="1"/>
  <c r="S80" i="1"/>
  <c r="R80" i="1"/>
  <c r="V79" i="1"/>
  <c r="U79" i="1"/>
  <c r="T79" i="1"/>
  <c r="S79" i="1"/>
  <c r="R79" i="1"/>
  <c r="V78" i="1"/>
  <c r="U78" i="1"/>
  <c r="T78" i="1"/>
  <c r="S78" i="1"/>
  <c r="R78" i="1"/>
  <c r="V77" i="1"/>
  <c r="U77" i="1"/>
  <c r="T77" i="1"/>
  <c r="S77" i="1"/>
  <c r="R77" i="1"/>
  <c r="U76" i="1"/>
  <c r="T76" i="1"/>
  <c r="S76" i="1"/>
  <c r="R76" i="1"/>
  <c r="V75" i="1"/>
  <c r="U75" i="1"/>
  <c r="T75" i="1"/>
  <c r="S75" i="1"/>
  <c r="R75" i="1"/>
  <c r="V74" i="1"/>
  <c r="U74" i="1"/>
  <c r="T74" i="1"/>
  <c r="S74" i="1"/>
  <c r="R74" i="1"/>
  <c r="V73" i="1"/>
  <c r="U73" i="1"/>
  <c r="T73" i="1"/>
  <c r="S73" i="1"/>
  <c r="R73" i="1"/>
  <c r="V72" i="1"/>
  <c r="U72" i="1"/>
  <c r="T72" i="1"/>
  <c r="S72" i="1"/>
  <c r="R72" i="1"/>
  <c r="V69" i="1"/>
  <c r="U69" i="1"/>
  <c r="S69" i="1"/>
  <c r="O69" i="1"/>
  <c r="K69" i="1"/>
  <c r="L36" i="1" s="1"/>
  <c r="H69" i="1"/>
  <c r="D69" i="1"/>
  <c r="B14" i="2" s="1"/>
  <c r="B4" i="2" s="1"/>
  <c r="V68" i="1"/>
  <c r="U68" i="1"/>
  <c r="T68" i="1"/>
  <c r="S68" i="1"/>
  <c r="R68" i="1"/>
  <c r="V67" i="1"/>
  <c r="U67" i="1"/>
  <c r="T67" i="1"/>
  <c r="S67" i="1"/>
  <c r="R67" i="1"/>
  <c r="V66" i="1"/>
  <c r="U66" i="1"/>
  <c r="T66" i="1"/>
  <c r="S66" i="1"/>
  <c r="R66" i="1"/>
  <c r="V65" i="1"/>
  <c r="U65" i="1"/>
  <c r="T65" i="1"/>
  <c r="S65" i="1"/>
  <c r="R65" i="1"/>
  <c r="V64" i="1"/>
  <c r="U64" i="1"/>
  <c r="T64" i="1"/>
  <c r="S64" i="1"/>
  <c r="R64" i="1"/>
  <c r="V63" i="1"/>
  <c r="U63" i="1"/>
  <c r="T63" i="1"/>
  <c r="S63" i="1"/>
  <c r="R63" i="1"/>
  <c r="V62" i="1"/>
  <c r="U62" i="1"/>
  <c r="T62" i="1"/>
  <c r="S62" i="1"/>
  <c r="R62" i="1"/>
  <c r="V61" i="1"/>
  <c r="U61" i="1"/>
  <c r="T61" i="1"/>
  <c r="S61" i="1"/>
  <c r="R61" i="1"/>
  <c r="V60" i="1"/>
  <c r="U60" i="1"/>
  <c r="T60" i="1"/>
  <c r="S60" i="1"/>
  <c r="R60" i="1"/>
  <c r="V59" i="1"/>
  <c r="U59" i="1"/>
  <c r="T59" i="1"/>
  <c r="S59" i="1"/>
  <c r="R59" i="1"/>
  <c r="V57" i="1"/>
  <c r="U57" i="1"/>
  <c r="T57" i="1"/>
  <c r="S57" i="1"/>
  <c r="R57" i="1"/>
  <c r="V56" i="1"/>
  <c r="U56" i="1"/>
  <c r="T56" i="1"/>
  <c r="S56" i="1"/>
  <c r="R56" i="1"/>
  <c r="V55" i="1"/>
  <c r="U55" i="1"/>
  <c r="T55" i="1"/>
  <c r="S55" i="1"/>
  <c r="R55" i="1"/>
  <c r="V54" i="1"/>
  <c r="U54" i="1"/>
  <c r="T54" i="1"/>
  <c r="S54" i="1"/>
  <c r="R54" i="1"/>
  <c r="V53" i="1"/>
  <c r="U53" i="1"/>
  <c r="T53" i="1"/>
  <c r="S53" i="1"/>
  <c r="V51" i="1"/>
  <c r="U51" i="1"/>
  <c r="T51" i="1"/>
  <c r="S51" i="1"/>
  <c r="R51" i="1"/>
  <c r="V50" i="1"/>
  <c r="U50" i="1"/>
  <c r="T50" i="1"/>
  <c r="S50" i="1"/>
  <c r="R50" i="1"/>
  <c r="V48" i="1"/>
  <c r="U48" i="1"/>
  <c r="T48" i="1"/>
  <c r="S48" i="1"/>
  <c r="R48" i="1"/>
  <c r="V47" i="1"/>
  <c r="U47" i="1"/>
  <c r="T47" i="1"/>
  <c r="S47" i="1"/>
  <c r="R47" i="1"/>
  <c r="V46" i="1"/>
  <c r="U46" i="1"/>
  <c r="T46" i="1"/>
  <c r="S46" i="1"/>
  <c r="R46" i="1"/>
  <c r="V44" i="1"/>
  <c r="U44" i="1"/>
  <c r="T44" i="1"/>
  <c r="S44" i="1"/>
  <c r="R44" i="1"/>
  <c r="V43" i="1"/>
  <c r="U43" i="1"/>
  <c r="T43" i="1"/>
  <c r="S43" i="1"/>
  <c r="R43" i="1"/>
  <c r="V42" i="1"/>
  <c r="U42" i="1"/>
  <c r="T42" i="1"/>
  <c r="S42" i="1"/>
  <c r="R42" i="1"/>
  <c r="V41" i="1"/>
  <c r="U41" i="1"/>
  <c r="T41" i="1"/>
  <c r="S41" i="1"/>
  <c r="R41" i="1"/>
  <c r="V40" i="1"/>
  <c r="U40" i="1"/>
  <c r="T40" i="1"/>
  <c r="S40" i="1"/>
  <c r="R40" i="1"/>
  <c r="V39" i="1"/>
  <c r="U39" i="1"/>
  <c r="T39" i="1"/>
  <c r="S39" i="1"/>
  <c r="R39" i="1"/>
  <c r="V38" i="1"/>
  <c r="U38" i="1"/>
  <c r="T38" i="1"/>
  <c r="S38" i="1"/>
  <c r="R38" i="1"/>
  <c r="V37" i="1"/>
  <c r="U37" i="1"/>
  <c r="T37" i="1"/>
  <c r="S37" i="1"/>
  <c r="R37" i="1"/>
  <c r="V36" i="1"/>
  <c r="U36" i="1"/>
  <c r="T36" i="1"/>
  <c r="S36" i="1"/>
  <c r="R36" i="1"/>
  <c r="V35" i="1"/>
  <c r="U35" i="1"/>
  <c r="T35" i="1"/>
  <c r="S35" i="1"/>
  <c r="R35" i="1"/>
  <c r="V33" i="1"/>
  <c r="U33" i="1"/>
  <c r="T33" i="1"/>
  <c r="S33" i="1"/>
  <c r="R33" i="1"/>
  <c r="V31" i="1"/>
  <c r="U31" i="1"/>
  <c r="T31" i="1"/>
  <c r="S31" i="1"/>
  <c r="V30" i="1"/>
  <c r="U30" i="1"/>
  <c r="T30" i="1"/>
  <c r="S30" i="1"/>
  <c r="R30" i="1"/>
  <c r="V29" i="1"/>
  <c r="U29" i="1"/>
  <c r="T29" i="1"/>
  <c r="S29" i="1"/>
  <c r="R29" i="1"/>
  <c r="V28" i="1"/>
  <c r="U28" i="1"/>
  <c r="T28" i="1"/>
  <c r="S28" i="1"/>
  <c r="R28" i="1"/>
  <c r="V25" i="1"/>
  <c r="U25" i="1"/>
  <c r="S25" i="1"/>
  <c r="O25" i="1"/>
  <c r="K25" i="1"/>
  <c r="L19" i="1" s="1"/>
  <c r="H25" i="1"/>
  <c r="D25" i="1"/>
  <c r="E23" i="1" s="1"/>
  <c r="V24" i="1"/>
  <c r="U24" i="1"/>
  <c r="T24" i="1"/>
  <c r="S24" i="1"/>
  <c r="R24" i="1"/>
  <c r="V22" i="1"/>
  <c r="U22" i="1"/>
  <c r="T22" i="1"/>
  <c r="S22" i="1"/>
  <c r="R22" i="1"/>
  <c r="V21" i="1"/>
  <c r="U21" i="1"/>
  <c r="T21" i="1"/>
  <c r="S21" i="1"/>
  <c r="R21" i="1"/>
  <c r="V20" i="1"/>
  <c r="U20" i="1"/>
  <c r="T20" i="1"/>
  <c r="S20" i="1"/>
  <c r="R20" i="1"/>
  <c r="V19" i="1"/>
  <c r="U19" i="1"/>
  <c r="T19" i="1"/>
  <c r="S19" i="1"/>
  <c r="R19" i="1"/>
  <c r="V18" i="1"/>
  <c r="U18" i="1"/>
  <c r="T18" i="1"/>
  <c r="S18" i="1"/>
  <c r="R18" i="1"/>
  <c r="V17" i="1"/>
  <c r="U17" i="1"/>
  <c r="T17" i="1"/>
  <c r="S17" i="1"/>
  <c r="R17" i="1"/>
  <c r="V16" i="1"/>
  <c r="U16" i="1"/>
  <c r="T16" i="1"/>
  <c r="S16" i="1"/>
  <c r="R16" i="1"/>
  <c r="V15" i="1"/>
  <c r="U15" i="1"/>
  <c r="T15" i="1"/>
  <c r="S15" i="1"/>
  <c r="V14" i="1"/>
  <c r="U14" i="1"/>
  <c r="T14" i="1"/>
  <c r="S14" i="1"/>
  <c r="R14" i="1"/>
  <c r="V13" i="1"/>
  <c r="U13" i="1"/>
  <c r="T13" i="1"/>
  <c r="S13" i="1"/>
  <c r="R13" i="1"/>
  <c r="V12" i="1"/>
  <c r="U12" i="1"/>
  <c r="T12" i="1"/>
  <c r="S12" i="1"/>
  <c r="R12" i="1"/>
  <c r="V11" i="1"/>
  <c r="U11" i="1"/>
  <c r="T11" i="1"/>
  <c r="S11" i="1"/>
  <c r="R11" i="1"/>
  <c r="V10" i="1"/>
  <c r="U10" i="1"/>
  <c r="T10" i="1"/>
  <c r="S10" i="1"/>
  <c r="R10" i="1"/>
  <c r="V9" i="1"/>
  <c r="U9" i="1"/>
  <c r="T9" i="1"/>
  <c r="S9" i="1"/>
  <c r="R9" i="1"/>
  <c r="V8" i="1"/>
  <c r="U8" i="1"/>
  <c r="T8" i="1"/>
  <c r="S8" i="1"/>
  <c r="R8" i="1"/>
  <c r="V7" i="1"/>
  <c r="U7" i="1"/>
  <c r="T7" i="1"/>
  <c r="S7" i="1"/>
  <c r="R7" i="1"/>
  <c r="V6" i="1"/>
  <c r="U6" i="1"/>
  <c r="T6" i="1"/>
  <c r="S6" i="1"/>
  <c r="D4" i="5"/>
  <c r="D3" i="5" s="1"/>
  <c r="D150" i="1"/>
  <c r="E139" i="1" s="1"/>
  <c r="R116" i="1"/>
  <c r="R119" i="1"/>
  <c r="R130" i="1"/>
  <c r="R134" i="1"/>
  <c r="R142" i="1"/>
  <c r="R146" i="1"/>
  <c r="F12" i="4" l="1"/>
  <c r="E88" i="1"/>
  <c r="E234" i="1"/>
  <c r="E98" i="1"/>
  <c r="E100" i="1"/>
  <c r="G12" i="4"/>
  <c r="E157" i="1"/>
  <c r="E4" i="5"/>
  <c r="E3" i="5" s="1"/>
  <c r="E91" i="1"/>
  <c r="E104" i="1"/>
  <c r="E78" i="1"/>
  <c r="L170" i="1"/>
  <c r="L188" i="1"/>
  <c r="L189" i="1"/>
  <c r="E103" i="1"/>
  <c r="E90" i="1"/>
  <c r="I12" i="4"/>
  <c r="H12" i="4"/>
  <c r="E45" i="1"/>
  <c r="E193" i="1"/>
  <c r="E194" i="1"/>
  <c r="E108" i="1"/>
  <c r="E13" i="1"/>
  <c r="E17" i="1"/>
  <c r="E15" i="1"/>
  <c r="E34" i="1"/>
  <c r="E14" i="1"/>
  <c r="C4" i="5"/>
  <c r="C3" i="5" s="1"/>
  <c r="C12" i="4"/>
  <c r="B4" i="5"/>
  <c r="B3" i="5" s="1"/>
  <c r="T159" i="1"/>
  <c r="E89" i="1"/>
  <c r="E106" i="1"/>
  <c r="E85" i="1"/>
  <c r="E79" i="1"/>
  <c r="E93" i="1"/>
  <c r="E248" i="1"/>
  <c r="E77" i="1"/>
  <c r="E74" i="1"/>
  <c r="E181" i="1"/>
  <c r="E109" i="1"/>
  <c r="E72" i="1"/>
  <c r="E185" i="1"/>
  <c r="E84" i="1"/>
  <c r="E81" i="1"/>
  <c r="T110" i="1"/>
  <c r="E80" i="1"/>
  <c r="E75" i="1"/>
  <c r="E140" i="1"/>
  <c r="E107" i="1"/>
  <c r="E97" i="1"/>
  <c r="B15" i="2"/>
  <c r="B5" i="2" s="1"/>
  <c r="E86" i="1"/>
  <c r="B16" i="2"/>
  <c r="B6" i="2" s="1"/>
  <c r="E82" i="1"/>
  <c r="E105" i="1"/>
  <c r="E102" i="1"/>
  <c r="E101" i="1"/>
  <c r="E16" i="1"/>
  <c r="E9" i="1"/>
  <c r="E20" i="1"/>
  <c r="E243" i="1"/>
  <c r="E18" i="1"/>
  <c r="B13" i="2"/>
  <c r="B3" i="2" s="1"/>
  <c r="E6" i="1"/>
  <c r="E10" i="1"/>
  <c r="E24" i="1"/>
  <c r="E11" i="1"/>
  <c r="E204" i="1"/>
  <c r="E228" i="1"/>
  <c r="E12" i="1"/>
  <c r="E21" i="1"/>
  <c r="E7" i="1"/>
  <c r="E22" i="1"/>
  <c r="E8" i="1"/>
  <c r="E126" i="1"/>
  <c r="E19" i="1"/>
  <c r="L234" i="1"/>
  <c r="R235" i="1"/>
  <c r="L78" i="1"/>
  <c r="L101" i="1"/>
  <c r="L227" i="1"/>
  <c r="L228" i="1"/>
  <c r="L226" i="1"/>
  <c r="R230" i="1"/>
  <c r="E205" i="1"/>
  <c r="B20" i="2"/>
  <c r="B10" i="2" s="1"/>
  <c r="E203" i="1"/>
  <c r="E210" i="1"/>
  <c r="E208" i="1"/>
  <c r="E226" i="1"/>
  <c r="E225" i="1"/>
  <c r="E213" i="1"/>
  <c r="E220" i="1"/>
  <c r="E211" i="1"/>
  <c r="E218" i="1"/>
  <c r="E180" i="1"/>
  <c r="E188" i="1"/>
  <c r="E169" i="1"/>
  <c r="E163" i="1"/>
  <c r="E175" i="1"/>
  <c r="E184" i="1"/>
  <c r="E48" i="1"/>
  <c r="E166" i="1"/>
  <c r="E186" i="1"/>
  <c r="E177" i="1"/>
  <c r="E168" i="1"/>
  <c r="E189" i="1"/>
  <c r="E179" i="1"/>
  <c r="E164" i="1"/>
  <c r="E176" i="1"/>
  <c r="E170" i="1"/>
  <c r="E182" i="1"/>
  <c r="E171" i="1"/>
  <c r="E183" i="1"/>
  <c r="E162" i="1"/>
  <c r="E187" i="1"/>
  <c r="E174" i="1"/>
  <c r="E165" i="1"/>
  <c r="E178" i="1"/>
  <c r="E172" i="1"/>
  <c r="B18" i="2"/>
  <c r="B8" i="2" s="1"/>
  <c r="E173" i="1"/>
  <c r="E156" i="1"/>
  <c r="E158" i="1"/>
  <c r="E143" i="1"/>
  <c r="E116" i="1"/>
  <c r="E133" i="1"/>
  <c r="E145" i="1"/>
  <c r="E125" i="1"/>
  <c r="E117" i="1"/>
  <c r="E141" i="1"/>
  <c r="E118" i="1"/>
  <c r="E136" i="1"/>
  <c r="L225" i="1"/>
  <c r="L158" i="1"/>
  <c r="L153" i="1"/>
  <c r="B6" i="3"/>
  <c r="L229" i="1"/>
  <c r="T221" i="1"/>
  <c r="L155" i="1"/>
  <c r="L154" i="1"/>
  <c r="L157" i="1"/>
  <c r="C17" i="2"/>
  <c r="C7" i="2" s="1"/>
  <c r="E247" i="1"/>
  <c r="E245" i="1"/>
  <c r="L239" i="1"/>
  <c r="R195" i="1"/>
  <c r="L194" i="1"/>
  <c r="L193" i="1"/>
  <c r="B2" i="3"/>
  <c r="C19" i="2"/>
  <c r="C9" i="2" s="1"/>
  <c r="L210" i="1"/>
  <c r="L200" i="1"/>
  <c r="L211" i="1"/>
  <c r="L213" i="1"/>
  <c r="C20" i="2"/>
  <c r="C10" i="2" s="1"/>
  <c r="L199" i="1"/>
  <c r="L215" i="1"/>
  <c r="L209" i="1"/>
  <c r="L206" i="1"/>
  <c r="B4" i="3"/>
  <c r="L204" i="1"/>
  <c r="L214" i="1"/>
  <c r="L212" i="1"/>
  <c r="T25" i="1"/>
  <c r="L23" i="1"/>
  <c r="L11" i="1"/>
  <c r="B3" i="3"/>
  <c r="L20" i="1"/>
  <c r="L17" i="1"/>
  <c r="L22" i="1"/>
  <c r="L16" i="1"/>
  <c r="L18" i="1"/>
  <c r="L7" i="1"/>
  <c r="L13" i="1"/>
  <c r="L14" i="1"/>
  <c r="L12" i="1"/>
  <c r="L9" i="1"/>
  <c r="L10" i="1"/>
  <c r="L34" i="1"/>
  <c r="L8" i="1"/>
  <c r="L6" i="1"/>
  <c r="L24" i="1"/>
  <c r="C13" i="2"/>
  <c r="C3" i="2" s="1"/>
  <c r="L21" i="1"/>
  <c r="R25" i="1"/>
  <c r="L15" i="1"/>
  <c r="L94" i="1"/>
  <c r="L90" i="1"/>
  <c r="L248" i="1"/>
  <c r="L243" i="1"/>
  <c r="L245" i="1"/>
  <c r="L241" i="1"/>
  <c r="L207" i="1"/>
  <c r="L219" i="1"/>
  <c r="L205" i="1"/>
  <c r="L208" i="1"/>
  <c r="L220" i="1"/>
  <c r="E30" i="1"/>
  <c r="T250" i="1"/>
  <c r="L246" i="1"/>
  <c r="L249" i="1"/>
  <c r="L244" i="1"/>
  <c r="L242" i="1"/>
  <c r="L240" i="1"/>
  <c r="L238" i="1"/>
  <c r="K150" i="1"/>
  <c r="L118" i="1" s="1"/>
  <c r="R118" i="1"/>
  <c r="R121" i="1"/>
  <c r="T69" i="1"/>
  <c r="L32" i="1"/>
  <c r="E55" i="1"/>
  <c r="L33" i="1"/>
  <c r="L43" i="1"/>
  <c r="E68" i="1"/>
  <c r="L63" i="1"/>
  <c r="L62" i="1"/>
  <c r="L67" i="1"/>
  <c r="E63" i="1"/>
  <c r="L47" i="1"/>
  <c r="E46" i="1"/>
  <c r="L31" i="1"/>
  <c r="E35" i="1"/>
  <c r="E61" i="1"/>
  <c r="E43" i="1"/>
  <c r="L29" i="1"/>
  <c r="E47" i="1"/>
  <c r="E31" i="1"/>
  <c r="E66" i="1"/>
  <c r="E95" i="1"/>
  <c r="L60" i="1"/>
  <c r="L42" i="1"/>
  <c r="E28" i="1"/>
  <c r="L46" i="1"/>
  <c r="L30" i="1"/>
  <c r="E64" i="1"/>
  <c r="L44" i="1"/>
  <c r="E59" i="1"/>
  <c r="E41" i="1"/>
  <c r="E44" i="1"/>
  <c r="E29" i="1"/>
  <c r="E62" i="1"/>
  <c r="E58" i="1"/>
  <c r="L57" i="1"/>
  <c r="L40" i="1"/>
  <c r="E42" i="1"/>
  <c r="L28" i="1"/>
  <c r="E60" i="1"/>
  <c r="B9" i="3"/>
  <c r="E56" i="1"/>
  <c r="E39" i="1"/>
  <c r="L41" i="1"/>
  <c r="E57" i="1"/>
  <c r="L95" i="1"/>
  <c r="L68" i="1"/>
  <c r="L55" i="1"/>
  <c r="E40" i="1"/>
  <c r="L51" i="1"/>
  <c r="L49" i="1"/>
  <c r="L52" i="1"/>
  <c r="E67" i="1"/>
  <c r="E54" i="1"/>
  <c r="E38" i="1"/>
  <c r="L39" i="1"/>
  <c r="L54" i="1"/>
  <c r="E49" i="1"/>
  <c r="L45" i="1"/>
  <c r="E52" i="1"/>
  <c r="C14" i="2"/>
  <c r="C4" i="2" s="1"/>
  <c r="L66" i="1"/>
  <c r="L53" i="1"/>
  <c r="L37" i="1"/>
  <c r="L65" i="1"/>
  <c r="L35" i="1"/>
  <c r="L58" i="1"/>
  <c r="E65" i="1"/>
  <c r="E51" i="1"/>
  <c r="E36" i="1"/>
  <c r="L38" i="1"/>
  <c r="E50" i="1"/>
  <c r="L56" i="1"/>
  <c r="E32" i="1"/>
  <c r="L64" i="1"/>
  <c r="L50" i="1"/>
  <c r="E33" i="1"/>
  <c r="E37" i="1"/>
  <c r="E53" i="1"/>
  <c r="L59" i="1"/>
  <c r="L61" i="1"/>
  <c r="R69" i="1"/>
  <c r="E241" i="1"/>
  <c r="E239" i="1"/>
  <c r="E242" i="1"/>
  <c r="E244" i="1"/>
  <c r="E246" i="1"/>
  <c r="E249" i="1"/>
  <c r="E240" i="1"/>
  <c r="R250" i="1"/>
  <c r="E219" i="1"/>
  <c r="E206" i="1"/>
  <c r="E199" i="1"/>
  <c r="E200" i="1"/>
  <c r="E215" i="1"/>
  <c r="E209" i="1"/>
  <c r="E227" i="1"/>
  <c r="E229" i="1"/>
  <c r="E214" i="1"/>
  <c r="R221" i="1"/>
  <c r="E212" i="1"/>
  <c r="T190" i="1"/>
  <c r="H222" i="1"/>
  <c r="H251" i="1" s="1"/>
  <c r="B17" i="2"/>
  <c r="B7" i="2" s="1"/>
  <c r="E155" i="1"/>
  <c r="R159" i="1"/>
  <c r="T150" i="1"/>
  <c r="E122" i="1"/>
  <c r="E149" i="1"/>
  <c r="E135" i="1"/>
  <c r="E123" i="1"/>
  <c r="E146" i="1"/>
  <c r="E128" i="1"/>
  <c r="E127" i="1"/>
  <c r="E138" i="1"/>
  <c r="E142" i="1"/>
  <c r="E130" i="1"/>
  <c r="E144" i="1"/>
  <c r="E134" i="1"/>
  <c r="E124" i="1"/>
  <c r="E119" i="1"/>
  <c r="E114" i="1"/>
  <c r="E137" i="1"/>
  <c r="E129" i="1"/>
  <c r="E115" i="1"/>
  <c r="E121" i="1"/>
  <c r="E83" i="1"/>
  <c r="E99" i="1"/>
  <c r="E94" i="1"/>
  <c r="E73" i="1"/>
  <c r="E87" i="1"/>
  <c r="E92" i="1"/>
  <c r="D222" i="1"/>
  <c r="E25" i="1" s="1"/>
  <c r="J12" i="4"/>
  <c r="O222" i="1"/>
  <c r="O251" i="1" s="1"/>
  <c r="L179" i="1"/>
  <c r="L171" i="1"/>
  <c r="L182" i="1"/>
  <c r="R190" i="1"/>
  <c r="B5" i="3"/>
  <c r="L162" i="1"/>
  <c r="L183" i="1"/>
  <c r="L48" i="1"/>
  <c r="L174" i="1"/>
  <c r="L173" i="1"/>
  <c r="L186" i="1"/>
  <c r="L172" i="1"/>
  <c r="L165" i="1"/>
  <c r="L166" i="1"/>
  <c r="L181" i="1"/>
  <c r="L178" i="1"/>
  <c r="C18" i="2"/>
  <c r="C8" i="2" s="1"/>
  <c r="L177" i="1"/>
  <c r="L185" i="1"/>
  <c r="L167" i="1"/>
  <c r="L184" i="1"/>
  <c r="L163" i="1"/>
  <c r="L169" i="1"/>
  <c r="L164" i="1"/>
  <c r="L175" i="1"/>
  <c r="L176" i="1"/>
  <c r="L187" i="1"/>
  <c r="L180" i="1"/>
  <c r="L168" i="1"/>
  <c r="L72" i="1"/>
  <c r="L98" i="1"/>
  <c r="L75" i="1"/>
  <c r="L96" i="1"/>
  <c r="L99" i="1"/>
  <c r="L106" i="1"/>
  <c r="L92" i="1"/>
  <c r="L73" i="1"/>
  <c r="L82" i="1"/>
  <c r="L136" i="1"/>
  <c r="L83" i="1"/>
  <c r="E76" i="1"/>
  <c r="L88" i="1"/>
  <c r="R110" i="1"/>
  <c r="L91" i="1"/>
  <c r="L86" i="1"/>
  <c r="L80" i="1"/>
  <c r="L84" i="1"/>
  <c r="C15" i="2"/>
  <c r="C5" i="2" s="1"/>
  <c r="L89" i="1"/>
  <c r="L97" i="1"/>
  <c r="L105" i="1"/>
  <c r="L81" i="1"/>
  <c r="B7" i="3"/>
  <c r="L87" i="1"/>
  <c r="L79" i="1"/>
  <c r="L107" i="1"/>
  <c r="L77" i="1"/>
  <c r="L102" i="1"/>
  <c r="L76" i="1"/>
  <c r="L93" i="1"/>
  <c r="L103" i="1"/>
  <c r="L109" i="1"/>
  <c r="L100" i="1"/>
  <c r="L74" i="1"/>
  <c r="L85" i="1"/>
  <c r="L108" i="1"/>
  <c r="L142" i="1" l="1"/>
  <c r="B8" i="3"/>
  <c r="L137" i="1"/>
  <c r="L128" i="1"/>
  <c r="L146" i="1"/>
  <c r="L143" i="1"/>
  <c r="L123" i="1"/>
  <c r="L140" i="1"/>
  <c r="L129" i="1"/>
  <c r="L124" i="1"/>
  <c r="R150" i="1"/>
  <c r="L121" i="1"/>
  <c r="L120" i="1"/>
  <c r="C16" i="2"/>
  <c r="C6" i="2" s="1"/>
  <c r="L147" i="1"/>
  <c r="L135" i="1"/>
  <c r="L145" i="1"/>
  <c r="K222" i="1"/>
  <c r="L150" i="1" s="1"/>
  <c r="L117" i="1"/>
  <c r="L116" i="1"/>
  <c r="L130" i="1"/>
  <c r="L148" i="1"/>
  <c r="L119" i="1"/>
  <c r="L114" i="1"/>
  <c r="L141" i="1"/>
  <c r="L139" i="1"/>
  <c r="L122" i="1"/>
  <c r="L138" i="1"/>
  <c r="L125" i="1"/>
  <c r="L144" i="1"/>
  <c r="L126" i="1"/>
  <c r="L133" i="1"/>
  <c r="L134" i="1"/>
  <c r="L115" i="1"/>
  <c r="L127" i="1"/>
  <c r="L149" i="1"/>
  <c r="E221" i="1"/>
  <c r="D251" i="1"/>
  <c r="E159" i="1"/>
  <c r="E195" i="1"/>
  <c r="E110" i="1"/>
  <c r="E190" i="1"/>
  <c r="E150" i="1"/>
  <c r="E69" i="1"/>
  <c r="L25" i="1" l="1"/>
  <c r="L69" i="1"/>
  <c r="L159" i="1"/>
  <c r="R222" i="1"/>
  <c r="L195" i="1"/>
  <c r="L190" i="1"/>
  <c r="K251" i="1"/>
  <c r="L221" i="1"/>
  <c r="L110" i="1"/>
</calcChain>
</file>

<file path=xl/sharedStrings.xml><?xml version="1.0" encoding="utf-8"?>
<sst xmlns="http://schemas.openxmlformats.org/spreadsheetml/2006/main" count="514" uniqueCount="325">
  <si>
    <t>% Change (Current from Previous)</t>
  </si>
  <si>
    <t>Difference</t>
  </si>
  <si>
    <t>S/N</t>
  </si>
  <si>
    <t>FUND</t>
  </si>
  <si>
    <t>FUND MANAGER</t>
  </si>
  <si>
    <t>NAV (N)</t>
  </si>
  <si>
    <t>% to Total</t>
  </si>
  <si>
    <t>Bid Price (N)</t>
  </si>
  <si>
    <t>Offer Price (N)</t>
  </si>
  <si>
    <t>Unitholders</t>
  </si>
  <si>
    <t>Yield (WTD)</t>
  </si>
  <si>
    <t>Yield  (YTD)</t>
  </si>
  <si>
    <t>NAV (%)</t>
  </si>
  <si>
    <t>Unit Price (%)</t>
  </si>
  <si>
    <t>Uniholders</t>
  </si>
  <si>
    <t>Yield (%) WYD</t>
  </si>
  <si>
    <t>Yield (%) YTD</t>
  </si>
  <si>
    <t>EQUITY BASED FUNDS</t>
  </si>
  <si>
    <t>Afrinvest Equity Fund</t>
  </si>
  <si>
    <t>Afrinvest Asset Mgt Ltd.</t>
  </si>
  <si>
    <t>Anchoria Equity Fund</t>
  </si>
  <si>
    <t>Anchoria Asset Management Limited</t>
  </si>
  <si>
    <t>ARM Aggressive Growth Fund</t>
  </si>
  <si>
    <t>ARM Investment Managers Limited</t>
  </si>
  <si>
    <t>AXA Mansard Equity Income Fund</t>
  </si>
  <si>
    <t>AXA Mansard Investments Limited</t>
  </si>
  <si>
    <t>CardinalStone Equity Fund</t>
  </si>
  <si>
    <t>CardinalStone Asset Mgt. Limited</t>
  </si>
  <si>
    <t>Cowry Equity Fund</t>
  </si>
  <si>
    <t>Cowry Treasurers Limited</t>
  </si>
  <si>
    <t>FBN Nigeria Smart Beta Equity Fund</t>
  </si>
  <si>
    <t>FBNQuest Asset Management Limited</t>
  </si>
  <si>
    <t>Frontier Fund</t>
  </si>
  <si>
    <t>SCM Capital Limited</t>
  </si>
  <si>
    <t>Futureview Equity Fund</t>
  </si>
  <si>
    <t>Futureview Asset Management Limited</t>
  </si>
  <si>
    <t>Guaranty Trust Equity Income Fund</t>
  </si>
  <si>
    <t>Guaranty Trust Fund Managers</t>
  </si>
  <si>
    <t>Halo Equity Fund</t>
  </si>
  <si>
    <t>Halo Asset Management Limited</t>
  </si>
  <si>
    <t>Legacy Equity Fund</t>
  </si>
  <si>
    <t>FCMB Asset Management Limited</t>
  </si>
  <si>
    <t>Meristem Equity Market Fund</t>
  </si>
  <si>
    <t>Meristem Wealth Management Limited</t>
  </si>
  <si>
    <t>PACAM Equity Fund</t>
  </si>
  <si>
    <t>PAC Asset Management Limited</t>
  </si>
  <si>
    <t>Paramount Equity Fund</t>
  </si>
  <si>
    <t>Chapel Hill Denham Mgt. Limited</t>
  </si>
  <si>
    <t>Stanbic IBTC Aggressive Fund (Sub Fund)</t>
  </si>
  <si>
    <t>Stanbic IBTC Asset Mgt. Limited</t>
  </si>
  <si>
    <t>Stanbic IBTC Nigerian Equity Fund</t>
  </si>
  <si>
    <t>United Capital Equity Fund</t>
  </si>
  <si>
    <t>United Capital Asset Mgt. Ltd</t>
  </si>
  <si>
    <t>Sub-Total</t>
  </si>
  <si>
    <t>MONEY MARKET FUNDS</t>
  </si>
  <si>
    <t>Afrinvest Plutus Fund</t>
  </si>
  <si>
    <t>AIICO Money Market Fund</t>
  </si>
  <si>
    <t>AIICO Capital Ltd</t>
  </si>
  <si>
    <t>Anchoria Money Market Fund</t>
  </si>
  <si>
    <t>ARM Money Market Fund</t>
  </si>
  <si>
    <t>AXA Mansard Money Market Fund</t>
  </si>
  <si>
    <t>Chapel Hill Denham Money Market Fund</t>
  </si>
  <si>
    <t>Comercio Partners Money Market Fund</t>
  </si>
  <si>
    <t>Comercio Partners Asset Management Limited</t>
  </si>
  <si>
    <t>Coral Money Market Fund</t>
  </si>
  <si>
    <t>FSDH Asset Management Ltd</t>
  </si>
  <si>
    <t>Cordros Money Market Fund</t>
  </si>
  <si>
    <t>Cordros Asset Management Limited</t>
  </si>
  <si>
    <t>Coronation Money Market Fund</t>
  </si>
  <si>
    <t>EDC Money Market Fund Class A</t>
  </si>
  <si>
    <t>EDC Fund Management Limited</t>
  </si>
  <si>
    <t>EDC Money Market Fund Class B</t>
  </si>
  <si>
    <t>Emerging Africa Money Market Fund</t>
  </si>
  <si>
    <t>Emerging Africa Asset Management Limited</t>
  </si>
  <si>
    <t>FBN Money Market Fund</t>
  </si>
  <si>
    <t>First Ally Money Market Fund</t>
  </si>
  <si>
    <t>First Ally Asset Management Limited</t>
  </si>
  <si>
    <t>GDL Money Market Fund</t>
  </si>
  <si>
    <t>Growth &amp; Development Asset Management Limited</t>
  </si>
  <si>
    <t>Greenwich Plus Money Market Fund</t>
  </si>
  <si>
    <t>Greenwich Asset Management Limited</t>
  </si>
  <si>
    <t>GTI  Money Market Fund</t>
  </si>
  <si>
    <t>GTI Asset Management &amp; Trust Limited</t>
  </si>
  <si>
    <t>Guaranty Trust Money Market Fund</t>
  </si>
  <si>
    <t>Legacy Money Market Fund</t>
  </si>
  <si>
    <t>Meristem Money Market Fund</t>
  </si>
  <si>
    <t>Norrenberger Money Market Fund</t>
  </si>
  <si>
    <t>Norrenberger Investment &amp; Capital Mgt. Ltd.</t>
  </si>
  <si>
    <t>Nova Prime Money Market Fund</t>
  </si>
  <si>
    <t xml:space="preserve">Novambl Asset Management </t>
  </si>
  <si>
    <t>PACAM Money Market Fund</t>
  </si>
  <si>
    <t>Page Money Market Fund</t>
  </si>
  <si>
    <t>Page Asset Management Limited</t>
  </si>
  <si>
    <t>RMBN Money Market Fund</t>
  </si>
  <si>
    <t>RMB Nigeria Asset Management Ltd.</t>
  </si>
  <si>
    <t>RT Briscoe Savings &amp; Investment Fund</t>
  </si>
  <si>
    <t>DLM Asset Management Limited</t>
  </si>
  <si>
    <t>Stanbic IBTC Money Market Fund</t>
  </si>
  <si>
    <t>STL Money Market Fund</t>
  </si>
  <si>
    <t>STL Asset Management Limited</t>
  </si>
  <si>
    <t>Trustbanc Money Market Fund</t>
  </si>
  <si>
    <t>Trustbanc Asset Management Limited</t>
  </si>
  <si>
    <t>United Capital Money Market Fund</t>
  </si>
  <si>
    <t>ValuAlliance Asset Management Limited</t>
  </si>
  <si>
    <t>Vetiva Money Market Fund</t>
  </si>
  <si>
    <t>Vetiva Fund Managers</t>
  </si>
  <si>
    <t>Zedcrest Money Market Fund</t>
  </si>
  <si>
    <t>Zedcrest Investment Managers Limited</t>
  </si>
  <si>
    <t>Zenith Money Market Fund</t>
  </si>
  <si>
    <t>Zenith Asset Management Ltd</t>
  </si>
  <si>
    <t>BOND/FIXED INCOME FUNDS</t>
  </si>
  <si>
    <t>Anchoria Fixed Income Fund</t>
  </si>
  <si>
    <t>ARM Fixed Income Fund</t>
  </si>
  <si>
    <t>ARM Short Term Bond Fund</t>
  </si>
  <si>
    <t>AVA GAM Fixed Income Fund</t>
  </si>
  <si>
    <t>AVA Global Asset Managers Limited</t>
  </si>
  <si>
    <t>CardinalStone Fixed Income Alpha Fund</t>
  </si>
  <si>
    <t>CEAT Fixed Income Fund</t>
  </si>
  <si>
    <t>Capital Express Asset and Trust Limited</t>
  </si>
  <si>
    <t>Comercio Partners Fixed Income Fund</t>
  </si>
  <si>
    <t>Coral Income Fund</t>
  </si>
  <si>
    <t>Cordros Fixed Income Fund</t>
  </si>
  <si>
    <t>Coronation Fixed Income Fund</t>
  </si>
  <si>
    <t xml:space="preserve">Coronation Asset Management </t>
  </si>
  <si>
    <t>Cowry Fixed Income Fund</t>
  </si>
  <si>
    <t>DLM Fixed Income Fund</t>
  </si>
  <si>
    <t>EDC Fixed Income Fund</t>
  </si>
  <si>
    <t>Emerging Africa Bond Fund</t>
  </si>
  <si>
    <t>FBN Bond Fund</t>
  </si>
  <si>
    <t>GDL Income Fund</t>
  </si>
  <si>
    <t>Guaranty Trust Fixed Income Fund</t>
  </si>
  <si>
    <t>Lead Fixed Income Fund</t>
  </si>
  <si>
    <t>Lead Asset Management Limited</t>
  </si>
  <si>
    <t>Legacy Debt Fund</t>
  </si>
  <si>
    <t>Meristem Fixed Income Fund</t>
  </si>
  <si>
    <t>Nigeria Bond Fund</t>
  </si>
  <si>
    <t>Nigeria International Debt Fund</t>
  </si>
  <si>
    <t>Norrenberger Turbo Fund (NTF)</t>
  </si>
  <si>
    <t>PACAM Fixed Income Fund</t>
  </si>
  <si>
    <t>Radix Horizon Fund</t>
  </si>
  <si>
    <t>Radix Capital Partners Limited</t>
  </si>
  <si>
    <t>SFS Fixed Income Fund</t>
  </si>
  <si>
    <t>SFS Capital Nigeria Ltd</t>
  </si>
  <si>
    <t>Stanbic IBTC Absolute Fund (Sub Fund)</t>
  </si>
  <si>
    <t>Stanbic IBTC Bond Fund</t>
  </si>
  <si>
    <t>Stanbic IBTC Conservative Fund (Sub Fund)</t>
  </si>
  <si>
    <t>Stanbic IBTC Enhanced Short-Term Fixed Income Fund</t>
  </si>
  <si>
    <t>Stanbic IBTC Guaranteed Investment Fund</t>
  </si>
  <si>
    <t>United Capital Fixed Income Fund</t>
  </si>
  <si>
    <t>United Capital Stable Income Fund</t>
  </si>
  <si>
    <t>Utica Custodian Assured Fixed Income Fund</t>
  </si>
  <si>
    <t>Utica Capital Limited</t>
  </si>
  <si>
    <t>Zedcrest Fixed Income Fund</t>
  </si>
  <si>
    <t>Zenith Income Fund</t>
  </si>
  <si>
    <t>DOLLAR FUNDS</t>
  </si>
  <si>
    <t>EUROBONDS</t>
  </si>
  <si>
    <t>Afrinvest Dollar Fund</t>
  </si>
  <si>
    <t>AIICO Eurobond Fund</t>
  </si>
  <si>
    <t>ARM Eurobond Fund</t>
  </si>
  <si>
    <t>CardinalStone Dollar Fund</t>
  </si>
  <si>
    <t>Comercio Partners Dollar Fund</t>
  </si>
  <si>
    <t>Cowry Eurobond Fund</t>
  </si>
  <si>
    <t>EDC Dollar Fund</t>
  </si>
  <si>
    <t>Emerging Africa Eurobond Fund</t>
  </si>
  <si>
    <t>FBN Dollar Fund (Retail)</t>
  </si>
  <si>
    <t>FBN Specialized Dollar Fund</t>
  </si>
  <si>
    <t>Futureview Dollar Fund</t>
  </si>
  <si>
    <t>Legacy USD Bond Fund</t>
  </si>
  <si>
    <t>Norrenberger Dollar Fund</t>
  </si>
  <si>
    <t>PACAM Eurobond Fund</t>
  </si>
  <si>
    <t>United Capital Nigerian Eurobond Fund</t>
  </si>
  <si>
    <t>FIXED INCOME</t>
  </si>
  <si>
    <t>AVA GAM Fixed Income Dollar Fund</t>
  </si>
  <si>
    <t>AXA Mansard Dollar Bond Fund</t>
  </si>
  <si>
    <t>Cordros Dollar Fund</t>
  </si>
  <si>
    <t>FSDH Dollar Fund</t>
  </si>
  <si>
    <t>Lead Dollar Fixed Income Fund</t>
  </si>
  <si>
    <t>Meristem Dollar Fund</t>
  </si>
  <si>
    <t>Nigeria Dollar Income Fund</t>
  </si>
  <si>
    <t>Nova Dollar Fixed Income Fund</t>
  </si>
  <si>
    <t>Stanbic IBTC Dollar Fund</t>
  </si>
  <si>
    <t>United Capital Global Fixed Income Fund</t>
  </si>
  <si>
    <t>RMBN Dollar Fixed Income Fund</t>
  </si>
  <si>
    <t>Zedcrest Dollar Fund</t>
  </si>
  <si>
    <t>REAL ESTATE INVESTMENT TRUSTS</t>
  </si>
  <si>
    <t>Housing Solution Fund</t>
  </si>
  <si>
    <t>Fundco Capital Managers Limited</t>
  </si>
  <si>
    <t>Nigeria Real Estate Investment Trust</t>
  </si>
  <si>
    <t>SFS Real Estate Investment Trust Fund</t>
  </si>
  <si>
    <t>Union Homes REITS</t>
  </si>
  <si>
    <t>UPDC Real Estate Investment Trust</t>
  </si>
  <si>
    <t>BALANCED FUNDS</t>
  </si>
  <si>
    <t>AIICO Balanced Fund</t>
  </si>
  <si>
    <t>Alpha Morgan Balanced Fund</t>
  </si>
  <si>
    <t>Alpha Morgan Capital Managers Limited</t>
  </si>
  <si>
    <t>ARM Discovery Balanced Fund</t>
  </si>
  <si>
    <t>Balanced Strategy Fund</t>
  </si>
  <si>
    <t>Capital Express Balanced Fund</t>
  </si>
  <si>
    <t>Coral Balanced Fund</t>
  </si>
  <si>
    <t>Cordros Milestone Fund</t>
  </si>
  <si>
    <t>Coronation Balanced Fund</t>
  </si>
  <si>
    <t>Cowry Balanced Fund</t>
  </si>
  <si>
    <t>EDC Balanced Fund</t>
  </si>
  <si>
    <t>Emerging Africa Balanced-Diversity Fund</t>
  </si>
  <si>
    <t>FBN Balanced Fund</t>
  </si>
  <si>
    <t>GDL Canary Growth Fund</t>
  </si>
  <si>
    <t>Greenwich Balanced Fund</t>
  </si>
  <si>
    <t>GTI Balanced Fund</t>
  </si>
  <si>
    <t>Guaranty Trust Balanced Fund</t>
  </si>
  <si>
    <t>Hillcrest Balanced Fund</t>
  </si>
  <si>
    <t>Hillcrest Capital Management Limited</t>
  </si>
  <si>
    <t>Lead Balanced Fund</t>
  </si>
  <si>
    <t>Nigeria Energy Sector Fund</t>
  </si>
  <si>
    <t>Nova Hybrid Balanced Fund</t>
  </si>
  <si>
    <t>PACAM Balanced Fund</t>
  </si>
  <si>
    <t>Stanbic IBTC Balanced Fund</t>
  </si>
  <si>
    <t>STL Balanced Fund</t>
  </si>
  <si>
    <t>The Nigeria Football Fund</t>
  </si>
  <si>
    <t>United Capital Balanced Fund</t>
  </si>
  <si>
    <t>United Capital Wealth for Women Fund</t>
  </si>
  <si>
    <t>ValuAlliance Value Fund</t>
  </si>
  <si>
    <t>ETHICAL FUNDS</t>
  </si>
  <si>
    <t>ESG Impact Fund</t>
  </si>
  <si>
    <t>Zenith Asset Management Ltd.</t>
  </si>
  <si>
    <t>Stanbic IBTC Ethical Fund</t>
  </si>
  <si>
    <t>SHARI'AH COMPLIANT FUNDS</t>
  </si>
  <si>
    <t>EQUITIES</t>
  </si>
  <si>
    <t>Lotus Halal Investment Fund</t>
  </si>
  <si>
    <t>Lotus Capital Limited</t>
  </si>
  <si>
    <t>Stanbic IBTC Imaan Fund</t>
  </si>
  <si>
    <t>CapitalTrust Halal Fixed Income Fund</t>
  </si>
  <si>
    <t>CapitalTrust Investments &amp; Asset Management Ltd.</t>
  </si>
  <si>
    <t>Cordros Halal Fixed Income Fund</t>
  </si>
  <si>
    <t>EDC Halal Fund</t>
  </si>
  <si>
    <t>Emerging Africa Halal Fund</t>
  </si>
  <si>
    <t>FBN Halal Fund</t>
  </si>
  <si>
    <t>FSDH Halal Fund</t>
  </si>
  <si>
    <t>Lotus Halal Fixed Income Fund</t>
  </si>
  <si>
    <t>Marble Halal Commodities Fund</t>
  </si>
  <si>
    <t xml:space="preserve">Marble Capital Limited </t>
  </si>
  <si>
    <t>Marble Halal Fixed Income Fund</t>
  </si>
  <si>
    <t>Norrenberger Islamic Fund</t>
  </si>
  <si>
    <t>Stanbic IBTC Shariah Fixed Income Fund</t>
  </si>
  <si>
    <t>United Capital Sukuk Fund</t>
  </si>
  <si>
    <t>BALANCED</t>
  </si>
  <si>
    <t>Lotus Waqf (Endowment) Fund</t>
  </si>
  <si>
    <t>Mutual Funds Total</t>
  </si>
  <si>
    <t>SPECIALISED FUNDS</t>
  </si>
  <si>
    <t>Clean Energy Fund</t>
  </si>
  <si>
    <t>INFRASTRUCTURE FUNDS</t>
  </si>
  <si>
    <t>Nigeria Infrastructure Debt Fund (NIDF)</t>
  </si>
  <si>
    <t>Chapel Hill Denham Management Limited</t>
  </si>
  <si>
    <t>United Capital Infrastructure Fund</t>
  </si>
  <si>
    <t>Infrastructure Funds Total</t>
  </si>
  <si>
    <t>EXCHANGE TRADED FUNDS</t>
  </si>
  <si>
    <t>Greenwich ALPHA ETF</t>
  </si>
  <si>
    <t>Lotus Halal ETF</t>
  </si>
  <si>
    <t>Meristem Growth ETF</t>
  </si>
  <si>
    <t>Meristem Value ETF</t>
  </si>
  <si>
    <t>New Gold ETF</t>
  </si>
  <si>
    <t>New Gold Managers (Proprietary) Ltd</t>
  </si>
  <si>
    <t>SIAML ETF 40</t>
  </si>
  <si>
    <t>Stanbic IBTC Asset Mgt.Limited</t>
  </si>
  <si>
    <t>Stanbic IBTC ETF 30 Fund</t>
  </si>
  <si>
    <t>VCG ETF</t>
  </si>
  <si>
    <t>Vetiva Fund Managers Limited</t>
  </si>
  <si>
    <t>VETBANK ETF</t>
  </si>
  <si>
    <t>Vetiva S &amp; P Nig. Sovereign Bond ETF</t>
  </si>
  <si>
    <t>VG 30 ETF</t>
  </si>
  <si>
    <t>VI ETF</t>
  </si>
  <si>
    <t>ETF Total</t>
  </si>
  <si>
    <t>Grand Total</t>
  </si>
  <si>
    <t>Note:</t>
  </si>
  <si>
    <t>FUNDS</t>
  </si>
  <si>
    <t>BONDS/FIXED INCOME FUNDS</t>
  </si>
  <si>
    <t>REAL ESTATE INVESTMENT TRUST</t>
  </si>
  <si>
    <t>SHARI'AH COMPLAINT FUNDS</t>
  </si>
  <si>
    <t>DATE</t>
  </si>
  <si>
    <t>TOTAL NAV</t>
  </si>
  <si>
    <t>ETFs AGGREGATE</t>
  </si>
  <si>
    <t>TOTAL</t>
  </si>
  <si>
    <t>MOVING AVERAGE:</t>
  </si>
  <si>
    <t>-</t>
  </si>
  <si>
    <t>EXCHANGE TRADED FUNDS (ETFs)</t>
  </si>
  <si>
    <t xml:space="preserve"> </t>
  </si>
  <si>
    <t>Guaranty Trust Investment Fund 724</t>
  </si>
  <si>
    <t>CardinalStone Money Market Fund</t>
  </si>
  <si>
    <t>STL Dollar Fund</t>
  </si>
  <si>
    <t>ARM Short-Term Eurobond Fund</t>
  </si>
  <si>
    <t>ARM Sharia Compliant Fixed Income Fund</t>
  </si>
  <si>
    <t>One17 Halal Fund</t>
  </si>
  <si>
    <t>One17 Capital Limited</t>
  </si>
  <si>
    <t>Zrosk Magna Equity Fund</t>
  </si>
  <si>
    <t>Zrosk Investment Management Limited</t>
  </si>
  <si>
    <t>Coronation Premium Fixed Income Fund</t>
  </si>
  <si>
    <t>Coronation Dollar Fund</t>
  </si>
  <si>
    <t>Coronation Asset Management Limited</t>
  </si>
  <si>
    <t>FCMB-TLG Private Debt Fund</t>
  </si>
  <si>
    <t>FSL Money Market Fund</t>
  </si>
  <si>
    <t>FSL Asset Management Limited</t>
  </si>
  <si>
    <t>FSL Eurobond Fund</t>
  </si>
  <si>
    <t>AVA GAM Money Market Fund</t>
  </si>
  <si>
    <t>Guaranty Trust Dollar Fund</t>
  </si>
  <si>
    <t>Parthian Capital Limited</t>
  </si>
  <si>
    <t>Parthian Money Market Fund</t>
  </si>
  <si>
    <t>Parthian Dollar Fixed Income Fund</t>
  </si>
  <si>
    <t>CardinalStone Balanced Fund</t>
  </si>
  <si>
    <t>Vetiva USD Fixed Income Fund</t>
  </si>
  <si>
    <t>Mango Asset Management Limited</t>
  </si>
  <si>
    <t>Mango Naira Money Market Fund</t>
  </si>
  <si>
    <t>FBN Blended Dollar Fund</t>
  </si>
  <si>
    <t>ValuAlliance Money Market Fund</t>
  </si>
  <si>
    <t>ARM Specialized Dollar Fund</t>
  </si>
  <si>
    <t>ARM Halal Balanced Fund</t>
  </si>
  <si>
    <t>MOFI Real Estate Investment Fund</t>
  </si>
  <si>
    <t>United Capital Children Investment Fund</t>
  </si>
  <si>
    <t>Trustbanc Fixed Income Fund</t>
  </si>
  <si>
    <t>NAV, Unit Price and Yield as at Week Ended June 20, 2025</t>
  </si>
  <si>
    <t>First Asset Management Limited</t>
  </si>
  <si>
    <t>Week Ended June 20, 2025</t>
  </si>
  <si>
    <t>WEEKLY VALUATION REPORT OF COLLECTIVE INVESTMENT SCHEMES AS AT WEEK ENDED FRIDAY, JUNE 27, 2025</t>
  </si>
  <si>
    <t>NAV, Unit Price and Yield as at Week Ended June 27, 2025</t>
  </si>
  <si>
    <t>NFEM RATE NG₦/US$ as at 27th June, 2025 = N1539.2359</t>
  </si>
  <si>
    <t>0.9%</t>
  </si>
  <si>
    <t>Week Ended June 27,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</si>
</sst>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_-* #,##0.00_-;\-* #,##0.00_-;_-* &quot;-&quot;??_-;_-@_-"/>
    <numFmt numFmtId="165" formatCode="_(* #,##0.000_);_(* \(#,##0.000\);_(* &quot;-&quot;??_);_(@_)"/>
    <numFmt numFmtId="166" formatCode="0.0%"/>
    <numFmt numFmtId="167" formatCode="_-* #,##0.0000_-;\-* #,##0.0000_-;_-* &quot;-&quot;??_-;_-@_-"/>
  </numFmts>
  <fonts count="54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 Narrow"/>
      <family val="2"/>
    </font>
    <font>
      <b/>
      <sz val="11"/>
      <color theme="1"/>
      <name val="Arial Narrow"/>
      <family val="2"/>
    </font>
    <font>
      <sz val="11"/>
      <name val="Arial Narrow"/>
      <family val="2"/>
    </font>
    <font>
      <sz val="11"/>
      <color theme="1"/>
      <name val="Arial Narrow"/>
      <family val="2"/>
    </font>
    <font>
      <b/>
      <sz val="12"/>
      <name val="Arial Narrow"/>
      <family val="2"/>
    </font>
    <font>
      <sz val="11"/>
      <name val="Calibri"/>
      <family val="2"/>
      <scheme val="minor"/>
    </font>
    <font>
      <b/>
      <sz val="11"/>
      <name val="Arial Narrow"/>
      <family val="2"/>
    </font>
    <font>
      <sz val="11"/>
      <color theme="0"/>
      <name val="Calibri"/>
      <family val="2"/>
      <scheme val="minor"/>
    </font>
    <font>
      <b/>
      <sz val="18"/>
      <color theme="0"/>
      <name val="Ebrima"/>
    </font>
    <font>
      <b/>
      <sz val="8"/>
      <color theme="1"/>
      <name val="Arial Narrow"/>
      <family val="2"/>
    </font>
    <font>
      <b/>
      <sz val="8"/>
      <name val="Arial Narrow"/>
      <family val="2"/>
    </font>
    <font>
      <sz val="8"/>
      <color theme="1"/>
      <name val="Arial Narrow"/>
      <family val="2"/>
    </font>
    <font>
      <b/>
      <sz val="10"/>
      <color theme="1"/>
      <name val="Arial Narrow"/>
      <family val="2"/>
    </font>
    <font>
      <sz val="8"/>
      <name val="Arial Narrow"/>
      <family val="2"/>
    </font>
    <font>
      <b/>
      <sz val="8"/>
      <color rgb="FFFF0000"/>
      <name val="Arial Narrow"/>
      <family val="2"/>
    </font>
    <font>
      <sz val="10"/>
      <color rgb="FF000000"/>
      <name val="Times New Roman"/>
      <family val="1"/>
    </font>
    <font>
      <b/>
      <sz val="9"/>
      <color theme="1"/>
      <name val="Arial Narrow"/>
      <family val="2"/>
    </font>
    <font>
      <sz val="8"/>
      <color rgb="FF000000"/>
      <name val="Arial Narrow"/>
      <family val="2"/>
    </font>
    <font>
      <sz val="12"/>
      <color rgb="FF000000"/>
      <name val="Calibri"/>
      <family val="2"/>
      <scheme val="minor"/>
    </font>
    <font>
      <b/>
      <sz val="12"/>
      <color rgb="FF000000"/>
      <name val="Times New Roman"/>
      <family val="1"/>
    </font>
    <font>
      <b/>
      <sz val="10"/>
      <name val="Arial Narrow"/>
      <family val="2"/>
    </font>
    <font>
      <sz val="8"/>
      <color indexed="8"/>
      <name val="Arial Narrow"/>
      <family val="2"/>
    </font>
    <font>
      <sz val="8"/>
      <color rgb="FFFF0000"/>
      <name val="Arial Narrow"/>
      <family val="2"/>
    </font>
    <font>
      <i/>
      <sz val="8"/>
      <name val="Arial Narrow"/>
      <family val="2"/>
    </font>
    <font>
      <sz val="10"/>
      <name val="Arial Narrow"/>
      <family val="2"/>
    </font>
    <font>
      <b/>
      <sz val="6"/>
      <color theme="0"/>
      <name val="Times New Roman"/>
      <family val="1"/>
    </font>
    <font>
      <sz val="10"/>
      <color rgb="FF00000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Aptos"/>
      <charset val="134"/>
    </font>
    <font>
      <sz val="11"/>
      <color theme="1"/>
      <name val="Aptos"/>
      <charset val="134"/>
    </font>
    <font>
      <sz val="11"/>
      <color rgb="FF9C6500"/>
      <name val="Calibri"/>
      <family val="2"/>
      <scheme val="minor"/>
    </font>
    <font>
      <sz val="10"/>
      <name val="Arial"/>
      <family val="2"/>
    </font>
    <font>
      <sz val="10"/>
      <color theme="1"/>
      <name val="Futura Bk BT"/>
      <charset val="134"/>
    </font>
    <font>
      <b/>
      <sz val="18"/>
      <color theme="3"/>
      <name val="Calibri Light"/>
      <family val="2"/>
      <scheme val="major"/>
    </font>
    <font>
      <sz val="11"/>
      <color theme="1"/>
      <name val="Calibri"/>
      <family val="2"/>
      <scheme val="minor"/>
    </font>
    <font>
      <sz val="11"/>
      <color theme="1"/>
      <name val="Aptos"/>
      <family val="2"/>
    </font>
    <font>
      <b/>
      <sz val="8"/>
      <color theme="4"/>
      <name val="Arial Narrow"/>
      <family val="2"/>
    </font>
    <font>
      <sz val="8"/>
      <color rgb="FF424242"/>
      <name val="Arial"/>
      <family val="2"/>
    </font>
    <font>
      <sz val="8"/>
      <color theme="0"/>
      <name val="Arial"/>
      <family val="2"/>
    </font>
    <font>
      <sz val="11"/>
      <name val="Calibri"/>
      <family val="2"/>
      <scheme val="minor"/>
    </font>
    <font>
      <b/>
      <sz val="11"/>
      <color theme="0"/>
      <name val="Arial Narrow"/>
      <family val="2"/>
    </font>
    <font>
      <sz val="11"/>
      <color theme="0"/>
      <name val="Arial Narrow"/>
      <family val="2"/>
    </font>
    <font>
      <sz val="11"/>
      <color theme="0"/>
      <name val="Calibri"/>
      <family val="2"/>
      <scheme val="minor"/>
    </font>
    <font>
      <b/>
      <sz val="8"/>
      <color theme="0"/>
      <name val="Arial Narrow"/>
      <family val="2"/>
    </font>
    <font>
      <b/>
      <sz val="11"/>
      <color theme="0"/>
      <name val="Calibri"/>
      <family val="2"/>
      <scheme val="minor"/>
    </font>
    <font>
      <sz val="6"/>
      <color theme="0"/>
      <name val="Arial Narrow"/>
      <family val="2"/>
    </font>
    <font>
      <sz val="6"/>
      <color theme="0"/>
      <name val="Calibri"/>
      <family val="2"/>
      <scheme val="minor"/>
    </font>
    <font>
      <b/>
      <sz val="12"/>
      <color theme="0"/>
      <name val="Arial Narrow"/>
      <family val="2"/>
    </font>
    <font>
      <b/>
      <sz val="10"/>
      <color theme="0"/>
      <name val="Arial Narrow"/>
      <family val="2"/>
    </font>
    <font>
      <sz val="10"/>
      <color theme="0"/>
      <name val="Calibri"/>
      <family val="2"/>
      <scheme val="minor"/>
    </font>
    <font>
      <sz val="10"/>
      <color theme="0"/>
      <name val="Arial Narrow"/>
      <family val="2"/>
    </font>
  </fonts>
  <fills count="2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 tint="0.39985351115451523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3" tint="0.79992065187536243"/>
        <bgColor indexed="64"/>
      </patternFill>
    </fill>
    <fill>
      <patternFill patternType="solid">
        <fgColor theme="3" tint="0.79985961485641044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4" tint="0.79989013336588644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39985351115451523"/>
        <bgColor indexed="64"/>
      </patternFill>
    </fill>
    <fill>
      <patternFill patternType="solid">
        <fgColor theme="5" tint="0.39985351115451523"/>
        <bgColor indexed="64"/>
      </patternFill>
    </fill>
    <fill>
      <patternFill patternType="solid">
        <fgColor theme="7" tint="0.39985351115451523"/>
        <bgColor indexed="64"/>
      </patternFill>
    </fill>
    <fill>
      <patternFill patternType="solid">
        <fgColor theme="8" tint="0.39985351115451523"/>
        <bgColor indexed="64"/>
      </patternFill>
    </fill>
    <fill>
      <patternFill patternType="solid">
        <fgColor theme="9" tint="0.39985351115451523"/>
        <bgColor indexed="64"/>
      </patternFill>
    </fill>
    <fill>
      <patternFill patternType="solid">
        <fgColor rgb="FFFFEB9C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6">
    <xf numFmtId="0" fontId="0" fillId="0" borderId="0"/>
    <xf numFmtId="164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0" fontId="10" fillId="5" borderId="0" applyNumberFormat="0" applyBorder="0" applyAlignment="0" applyProtection="0"/>
    <xf numFmtId="0" fontId="10" fillId="17" borderId="0" applyNumberFormat="0" applyBorder="0" applyAlignment="0" applyProtection="0"/>
    <xf numFmtId="0" fontId="10" fillId="16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43" fontId="32" fillId="0" borderId="0" applyFont="0" applyFill="0" applyBorder="0" applyAlignment="0" applyProtection="0"/>
    <xf numFmtId="164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33" fillId="21" borderId="0" applyNumberFormat="0" applyBorder="0" applyAlignment="0" applyProtection="0"/>
    <xf numFmtId="0" fontId="34" fillId="0" borderId="0"/>
    <xf numFmtId="0" fontId="37" fillId="0" borderId="0"/>
    <xf numFmtId="0" fontId="35" fillId="0" borderId="0"/>
    <xf numFmtId="9" fontId="37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0" fontId="36" fillId="0" borderId="0" applyNumberFormat="0" applyFill="0" applyBorder="0" applyAlignment="0" applyProtection="0"/>
    <xf numFmtId="43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1" fillId="0" borderId="0"/>
    <xf numFmtId="164" fontId="38" fillId="0" borderId="0" applyFont="0" applyFill="0" applyBorder="0" applyAlignment="0" applyProtection="0"/>
    <xf numFmtId="9" fontId="38" fillId="0" borderId="0" applyFont="0" applyFill="0" applyBorder="0" applyAlignment="0" applyProtection="0"/>
  </cellStyleXfs>
  <cellXfs count="188">
    <xf numFmtId="0" fontId="0" fillId="0" borderId="0" xfId="0"/>
    <xf numFmtId="0" fontId="3" fillId="0" borderId="1" xfId="0" applyFont="1" applyBorder="1" applyAlignment="1">
      <alignment horizontal="right"/>
    </xf>
    <xf numFmtId="16" fontId="4" fillId="2" borderId="1" xfId="0" applyNumberFormat="1" applyFont="1" applyFill="1" applyBorder="1"/>
    <xf numFmtId="0" fontId="4" fillId="0" borderId="1" xfId="0" applyFont="1" applyBorder="1" applyAlignment="1">
      <alignment horizontal="right"/>
    </xf>
    <xf numFmtId="4" fontId="5" fillId="2" borderId="1" xfId="0" applyNumberFormat="1" applyFont="1" applyFill="1" applyBorder="1" applyAlignment="1">
      <alignment horizontal="right"/>
    </xf>
    <xf numFmtId="4" fontId="5" fillId="2" borderId="1" xfId="0" applyNumberFormat="1" applyFont="1" applyFill="1" applyBorder="1"/>
    <xf numFmtId="4" fontId="6" fillId="2" borderId="1" xfId="0" applyNumberFormat="1" applyFont="1" applyFill="1" applyBorder="1"/>
    <xf numFmtId="164" fontId="5" fillId="2" borderId="1" xfId="1" applyFont="1" applyFill="1" applyBorder="1" applyAlignment="1">
      <alignment horizontal="right" vertical="top" wrapText="1"/>
    </xf>
    <xf numFmtId="0" fontId="7" fillId="3" borderId="1" xfId="0" applyFont="1" applyFill="1" applyBorder="1" applyAlignment="1">
      <alignment horizontal="right"/>
    </xf>
    <xf numFmtId="43" fontId="7" fillId="3" borderId="1" xfId="0" applyNumberFormat="1" applyFont="1" applyFill="1" applyBorder="1"/>
    <xf numFmtId="0" fontId="6" fillId="0" borderId="0" xfId="0" applyFont="1"/>
    <xf numFmtId="164" fontId="6" fillId="0" borderId="0" xfId="1" applyFont="1"/>
    <xf numFmtId="0" fontId="3" fillId="4" borderId="1" xfId="0" applyFont="1" applyFill="1" applyBorder="1" applyAlignment="1">
      <alignment horizontal="right"/>
    </xf>
    <xf numFmtId="43" fontId="3" fillId="4" borderId="1" xfId="0" applyNumberFormat="1" applyFont="1" applyFill="1" applyBorder="1"/>
    <xf numFmtId="164" fontId="3" fillId="4" borderId="1" xfId="1" applyFont="1" applyFill="1" applyBorder="1"/>
    <xf numFmtId="0" fontId="8" fillId="0" borderId="0" xfId="0" applyFont="1"/>
    <xf numFmtId="0" fontId="9" fillId="0" borderId="1" xfId="0" applyFont="1" applyBorder="1" applyAlignment="1">
      <alignment horizontal="right"/>
    </xf>
    <xf numFmtId="164" fontId="5" fillId="0" borderId="1" xfId="1" applyFont="1" applyBorder="1"/>
    <xf numFmtId="164" fontId="8" fillId="0" borderId="0" xfId="1" applyFont="1"/>
    <xf numFmtId="0" fontId="10" fillId="0" borderId="0" xfId="0" applyFont="1"/>
    <xf numFmtId="0" fontId="6" fillId="2" borderId="0" xfId="0" applyFont="1" applyFill="1" applyAlignment="1">
      <alignment wrapText="1"/>
    </xf>
    <xf numFmtId="0" fontId="12" fillId="8" borderId="1" xfId="0" applyFont="1" applyFill="1" applyBorder="1"/>
    <xf numFmtId="0" fontId="13" fillId="3" borderId="1" xfId="0" applyFont="1" applyFill="1" applyBorder="1" applyAlignment="1">
      <alignment horizontal="center" vertical="top" wrapText="1"/>
    </xf>
    <xf numFmtId="0" fontId="13" fillId="3" borderId="1" xfId="0" applyFont="1" applyFill="1" applyBorder="1" applyAlignment="1">
      <alignment vertical="top" wrapText="1"/>
    </xf>
    <xf numFmtId="0" fontId="12" fillId="3" borderId="1" xfId="0" applyFont="1" applyFill="1" applyBorder="1" applyAlignment="1">
      <alignment vertical="top" wrapText="1"/>
    </xf>
    <xf numFmtId="0" fontId="12" fillId="3" borderId="1" xfId="0" applyFont="1" applyFill="1" applyBorder="1" applyAlignment="1">
      <alignment horizontal="center" vertical="top"/>
    </xf>
    <xf numFmtId="0" fontId="12" fillId="3" borderId="1" xfId="0" applyFont="1" applyFill="1" applyBorder="1" applyAlignment="1">
      <alignment horizontal="center" vertical="top" wrapText="1"/>
    </xf>
    <xf numFmtId="164" fontId="16" fillId="2" borderId="1" xfId="10" applyFont="1" applyFill="1" applyBorder="1"/>
    <xf numFmtId="10" fontId="16" fillId="8" borderId="1" xfId="2" applyNumberFormat="1" applyFont="1" applyFill="1" applyBorder="1" applyAlignment="1">
      <alignment horizontal="center"/>
    </xf>
    <xf numFmtId="4" fontId="16" fillId="2" borderId="1" xfId="0" applyNumberFormat="1" applyFont="1" applyFill="1" applyBorder="1" applyAlignment="1">
      <alignment horizontal="right"/>
    </xf>
    <xf numFmtId="164" fontId="16" fillId="10" borderId="1" xfId="1" applyFont="1" applyFill="1" applyBorder="1" applyAlignment="1">
      <alignment horizontal="center"/>
    </xf>
    <xf numFmtId="4" fontId="16" fillId="2" borderId="1" xfId="0" applyNumberFormat="1" applyFont="1" applyFill="1" applyBorder="1"/>
    <xf numFmtId="164" fontId="14" fillId="10" borderId="1" xfId="1" applyFont="1" applyFill="1" applyBorder="1" applyAlignment="1">
      <alignment horizontal="center"/>
    </xf>
    <xf numFmtId="164" fontId="16" fillId="2" borderId="1" xfId="1" applyFont="1" applyFill="1" applyBorder="1"/>
    <xf numFmtId="0" fontId="14" fillId="0" borderId="1" xfId="0" applyFont="1" applyBorder="1"/>
    <xf numFmtId="0" fontId="14" fillId="2" borderId="1" xfId="0" applyFont="1" applyFill="1" applyBorder="1"/>
    <xf numFmtId="0" fontId="13" fillId="2" borderId="1" xfId="0" applyFont="1" applyFill="1" applyBorder="1" applyAlignment="1">
      <alignment horizontal="right"/>
    </xf>
    <xf numFmtId="164" fontId="13" fillId="2" borderId="1" xfId="1" applyFont="1" applyFill="1" applyBorder="1" applyAlignment="1">
      <alignment horizontal="right" vertical="top" wrapText="1"/>
    </xf>
    <xf numFmtId="10" fontId="17" fillId="8" borderId="1" xfId="2" applyNumberFormat="1" applyFont="1" applyFill="1" applyBorder="1" applyAlignment="1">
      <alignment horizontal="center" vertical="top" wrapText="1"/>
    </xf>
    <xf numFmtId="10" fontId="16" fillId="2" borderId="1" xfId="2" applyNumberFormat="1" applyFont="1" applyFill="1" applyBorder="1" applyAlignment="1">
      <alignment horizontal="center" vertical="top" wrapText="1"/>
    </xf>
    <xf numFmtId="4" fontId="16" fillId="2" borderId="1" xfId="1" applyNumberFormat="1" applyFont="1" applyFill="1" applyBorder="1" applyAlignment="1">
      <alignment vertical="top" wrapText="1"/>
    </xf>
    <xf numFmtId="164" fontId="13" fillId="10" borderId="1" xfId="1" applyFont="1" applyFill="1" applyBorder="1" applyAlignment="1">
      <alignment horizontal="center"/>
    </xf>
    <xf numFmtId="164" fontId="16" fillId="2" borderId="1" xfId="10" applyFont="1" applyFill="1" applyBorder="1" applyAlignment="1">
      <alignment horizontal="right"/>
    </xf>
    <xf numFmtId="4" fontId="16" fillId="2" borderId="1" xfId="1" applyNumberFormat="1" applyFont="1" applyFill="1" applyBorder="1" applyAlignment="1">
      <alignment horizontal="right"/>
    </xf>
    <xf numFmtId="164" fontId="16" fillId="10" borderId="1" xfId="1" applyFont="1" applyFill="1" applyBorder="1" applyAlignment="1">
      <alignment horizontal="center" wrapText="1"/>
    </xf>
    <xf numFmtId="164" fontId="16" fillId="2" borderId="1" xfId="10" applyFont="1" applyFill="1" applyBorder="1" applyAlignment="1">
      <alignment horizontal="right" wrapText="1"/>
    </xf>
    <xf numFmtId="164" fontId="13" fillId="2" borderId="1" xfId="1" applyFont="1" applyFill="1" applyBorder="1" applyAlignment="1">
      <alignment horizontal="right"/>
    </xf>
    <xf numFmtId="164" fontId="12" fillId="3" borderId="1" xfId="1" applyFont="1" applyFill="1" applyBorder="1" applyAlignment="1">
      <alignment horizontal="center" vertical="top"/>
    </xf>
    <xf numFmtId="10" fontId="16" fillId="10" borderId="1" xfId="2" applyNumberFormat="1" applyFont="1" applyFill="1" applyBorder="1" applyAlignment="1">
      <alignment horizontal="center"/>
    </xf>
    <xf numFmtId="10" fontId="14" fillId="10" borderId="1" xfId="2" applyNumberFormat="1" applyFont="1" applyFill="1" applyBorder="1" applyAlignment="1">
      <alignment horizontal="center"/>
    </xf>
    <xf numFmtId="10" fontId="16" fillId="10" borderId="1" xfId="2" applyNumberFormat="1" applyFont="1" applyFill="1" applyBorder="1" applyAlignment="1">
      <alignment horizontal="center" vertical="top" wrapText="1"/>
    </xf>
    <xf numFmtId="10" fontId="16" fillId="10" borderId="1" xfId="2" applyNumberFormat="1" applyFont="1" applyFill="1" applyBorder="1" applyAlignment="1">
      <alignment horizontal="center" wrapText="1"/>
    </xf>
    <xf numFmtId="10" fontId="16" fillId="8" borderId="1" xfId="2" applyNumberFormat="1" applyFont="1" applyFill="1" applyBorder="1" applyAlignment="1">
      <alignment horizontal="center" wrapText="1"/>
    </xf>
    <xf numFmtId="10" fontId="16" fillId="10" borderId="1" xfId="1" applyNumberFormat="1" applyFont="1" applyFill="1" applyBorder="1" applyAlignment="1">
      <alignment horizontal="center"/>
    </xf>
    <xf numFmtId="10" fontId="16" fillId="3" borderId="1" xfId="2" applyNumberFormat="1" applyFont="1" applyFill="1" applyBorder="1" applyAlignment="1">
      <alignment horizontal="center" vertical="top" wrapText="1"/>
    </xf>
    <xf numFmtId="10" fontId="14" fillId="3" borderId="1" xfId="2" applyNumberFormat="1" applyFont="1" applyFill="1" applyBorder="1" applyAlignment="1">
      <alignment horizontal="center" vertical="top" wrapText="1"/>
    </xf>
    <xf numFmtId="10" fontId="14" fillId="3" borderId="1" xfId="1" applyNumberFormat="1" applyFont="1" applyFill="1" applyBorder="1" applyAlignment="1">
      <alignment horizontal="center" vertical="top" wrapText="1"/>
    </xf>
    <xf numFmtId="10" fontId="18" fillId="11" borderId="0" xfId="0" applyNumberFormat="1" applyFont="1" applyFill="1" applyAlignment="1">
      <alignment horizontal="right" vertical="center" wrapText="1"/>
    </xf>
    <xf numFmtId="2" fontId="16" fillId="2" borderId="1" xfId="0" applyNumberFormat="1" applyFont="1" applyFill="1" applyBorder="1"/>
    <xf numFmtId="164" fontId="16" fillId="2" borderId="1" xfId="10" applyFont="1" applyFill="1" applyBorder="1" applyAlignment="1">
      <alignment wrapText="1"/>
    </xf>
    <xf numFmtId="164" fontId="16" fillId="12" borderId="1" xfId="1" applyFont="1" applyFill="1" applyBorder="1" applyAlignment="1">
      <alignment horizontal="center"/>
    </xf>
    <xf numFmtId="10" fontId="16" fillId="12" borderId="1" xfId="2" applyNumberFormat="1" applyFont="1" applyFill="1" applyBorder="1" applyAlignment="1">
      <alignment horizontal="center"/>
    </xf>
    <xf numFmtId="10" fontId="16" fillId="7" borderId="1" xfId="2" applyNumberFormat="1" applyFont="1" applyFill="1" applyBorder="1" applyAlignment="1">
      <alignment horizontal="center"/>
    </xf>
    <xf numFmtId="4" fontId="0" fillId="0" borderId="0" xfId="0" applyNumberFormat="1"/>
    <xf numFmtId="164" fontId="20" fillId="0" borderId="0" xfId="1" applyFont="1"/>
    <xf numFmtId="4" fontId="21" fillId="0" borderId="0" xfId="0" applyNumberFormat="1" applyFont="1"/>
    <xf numFmtId="2" fontId="0" fillId="0" borderId="0" xfId="0" applyNumberFormat="1"/>
    <xf numFmtId="165" fontId="0" fillId="0" borderId="0" xfId="0" applyNumberFormat="1"/>
    <xf numFmtId="4" fontId="22" fillId="11" borderId="0" xfId="0" applyNumberFormat="1" applyFont="1" applyFill="1" applyAlignment="1">
      <alignment horizontal="right" vertical="center" wrapText="1"/>
    </xf>
    <xf numFmtId="0" fontId="13" fillId="0" borderId="1" xfId="0" applyFont="1" applyBorder="1" applyAlignment="1">
      <alignment horizontal="right"/>
    </xf>
    <xf numFmtId="4" fontId="24" fillId="0" borderId="1" xfId="0" applyNumberFormat="1" applyFont="1" applyFill="1" applyBorder="1" applyAlignment="1" applyProtection="1"/>
    <xf numFmtId="0" fontId="25" fillId="2" borderId="1" xfId="0" applyFont="1" applyFill="1" applyBorder="1"/>
    <xf numFmtId="4" fontId="16" fillId="2" borderId="1" xfId="1" applyNumberFormat="1" applyFont="1" applyFill="1" applyBorder="1" applyAlignment="1">
      <alignment horizontal="right" vertical="top" wrapText="1"/>
    </xf>
    <xf numFmtId="164" fontId="13" fillId="2" borderId="1" xfId="1" applyFont="1" applyFill="1" applyBorder="1"/>
    <xf numFmtId="43" fontId="16" fillId="2" borderId="1" xfId="0" applyNumberFormat="1" applyFont="1" applyFill="1" applyBorder="1"/>
    <xf numFmtId="4" fontId="16" fillId="2" borderId="1" xfId="10" applyNumberFormat="1" applyFont="1" applyFill="1" applyBorder="1" applyAlignment="1">
      <alignment horizontal="right"/>
    </xf>
    <xf numFmtId="4" fontId="16" fillId="2" borderId="1" xfId="0" applyNumberFormat="1" applyFont="1" applyFill="1" applyBorder="1" applyAlignment="1">
      <alignment horizontal="right" wrapText="1"/>
    </xf>
    <xf numFmtId="4" fontId="16" fillId="2" borderId="1" xfId="10" applyNumberFormat="1" applyFont="1" applyFill="1" applyBorder="1" applyAlignment="1">
      <alignment horizontal="right" wrapText="1"/>
    </xf>
    <xf numFmtId="4" fontId="16" fillId="10" borderId="1" xfId="1" applyNumberFormat="1" applyFont="1" applyFill="1" applyBorder="1" applyAlignment="1">
      <alignment horizontal="center"/>
    </xf>
    <xf numFmtId="4" fontId="16" fillId="10" borderId="1" xfId="1" applyNumberFormat="1" applyFont="1" applyFill="1" applyBorder="1" applyAlignment="1">
      <alignment horizontal="center" vertical="top" wrapText="1"/>
    </xf>
    <xf numFmtId="43" fontId="16" fillId="10" borderId="1" xfId="0" applyNumberFormat="1" applyFont="1" applyFill="1" applyBorder="1" applyAlignment="1">
      <alignment horizontal="center"/>
    </xf>
    <xf numFmtId="164" fontId="0" fillId="0" borderId="0" xfId="1" applyFont="1"/>
    <xf numFmtId="4" fontId="13" fillId="10" borderId="1" xfId="1" applyNumberFormat="1" applyFont="1" applyFill="1" applyBorder="1" applyAlignment="1">
      <alignment horizontal="right" vertical="top" wrapText="1"/>
    </xf>
    <xf numFmtId="0" fontId="16" fillId="15" borderId="1" xfId="0" applyFont="1" applyFill="1" applyBorder="1" applyAlignment="1">
      <alignment horizontal="right" vertical="center"/>
    </xf>
    <xf numFmtId="0" fontId="13" fillId="15" borderId="1" xfId="0" applyFont="1" applyFill="1" applyBorder="1" applyAlignment="1">
      <alignment horizontal="right" vertical="center"/>
    </xf>
    <xf numFmtId="164" fontId="13" fillId="15" borderId="1" xfId="1" applyFont="1" applyFill="1" applyBorder="1" applyAlignment="1">
      <alignment horizontal="right" vertical="center" wrapText="1"/>
    </xf>
    <xf numFmtId="10" fontId="16" fillId="15" borderId="1" xfId="1" applyNumberFormat="1" applyFont="1" applyFill="1" applyBorder="1" applyAlignment="1">
      <alignment horizontal="right" vertical="center" wrapText="1"/>
    </xf>
    <xf numFmtId="4" fontId="16" fillId="15" borderId="1" xfId="1" applyNumberFormat="1" applyFont="1" applyFill="1" applyBorder="1" applyAlignment="1">
      <alignment horizontal="right" vertical="center" wrapText="1"/>
    </xf>
    <xf numFmtId="164" fontId="13" fillId="15" borderId="1" xfId="1" applyFont="1" applyFill="1" applyBorder="1" applyAlignment="1">
      <alignment horizontal="right" vertical="top" wrapText="1"/>
    </xf>
    <xf numFmtId="4" fontId="16" fillId="2" borderId="1" xfId="10" applyNumberFormat="1" applyFont="1" applyFill="1" applyBorder="1" applyAlignment="1">
      <alignment horizontal="right" vertical="top" wrapText="1"/>
    </xf>
    <xf numFmtId="164" fontId="26" fillId="15" borderId="1" xfId="1" applyFont="1" applyFill="1" applyBorder="1" applyAlignment="1">
      <alignment horizontal="right" vertical="top" wrapText="1"/>
    </xf>
    <xf numFmtId="4" fontId="16" fillId="15" borderId="1" xfId="1" applyNumberFormat="1" applyFont="1" applyFill="1" applyBorder="1" applyAlignment="1">
      <alignment horizontal="right" vertical="top" wrapText="1"/>
    </xf>
    <xf numFmtId="164" fontId="16" fillId="2" borderId="1" xfId="10" applyFont="1" applyFill="1" applyBorder="1" applyAlignment="1">
      <alignment horizontal="right" vertical="top" wrapText="1"/>
    </xf>
    <xf numFmtId="10" fontId="16" fillId="8" borderId="1" xfId="2" applyNumberFormat="1" applyFont="1" applyFill="1" applyBorder="1" applyAlignment="1">
      <alignment horizontal="center" vertical="top" wrapText="1"/>
    </xf>
    <xf numFmtId="164" fontId="16" fillId="10" borderId="1" xfId="1" applyFont="1" applyFill="1" applyBorder="1" applyAlignment="1">
      <alignment horizontal="center" vertical="top" wrapText="1"/>
    </xf>
    <xf numFmtId="164" fontId="16" fillId="2" borderId="1" xfId="1" applyFont="1" applyFill="1" applyBorder="1" applyAlignment="1">
      <alignment horizontal="right" vertical="top" wrapText="1"/>
    </xf>
    <xf numFmtId="0" fontId="16" fillId="16" borderId="1" xfId="0" applyFont="1" applyFill="1" applyBorder="1" applyAlignment="1">
      <alignment horizontal="right" vertical="top" wrapText="1"/>
    </xf>
    <xf numFmtId="0" fontId="23" fillId="16" borderId="1" xfId="0" applyFont="1" applyFill="1" applyBorder="1" applyAlignment="1">
      <alignment horizontal="right" vertical="top" wrapText="1"/>
    </xf>
    <xf numFmtId="164" fontId="23" fillId="16" borderId="1" xfId="1" applyFont="1" applyFill="1" applyBorder="1" applyAlignment="1">
      <alignment horizontal="right" vertical="top" wrapText="1"/>
    </xf>
    <xf numFmtId="164" fontId="27" fillId="16" borderId="1" xfId="1" applyFont="1" applyFill="1" applyBorder="1" applyAlignment="1">
      <alignment horizontal="right" vertical="top" wrapText="1"/>
    </xf>
    <xf numFmtId="4" fontId="27" fillId="16" borderId="1" xfId="0" applyNumberFormat="1" applyFont="1" applyFill="1" applyBorder="1" applyAlignment="1">
      <alignment horizontal="right"/>
    </xf>
    <xf numFmtId="0" fontId="28" fillId="6" borderId="1" xfId="0" applyFont="1" applyFill="1" applyBorder="1" applyAlignment="1">
      <alignment horizontal="right" vertical="center"/>
    </xf>
    <xf numFmtId="0" fontId="10" fillId="6" borderId="1" xfId="0" applyFont="1" applyFill="1" applyBorder="1"/>
    <xf numFmtId="0" fontId="29" fillId="0" borderId="0" xfId="0" applyFont="1"/>
    <xf numFmtId="43" fontId="0" fillId="0" borderId="0" xfId="0" applyNumberFormat="1"/>
    <xf numFmtId="0" fontId="30" fillId="0" borderId="0" xfId="0" applyFont="1"/>
    <xf numFmtId="0" fontId="25" fillId="2" borderId="0" xfId="0" applyFont="1" applyFill="1" applyAlignment="1">
      <alignment wrapText="1"/>
    </xf>
    <xf numFmtId="43" fontId="30" fillId="0" borderId="0" xfId="11" applyFont="1" applyBorder="1"/>
    <xf numFmtId="2" fontId="30" fillId="0" borderId="0" xfId="0" applyNumberFormat="1" applyFont="1"/>
    <xf numFmtId="9" fontId="16" fillId="15" borderId="1" xfId="2" applyFont="1" applyFill="1" applyBorder="1" applyAlignment="1">
      <alignment horizontal="center" vertical="center" wrapText="1"/>
    </xf>
    <xf numFmtId="4" fontId="16" fillId="15" borderId="1" xfId="1" applyNumberFormat="1" applyFont="1" applyFill="1" applyBorder="1" applyAlignment="1">
      <alignment horizontal="center" vertical="center" wrapText="1"/>
    </xf>
    <xf numFmtId="4" fontId="16" fillId="15" borderId="1" xfId="1" applyNumberFormat="1" applyFont="1" applyFill="1" applyBorder="1" applyAlignment="1">
      <alignment horizontal="center" vertical="top" wrapText="1"/>
    </xf>
    <xf numFmtId="9" fontId="27" fillId="16" borderId="1" xfId="2" applyFont="1" applyFill="1" applyBorder="1" applyAlignment="1">
      <alignment horizontal="center"/>
    </xf>
    <xf numFmtId="4" fontId="27" fillId="16" borderId="1" xfId="0" applyNumberFormat="1" applyFont="1" applyFill="1" applyBorder="1" applyAlignment="1">
      <alignment horizontal="center"/>
    </xf>
    <xf numFmtId="10" fontId="30" fillId="0" borderId="0" xfId="2" applyNumberFormat="1" applyFont="1" applyBorder="1"/>
    <xf numFmtId="10" fontId="31" fillId="0" borderId="0" xfId="2" applyNumberFormat="1" applyFont="1" applyBorder="1"/>
    <xf numFmtId="10" fontId="14" fillId="15" borderId="1" xfId="2" applyNumberFormat="1" applyFont="1" applyFill="1" applyBorder="1" applyAlignment="1">
      <alignment horizontal="center" vertical="top" wrapText="1"/>
    </xf>
    <xf numFmtId="166" fontId="14" fillId="15" borderId="1" xfId="2" applyNumberFormat="1" applyFont="1" applyFill="1" applyBorder="1" applyAlignment="1">
      <alignment horizontal="center" vertical="top" wrapText="1"/>
    </xf>
    <xf numFmtId="10" fontId="14" fillId="15" borderId="1" xfId="1" applyNumberFormat="1" applyFont="1" applyFill="1" applyBorder="1" applyAlignment="1">
      <alignment horizontal="center" vertical="top" wrapText="1"/>
    </xf>
    <xf numFmtId="10" fontId="27" fillId="16" borderId="1" xfId="2" applyNumberFormat="1" applyFont="1" applyFill="1" applyBorder="1" applyAlignment="1">
      <alignment horizontal="center" vertical="top" wrapText="1"/>
    </xf>
    <xf numFmtId="166" fontId="27" fillId="16" borderId="1" xfId="2" applyNumberFormat="1" applyFont="1" applyFill="1" applyBorder="1" applyAlignment="1">
      <alignment horizontal="center" vertical="top" wrapText="1"/>
    </xf>
    <xf numFmtId="166" fontId="16" fillId="16" borderId="1" xfId="2" applyNumberFormat="1" applyFont="1" applyFill="1" applyBorder="1" applyAlignment="1">
      <alignment horizontal="center" vertical="top" wrapText="1"/>
    </xf>
    <xf numFmtId="43" fontId="3" fillId="4" borderId="1" xfId="0" quotePrefix="1" applyNumberFormat="1" applyFont="1" applyFill="1" applyBorder="1" applyAlignment="1">
      <alignment horizontal="center"/>
    </xf>
    <xf numFmtId="0" fontId="39" fillId="8" borderId="1" xfId="0" applyFont="1" applyFill="1" applyBorder="1"/>
    <xf numFmtId="0" fontId="40" fillId="0" borderId="0" xfId="0" applyFont="1"/>
    <xf numFmtId="0" fontId="28" fillId="6" borderId="1" xfId="0" applyFont="1" applyFill="1" applyBorder="1" applyAlignment="1">
      <alignment horizontal="left" vertical="center"/>
    </xf>
    <xf numFmtId="4" fontId="20" fillId="0" borderId="0" xfId="0" applyNumberFormat="1" applyFont="1"/>
    <xf numFmtId="0" fontId="16" fillId="15" borderId="1" xfId="0" applyFont="1" applyFill="1" applyBorder="1" applyAlignment="1">
      <alignment horizontal="right"/>
    </xf>
    <xf numFmtId="0" fontId="13" fillId="15" borderId="1" xfId="0" applyFont="1" applyFill="1" applyBorder="1" applyAlignment="1">
      <alignment horizontal="right"/>
    </xf>
    <xf numFmtId="43" fontId="8" fillId="0" borderId="0" xfId="0" applyNumberFormat="1" applyFont="1"/>
    <xf numFmtId="164" fontId="16" fillId="2" borderId="1" xfId="1" applyFont="1" applyFill="1" applyBorder="1" applyAlignment="1">
      <alignment horizontal="right"/>
    </xf>
    <xf numFmtId="0" fontId="16" fillId="2" borderId="1" xfId="0" applyFont="1" applyFill="1" applyBorder="1" applyAlignment="1">
      <alignment horizontal="center" wrapText="1"/>
    </xf>
    <xf numFmtId="0" fontId="6" fillId="7" borderId="1" xfId="0" applyFont="1" applyFill="1" applyBorder="1"/>
    <xf numFmtId="0" fontId="6" fillId="0" borderId="1" xfId="0" applyFont="1" applyBorder="1"/>
    <xf numFmtId="4" fontId="5" fillId="2" borderId="0" xfId="0" applyNumberFormat="1" applyFont="1" applyFill="1" applyAlignment="1">
      <alignment horizontal="right"/>
    </xf>
    <xf numFmtId="0" fontId="42" fillId="0" borderId="0" xfId="0" applyFont="1"/>
    <xf numFmtId="167" fontId="41" fillId="0" borderId="0" xfId="1" applyNumberFormat="1" applyFont="1"/>
    <xf numFmtId="0" fontId="43" fillId="0" borderId="0" xfId="0" applyFont="1" applyBorder="1" applyAlignment="1">
      <alignment horizontal="right"/>
    </xf>
    <xf numFmtId="4" fontId="44" fillId="2" borderId="0" xfId="0" applyNumberFormat="1" applyFont="1" applyFill="1" applyBorder="1"/>
    <xf numFmtId="0" fontId="10" fillId="0" borderId="0" xfId="0" applyFont="1" applyBorder="1"/>
    <xf numFmtId="4" fontId="16" fillId="2" borderId="1" xfId="0" applyNumberFormat="1" applyFont="1" applyFill="1" applyBorder="1" applyAlignment="1">
      <alignment wrapText="1"/>
    </xf>
    <xf numFmtId="0" fontId="16" fillId="2" borderId="1" xfId="0" applyFont="1" applyFill="1" applyBorder="1" applyAlignment="1">
      <alignment wrapText="1"/>
    </xf>
    <xf numFmtId="0" fontId="16" fillId="0" borderId="1" xfId="0" applyFont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0" fontId="16" fillId="0" borderId="1" xfId="0" applyFont="1" applyBorder="1" applyAlignment="1">
      <alignment horizontal="center" vertical="center"/>
    </xf>
    <xf numFmtId="0" fontId="45" fillId="0" borderId="0" xfId="0" applyFont="1"/>
    <xf numFmtId="4" fontId="5" fillId="2" borderId="0" xfId="0" applyNumberFormat="1" applyFont="1" applyFill="1"/>
    <xf numFmtId="164" fontId="41" fillId="0" borderId="0" xfId="1" applyFont="1" applyBorder="1"/>
    <xf numFmtId="4" fontId="41" fillId="2" borderId="0" xfId="0" applyNumberFormat="1" applyFont="1" applyFill="1" applyBorder="1"/>
    <xf numFmtId="0" fontId="46" fillId="0" borderId="0" xfId="0" applyFont="1" applyBorder="1" applyAlignment="1">
      <alignment horizontal="right"/>
    </xf>
    <xf numFmtId="4" fontId="44" fillId="2" borderId="0" xfId="0" applyNumberFormat="1" applyFont="1" applyFill="1" applyBorder="1" applyAlignment="1">
      <alignment horizontal="right"/>
    </xf>
    <xf numFmtId="0" fontId="9" fillId="0" borderId="0" xfId="0" applyFont="1" applyBorder="1" applyAlignment="1">
      <alignment horizontal="right"/>
    </xf>
    <xf numFmtId="0" fontId="9" fillId="0" borderId="0" xfId="0" applyFont="1" applyAlignment="1">
      <alignment horizontal="right"/>
    </xf>
    <xf numFmtId="164" fontId="5" fillId="2" borderId="0" xfId="1" applyFont="1" applyFill="1" applyBorder="1" applyAlignment="1">
      <alignment horizontal="right" vertical="top" wrapText="1"/>
    </xf>
    <xf numFmtId="49" fontId="16" fillId="2" borderId="1" xfId="0" applyNumberFormat="1" applyFont="1" applyFill="1" applyBorder="1" applyAlignment="1">
      <alignment wrapText="1"/>
    </xf>
    <xf numFmtId="0" fontId="16" fillId="2" borderId="1" xfId="0" applyFont="1" applyFill="1" applyBorder="1" applyAlignment="1">
      <alignment horizontal="left" wrapText="1"/>
    </xf>
    <xf numFmtId="4" fontId="16" fillId="0" borderId="1" xfId="0" applyNumberFormat="1" applyFont="1" applyBorder="1" applyAlignment="1">
      <alignment wrapText="1"/>
    </xf>
    <xf numFmtId="0" fontId="16" fillId="0" borderId="1" xfId="0" applyFont="1" applyFill="1" applyBorder="1" applyAlignment="1">
      <alignment horizontal="center"/>
    </xf>
    <xf numFmtId="0" fontId="11" fillId="6" borderId="1" xfId="0" applyFont="1" applyFill="1" applyBorder="1" applyAlignment="1">
      <alignment horizontal="center"/>
    </xf>
    <xf numFmtId="0" fontId="12" fillId="8" borderId="1" xfId="0" applyFont="1" applyFill="1" applyBorder="1" applyAlignment="1">
      <alignment horizontal="center" vertical="top" wrapText="1"/>
    </xf>
    <xf numFmtId="0" fontId="14" fillId="2" borderId="1" xfId="0" applyFont="1" applyFill="1" applyBorder="1" applyAlignment="1">
      <alignment horizontal="center" vertical="top" wrapText="1"/>
    </xf>
    <xf numFmtId="0" fontId="15" fillId="9" borderId="1" xfId="0" applyFont="1" applyFill="1" applyBorder="1" applyAlignment="1">
      <alignment horizontal="center"/>
    </xf>
    <xf numFmtId="0" fontId="16" fillId="2" borderId="1" xfId="0" applyFont="1" applyFill="1" applyBorder="1" applyAlignment="1">
      <alignment horizontal="center" wrapText="1"/>
    </xf>
    <xf numFmtId="0" fontId="19" fillId="13" borderId="1" xfId="0" applyFont="1" applyFill="1" applyBorder="1" applyAlignment="1">
      <alignment horizontal="center"/>
    </xf>
    <xf numFmtId="0" fontId="23" fillId="9" borderId="1" xfId="0" applyFont="1" applyFill="1" applyBorder="1" applyAlignment="1">
      <alignment horizontal="center"/>
    </xf>
    <xf numFmtId="0" fontId="7" fillId="9" borderId="1" xfId="0" applyFont="1" applyFill="1" applyBorder="1" applyAlignment="1">
      <alignment horizontal="center"/>
    </xf>
    <xf numFmtId="0" fontId="23" fillId="14" borderId="1" xfId="0" applyFont="1" applyFill="1" applyBorder="1" applyAlignment="1">
      <alignment horizontal="center" wrapText="1"/>
    </xf>
    <xf numFmtId="0" fontId="14" fillId="2" borderId="1" xfId="0" applyFont="1" applyFill="1" applyBorder="1" applyAlignment="1">
      <alignment horizontal="center"/>
    </xf>
    <xf numFmtId="0" fontId="27" fillId="2" borderId="0" xfId="0" applyFont="1" applyFill="1" applyAlignment="1">
      <alignment horizontal="center" wrapText="1"/>
    </xf>
    <xf numFmtId="0" fontId="47" fillId="0" borderId="0" xfId="0" applyFont="1"/>
    <xf numFmtId="16" fontId="48" fillId="2" borderId="0" xfId="0" applyNumberFormat="1" applyFont="1" applyFill="1"/>
    <xf numFmtId="164" fontId="49" fillId="0" borderId="0" xfId="1" applyFont="1"/>
    <xf numFmtId="43" fontId="49" fillId="0" borderId="0" xfId="0" applyNumberFormat="1" applyFont="1"/>
    <xf numFmtId="4" fontId="49" fillId="0" borderId="0" xfId="0" applyNumberFormat="1" applyFont="1"/>
    <xf numFmtId="0" fontId="50" fillId="0" borderId="0" xfId="0" applyFont="1" applyBorder="1" applyAlignment="1">
      <alignment horizontal="right"/>
    </xf>
    <xf numFmtId="16" fontId="43" fillId="2" borderId="0" xfId="0" applyNumberFormat="1" applyFont="1" applyFill="1" applyBorder="1"/>
    <xf numFmtId="164" fontId="44" fillId="2" borderId="0" xfId="1" applyFont="1" applyFill="1" applyBorder="1" applyAlignment="1">
      <alignment horizontal="right" vertical="top" wrapText="1"/>
    </xf>
    <xf numFmtId="164" fontId="10" fillId="0" borderId="0" xfId="1" applyFont="1" applyBorder="1"/>
    <xf numFmtId="0" fontId="51" fillId="0" borderId="0" xfId="0" applyFont="1" applyBorder="1" applyAlignment="1">
      <alignment horizontal="right"/>
    </xf>
    <xf numFmtId="16" fontId="51" fillId="2" borderId="0" xfId="0" applyNumberFormat="1" applyFont="1" applyFill="1" applyBorder="1" applyAlignment="1">
      <alignment horizontal="center" wrapText="1"/>
    </xf>
    <xf numFmtId="0" fontId="52" fillId="0" borderId="0" xfId="0" applyFont="1" applyBorder="1"/>
    <xf numFmtId="0" fontId="51" fillId="0" borderId="0" xfId="0" applyFont="1" applyBorder="1" applyAlignment="1">
      <alignment horizontal="right" wrapText="1"/>
    </xf>
    <xf numFmtId="4" fontId="53" fillId="2" borderId="0" xfId="0" applyNumberFormat="1" applyFont="1" applyFill="1" applyBorder="1"/>
    <xf numFmtId="4" fontId="53" fillId="2" borderId="0" xfId="0" applyNumberFormat="1" applyFont="1" applyFill="1" applyBorder="1" applyAlignment="1">
      <alignment horizontal="right"/>
    </xf>
    <xf numFmtId="164" fontId="53" fillId="2" borderId="0" xfId="1" applyFont="1" applyFill="1" applyBorder="1" applyAlignment="1">
      <alignment horizontal="right" vertical="top" wrapText="1"/>
    </xf>
    <xf numFmtId="0" fontId="46" fillId="0" borderId="0" xfId="0" applyFont="1" applyBorder="1" applyAlignment="1">
      <alignment horizontal="right" wrapText="1"/>
    </xf>
    <xf numFmtId="4" fontId="41" fillId="2" borderId="0" xfId="0" applyNumberFormat="1" applyFont="1" applyFill="1" applyBorder="1" applyAlignment="1">
      <alignment horizontal="right"/>
    </xf>
    <xf numFmtId="164" fontId="41" fillId="2" borderId="0" xfId="1" applyFont="1" applyFill="1" applyBorder="1" applyAlignment="1">
      <alignment horizontal="right" vertical="top" wrapText="1"/>
    </xf>
  </cellXfs>
  <cellStyles count="36">
    <cellStyle name="60% - Accent1 2" xfId="3"/>
    <cellStyle name="60% - Accent2 2" xfId="4"/>
    <cellStyle name="60% - Accent3 2" xfId="5"/>
    <cellStyle name="60% - Accent4 2" xfId="6"/>
    <cellStyle name="60% - Accent5 2" xfId="7"/>
    <cellStyle name="60% - Accent6 2" xfId="8"/>
    <cellStyle name="Comma" xfId="1" builtinId="3"/>
    <cellStyle name="Comma 10" xfId="9"/>
    <cellStyle name="Comma 10 13" xfId="10"/>
    <cellStyle name="Comma 14" xfId="28"/>
    <cellStyle name="Comma 15" xfId="30"/>
    <cellStyle name="Comma 15 2" xfId="34"/>
    <cellStyle name="Comma 2" xfId="11"/>
    <cellStyle name="Comma 2 2" xfId="12"/>
    <cellStyle name="Comma 3" xfId="13"/>
    <cellStyle name="Comma 3 2" xfId="14"/>
    <cellStyle name="Comma 3 2 2" xfId="15"/>
    <cellStyle name="Comma 4" xfId="16"/>
    <cellStyle name="Comma 5" xfId="17"/>
    <cellStyle name="Comma 6" xfId="18"/>
    <cellStyle name="Comma 8" xfId="19"/>
    <cellStyle name="Neutral 2" xfId="20"/>
    <cellStyle name="Normal" xfId="0" builtinId="0"/>
    <cellStyle name="Normal 2" xfId="21"/>
    <cellStyle name="Normal 2 2" xfId="22"/>
    <cellStyle name="Normal 27 2" xfId="23"/>
    <cellStyle name="Normal 3" xfId="33"/>
    <cellStyle name="Normal 6 2" xfId="31"/>
    <cellStyle name="Percent" xfId="2" builtinId="5"/>
    <cellStyle name="Percent 13" xfId="29"/>
    <cellStyle name="Percent 13 2" xfId="35"/>
    <cellStyle name="Percent 2" xfId="32"/>
    <cellStyle name="Percent 2 2" xfId="24"/>
    <cellStyle name="Percent 5" xfId="25"/>
    <cellStyle name="Percent 6" xfId="26"/>
    <cellStyle name="Title 2" xfId="2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800" b="1" i="0" u="none" strike="noStrike" kern="1200" spc="100" baseline="0">
                <a:solidFill>
                  <a:schemeClr val="dk1"/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en-GB" sz="1800">
                <a:solidFill>
                  <a:schemeClr val="dk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NAV BY CLASS OF FUNDS (N'Bn)</a:t>
            </a:r>
            <a:endParaRPr lang="en-GB" sz="1800">
              <a:solidFill>
                <a:sysClr val="windowText" lastClr="0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c:rich>
      </c:tx>
      <c:layout/>
      <c:overlay val="0"/>
      <c:spPr>
        <a:solidFill>
          <a:schemeClr val="lt1"/>
        </a:solidFill>
        <a:ln w="12700" cap="flat" cmpd="sng" algn="ctr">
          <a:solidFill>
            <a:schemeClr val="accent3"/>
          </a:solidFill>
          <a:prstDash val="solid"/>
          <a:miter lim="800000"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800" b="1" i="0" u="none" strike="noStrike" kern="1200" spc="100" baseline="0">
              <a:solidFill>
                <a:schemeClr val="dk1"/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0352501734696999E-2"/>
          <c:y val="0.12704985666184501"/>
          <c:w val="0.94540908679518498"/>
          <c:h val="0.7332719507050280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'NAV Comparison'!$B$2</c:f>
              <c:strCache>
                <c:ptCount val="1"/>
                <c:pt idx="0">
                  <c:v>Week Ended June 20, 2025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solidFill>
                <a:schemeClr val="lt1"/>
              </a:solidFill>
              <a:ln w="12700" cap="flat" cmpd="sng" algn="ctr">
                <a:solidFill>
                  <a:schemeClr val="accent6"/>
                </a:solidFill>
                <a:prstDash val="solid"/>
                <a:miter lim="800000"/>
              </a:ln>
              <a:effectLst/>
            </c:spPr>
            <c:txPr>
              <a:bodyPr rot="0" spcFirstLastPara="1" vertOverflow="ellipsis" vert="horz" wrap="square" lIns="38100" tIns="19050" rIns="38100" bIns="19050" anchor="ctr" anchorCtr="1"/>
              <a:lstStyle/>
              <a:p>
                <a:pPr>
                  <a:defRPr lang="en-US"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'NAV Comparison'!$A$3:$A$10</c:f>
              <c:strCache>
                <c:ptCount val="8"/>
                <c:pt idx="0">
                  <c:v>EQUITY BASED FUNDS</c:v>
                </c:pt>
                <c:pt idx="1">
                  <c:v>MONEY MARKET FUNDS</c:v>
                </c:pt>
                <c:pt idx="2">
                  <c:v>BONDS/FIXED INCOME FUNDS</c:v>
                </c:pt>
                <c:pt idx="3">
                  <c:v>DOLLAR FUNDS</c:v>
                </c:pt>
                <c:pt idx="4">
                  <c:v>REAL ESTATE INVESTMENT TRUST</c:v>
                </c:pt>
                <c:pt idx="5">
                  <c:v>BALANCED FUNDS</c:v>
                </c:pt>
                <c:pt idx="6">
                  <c:v>ETHICAL FUNDS</c:v>
                </c:pt>
                <c:pt idx="7">
                  <c:v>SHARI'AH COMPLAINT FUNDS</c:v>
                </c:pt>
              </c:strCache>
            </c:strRef>
          </c:cat>
          <c:val>
            <c:numRef>
              <c:f>'NAV Comparison'!$B$3:$B$10</c:f>
              <c:numCache>
                <c:formatCode>#,##0.00</c:formatCode>
                <c:ptCount val="8"/>
                <c:pt idx="0">
                  <c:v>45.399164105915702</c:v>
                </c:pt>
                <c:pt idx="1">
                  <c:v>3113.1674255467333</c:v>
                </c:pt>
                <c:pt idx="2">
                  <c:v>210.0706640520512</c:v>
                </c:pt>
                <c:pt idx="3">
                  <c:v>1920.9563961769661</c:v>
                </c:pt>
                <c:pt idx="4">
                  <c:v>358.53577928737019</c:v>
                </c:pt>
                <c:pt idx="5" formatCode="_-* #,##0.00_-;\-* #,##0.00_-;_-* &quot;-&quot;??_-;_-@_-">
                  <c:v>63.650811988436374</c:v>
                </c:pt>
                <c:pt idx="6">
                  <c:v>6.4560386400900001</c:v>
                </c:pt>
                <c:pt idx="7">
                  <c:v>60.234449857442542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C4-4569-86DB-18C6F766F1CB}"/>
            </c:ext>
          </c:extLst>
        </c:ser>
        <c:ser>
          <c:idx val="1"/>
          <c:order val="1"/>
          <c:tx>
            <c:strRef>
              <c:f>'NAV Comparison'!$C$2</c:f>
              <c:strCache>
                <c:ptCount val="1"/>
                <c:pt idx="0">
                  <c:v>Week Ended June 27, 2025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solidFill>
                <a:schemeClr val="lt1"/>
              </a:solidFill>
              <a:ln w="12700" cap="flat" cmpd="sng" algn="ctr">
                <a:solidFill>
                  <a:schemeClr val="accent6"/>
                </a:solidFill>
                <a:prstDash val="solid"/>
                <a:miter lim="800000"/>
              </a:ln>
              <a:effectLst/>
            </c:spPr>
            <c:txPr>
              <a:bodyPr rot="0" spcFirstLastPara="1" vertOverflow="ellipsis" vert="horz" wrap="square" lIns="38100" tIns="19050" rIns="38100" bIns="19050" anchor="ctr" anchorCtr="1"/>
              <a:lstStyle/>
              <a:p>
                <a:pPr>
                  <a:defRPr lang="en-US"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'NAV Comparison'!$A$3:$A$10</c:f>
              <c:strCache>
                <c:ptCount val="8"/>
                <c:pt idx="0">
                  <c:v>EQUITY BASED FUNDS</c:v>
                </c:pt>
                <c:pt idx="1">
                  <c:v>MONEY MARKET FUNDS</c:v>
                </c:pt>
                <c:pt idx="2">
                  <c:v>BONDS/FIXED INCOME FUNDS</c:v>
                </c:pt>
                <c:pt idx="3">
                  <c:v>DOLLAR FUNDS</c:v>
                </c:pt>
                <c:pt idx="4">
                  <c:v>REAL ESTATE INVESTMENT TRUST</c:v>
                </c:pt>
                <c:pt idx="5">
                  <c:v>BALANCED FUNDS</c:v>
                </c:pt>
                <c:pt idx="6">
                  <c:v>ETHICAL FUNDS</c:v>
                </c:pt>
                <c:pt idx="7">
                  <c:v>SHARI'AH COMPLAINT FUNDS</c:v>
                </c:pt>
              </c:strCache>
            </c:strRef>
          </c:cat>
          <c:val>
            <c:numRef>
              <c:f>'NAV Comparison'!$C$3:$C$10</c:f>
              <c:numCache>
                <c:formatCode>#,##0.00</c:formatCode>
                <c:ptCount val="8"/>
                <c:pt idx="0">
                  <c:v>47.767435566352702</c:v>
                </c:pt>
                <c:pt idx="1">
                  <c:v>3143.9721279913156</c:v>
                </c:pt>
                <c:pt idx="2">
                  <c:v>209.22973471064913</c:v>
                </c:pt>
                <c:pt idx="3">
                  <c:v>1919.9030689790252</c:v>
                </c:pt>
                <c:pt idx="4">
                  <c:v>358.38497647111234</c:v>
                </c:pt>
                <c:pt idx="5" formatCode="_-* #,##0.00_-;\-* #,##0.00_-;_-* &quot;-&quot;??_-;_-@_-">
                  <c:v>65.74149181611628</c:v>
                </c:pt>
                <c:pt idx="6">
                  <c:v>6.7713561673599996</c:v>
                </c:pt>
                <c:pt idx="7">
                  <c:v>60.500393707422546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0C4-4569-86DB-18C6F766F1C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0944175"/>
        <c:axId val="10939183"/>
      </c:barChart>
      <c:catAx>
        <c:axId val="109441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10939183"/>
        <c:crosses val="autoZero"/>
        <c:auto val="1"/>
        <c:lblAlgn val="ctr"/>
        <c:lblOffset val="100"/>
        <c:noMultiLvlLbl val="0"/>
      </c:catAx>
      <c:valAx>
        <c:axId val="109391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1094417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200" b="0" i="0" u="none" strike="noStrike" kern="1200" baseline="0">
              <a:solidFill>
                <a:schemeClr val="tx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pattFill prst="pct40">
      <a:fgClr>
        <a:schemeClr val="accent1"/>
      </a:fgClr>
      <a:bgClr>
        <a:schemeClr val="bg1"/>
      </a:bgClr>
    </a:pattFill>
    <a:ln>
      <a:noFill/>
    </a:ln>
    <a:effectLst/>
  </c:spPr>
  <c:txPr>
    <a:bodyPr/>
    <a:lstStyle/>
    <a:p>
      <a:pPr>
        <a:defRPr lang="en-US">
          <a:latin typeface="Tahoma" panose="020B0604030504040204" pitchFamily="34" charset="0"/>
          <a:ea typeface="Tahoma" panose="020B0604030504040204" pitchFamily="34" charset="0"/>
          <a:cs typeface="Tahoma" panose="020B060403050404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2000" b="0" i="0" u="none" strike="noStrike" kern="1200" spc="0" baseline="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en-US" sz="200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PERCENTAGE MARKET</a:t>
            </a:r>
            <a:r>
              <a:rPr lang="en-US" sz="2000" baseline="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 SHARE OF FUNDS BY CLASS</a:t>
            </a:r>
          </a:p>
          <a:p>
            <a:pPr>
              <a:defRPr lang="en-US" sz="2000" b="0" i="0" u="none" strike="noStrike" kern="1200" spc="0" baseline="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en-US" sz="1600" baseline="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AS AT 27TH JUNE, 2025</a:t>
            </a:r>
            <a:endParaRPr lang="en-US" sz="160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c:rich>
      </c:tx>
      <c:layout>
        <c:manualLayout>
          <c:xMode val="edge"/>
          <c:yMode val="edge"/>
          <c:x val="0.24175604054306885"/>
          <c:y val="1.6533275298465034E-2"/>
        </c:manualLayout>
      </c:layout>
      <c:overlay val="0"/>
      <c:spPr>
        <a:solidFill>
          <a:schemeClr val="dk1"/>
        </a:solidFill>
        <a:ln w="12700" cap="flat" cmpd="sng" algn="ctr">
          <a:solidFill>
            <a:schemeClr val="dk1">
              <a:shade val="15000"/>
            </a:schemeClr>
          </a:solidFill>
          <a:prstDash val="solid"/>
          <a:miter lim="800000"/>
        </a:ln>
        <a:effectLst/>
      </c:spPr>
    </c:title>
    <c:autoTitleDeleted val="0"/>
    <c:view3D>
      <c:rotX val="30"/>
      <c:rotY val="235"/>
      <c:depthPercent val="100"/>
      <c:rAngAx val="0"/>
    </c:view3D>
    <c:floor>
      <c:thickness val="0"/>
      <c:spPr>
        <a:noFill/>
        <a:ln>
          <a:noFill/>
        </a:ln>
        <a:effectLst/>
      </c:spPr>
    </c:floor>
    <c:sideWall>
      <c:thickness val="0"/>
      <c:spPr>
        <a:noFill/>
        <a:ln>
          <a:noFill/>
        </a:ln>
        <a:effectLst/>
      </c:spPr>
    </c:sideWall>
    <c:backWall>
      <c:thickness val="0"/>
      <c:spPr>
        <a:noFill/>
        <a:ln>
          <a:noFill/>
        </a:ln>
        <a:effectLst/>
      </c:spPr>
    </c:backWall>
    <c:plotArea>
      <c:layout>
        <c:manualLayout>
          <c:layoutTarget val="inner"/>
          <c:xMode val="edge"/>
          <c:yMode val="edge"/>
          <c:x val="0.15552536576715401"/>
          <c:y val="0.147427288479518"/>
          <c:w val="0.84316500743410205"/>
          <c:h val="0.81423920364184199"/>
        </c:manualLayout>
      </c:layout>
      <c:pie3DChart>
        <c:varyColors val="1"/>
        <c:ser>
          <c:idx val="0"/>
          <c:order val="0"/>
          <c:tx>
            <c:strRef>
              <c:f>'Market Share'!$B$1</c:f>
              <c:strCache>
                <c:ptCount val="1"/>
                <c:pt idx="0">
                  <c:v>27-Jun</c:v>
                </c:pt>
              </c:strCache>
            </c:strRef>
          </c:tx>
          <c:explosion val="1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36C1-41E2-BD65-8D78AE0E5F1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36C1-41E2-BD65-8D78AE0E5F1E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36C1-41E2-BD65-8D78AE0E5F1E}"/>
              </c:ext>
            </c:extLst>
          </c:dPt>
          <c:dPt>
            <c:idx val="3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36C1-41E2-BD65-8D78AE0E5F1E}"/>
              </c:ext>
            </c:extLst>
          </c:dPt>
          <c:dPt>
            <c:idx val="4"/>
            <c:bubble3D val="0"/>
            <c:spPr>
              <a:solidFill>
                <a:schemeClr val="accent3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36C1-41E2-BD65-8D78AE0E5F1E}"/>
              </c:ext>
            </c:extLst>
          </c:dPt>
          <c:dPt>
            <c:idx val="5"/>
            <c:bubble3D val="0"/>
            <c:spPr>
              <a:solidFill>
                <a:schemeClr val="accent5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36C1-41E2-BD65-8D78AE0E5F1E}"/>
              </c:ext>
            </c:extLst>
          </c:dPt>
          <c:dPt>
            <c:idx val="6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36C1-41E2-BD65-8D78AE0E5F1E}"/>
              </c:ext>
            </c:extLst>
          </c:dPt>
          <c:dPt>
            <c:idx val="7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F-36C1-41E2-BD65-8D78AE0E5F1E}"/>
              </c:ext>
            </c:extLst>
          </c:dPt>
          <c:dLbls>
            <c:dLbl>
              <c:idx val="0"/>
              <c:layout>
                <c:manualLayout>
                  <c:x val="-4.31242058258033E-2"/>
                  <c:y val="0.11941221286673269"/>
                </c:manualLayout>
              </c:layout>
              <c:numFmt formatCode="0.00%" sourceLinked="0"/>
              <c:spPr>
                <a:gradFill rotWithShape="1">
                  <a:gsLst>
                    <a:gs pos="0">
                      <a:schemeClr val="dk1">
                        <a:satMod val="103000"/>
                        <a:lumMod val="102000"/>
                        <a:tint val="94000"/>
                      </a:schemeClr>
                    </a:gs>
                    <a:gs pos="50000">
                      <a:schemeClr val="dk1">
                        <a:satMod val="110000"/>
                        <a:lumMod val="100000"/>
                        <a:shade val="100000"/>
                      </a:schemeClr>
                    </a:gs>
                    <a:gs pos="100000">
                      <a:schemeClr val="dk1">
                        <a:lumMod val="99000"/>
                        <a:satMod val="120000"/>
                        <a:shade val="78000"/>
                      </a:schemeClr>
                    </a:gs>
                  </a:gsLst>
                  <a:lin ang="5400000" scaled="0"/>
                </a:gradFill>
                <a:ln w="6350" cap="flat" cmpd="sng" algn="ctr">
                  <a:solidFill>
                    <a:schemeClr val="dk1"/>
                  </a:solidFill>
                  <a:prstDash val="solid"/>
                  <a:miter lim="800000"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lang="en-US" sz="1100" b="0" i="0" u="none" strike="noStrike" kern="1200" baseline="0">
                      <a:solidFill>
                        <a:schemeClr val="lt1"/>
                      </a:solidFill>
                      <a:latin typeface="Tahoma" panose="020B0604030504040204" pitchFamily="34" charset="0"/>
                      <a:ea typeface="Tahoma" panose="020B0604030504040204" pitchFamily="34" charset="0"/>
                      <a:cs typeface="Tahoma" panose="020B0604030504040204" pitchFamily="34" charset="0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9.447913288926979E-2"/>
                      <c:h val="7.4076297412611333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36C1-41E2-BD65-8D78AE0E5F1E}"/>
                </c:ext>
              </c:extLst>
            </c:dLbl>
            <c:dLbl>
              <c:idx val="1"/>
              <c:layout>
                <c:manualLayout>
                  <c:x val="-8.3929154372232501E-2"/>
                  <c:y val="5.523740886099379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6C1-41E2-BD65-8D78AE0E5F1E}"/>
                </c:ext>
              </c:extLst>
            </c:dLbl>
            <c:dLbl>
              <c:idx val="2"/>
              <c:layout>
                <c:manualLayout>
                  <c:x val="-2.4332941580313142E-2"/>
                  <c:y val="-9.756313468434001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36C1-41E2-BD65-8D78AE0E5F1E}"/>
                </c:ext>
              </c:extLst>
            </c:dLbl>
            <c:dLbl>
              <c:idx val="3"/>
              <c:layout>
                <c:manualLayout>
                  <c:x val="-1.82320668832372E-2"/>
                  <c:y val="3.176145796708879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36C1-41E2-BD65-8D78AE0E5F1E}"/>
                </c:ext>
              </c:extLst>
            </c:dLbl>
            <c:dLbl>
              <c:idx val="4"/>
              <c:layout>
                <c:manualLayout>
                  <c:x val="-2.2105334402515699E-2"/>
                  <c:y val="-0.10218920639283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36C1-41E2-BD65-8D78AE0E5F1E}"/>
                </c:ext>
              </c:extLst>
            </c:dLbl>
            <c:dLbl>
              <c:idx val="5"/>
              <c:layout>
                <c:manualLayout>
                  <c:x val="0.18662381396528396"/>
                  <c:y val="-0.1256134317466217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36C1-41E2-BD65-8D78AE0E5F1E}"/>
                </c:ext>
              </c:extLst>
            </c:dLbl>
            <c:dLbl>
              <c:idx val="6"/>
              <c:layout>
                <c:manualLayout>
                  <c:x val="1.2680117563912296E-2"/>
                  <c:y val="0.1333543561682774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36C1-41E2-BD65-8D78AE0E5F1E}"/>
                </c:ext>
              </c:extLst>
            </c:dLbl>
            <c:dLbl>
              <c:idx val="7"/>
              <c:layout>
                <c:manualLayout>
                  <c:x val="-0.23297582723395899"/>
                  <c:y val="-0.3286625827229129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36C1-41E2-BD65-8D78AE0E5F1E}"/>
                </c:ext>
              </c:extLst>
            </c:dLbl>
            <c:numFmt formatCode="0.00%" sourceLinked="0"/>
            <c:spPr>
              <a:gradFill rotWithShape="1">
                <a:gsLst>
                  <a:gs pos="0">
                    <a:schemeClr val="dk1">
                      <a:satMod val="103000"/>
                      <a:lumMod val="102000"/>
                      <a:tint val="94000"/>
                    </a:schemeClr>
                  </a:gs>
                  <a:gs pos="50000">
                    <a:schemeClr val="dk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dk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6350" cap="flat" cmpd="sng" algn="ctr">
                <a:solidFill>
                  <a:schemeClr val="dk1"/>
                </a:solidFill>
                <a:prstDash val="solid"/>
                <a:miter lim="800000"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1100" b="0" i="0" u="none" strike="noStrike" kern="1200" baseline="0">
                    <a:solidFill>
                      <a:schemeClr val="lt1"/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2540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'Market Share'!$A$2:$A$9</c:f>
              <c:strCache>
                <c:ptCount val="8"/>
                <c:pt idx="0">
                  <c:v>ETHICAL FUNDS</c:v>
                </c:pt>
                <c:pt idx="1">
                  <c:v>EQUITY BASED FUNDS</c:v>
                </c:pt>
                <c:pt idx="2">
                  <c:v>SHARI'AH COMPLAINT FUNDS</c:v>
                </c:pt>
                <c:pt idx="3">
                  <c:v>BALANCED FUNDS</c:v>
                </c:pt>
                <c:pt idx="4">
                  <c:v>REAL ESTATE INVESTMENT TRUST</c:v>
                </c:pt>
                <c:pt idx="5">
                  <c:v>BONDS/FIXED INCOME FUNDS</c:v>
                </c:pt>
                <c:pt idx="6">
                  <c:v>DOLLAR FUNDS</c:v>
                </c:pt>
                <c:pt idx="7">
                  <c:v>MONEY MARKET FUNDS</c:v>
                </c:pt>
              </c:strCache>
            </c:strRef>
          </c:cat>
          <c:val>
            <c:numRef>
              <c:f>'Market Share'!$B$2:$B$9</c:f>
              <c:numCache>
                <c:formatCode>#,##0.00</c:formatCode>
                <c:ptCount val="8"/>
                <c:pt idx="0">
                  <c:v>6771356167.3599997</c:v>
                </c:pt>
                <c:pt idx="1">
                  <c:v>47767435566.352699</c:v>
                </c:pt>
                <c:pt idx="2" formatCode="_-* #,##0.00_-;\-* #,##0.00_-;_-* &quot;-&quot;??_-;_-@_-">
                  <c:v>60500393707.422546</c:v>
                </c:pt>
                <c:pt idx="3">
                  <c:v>65741491816.116287</c:v>
                </c:pt>
                <c:pt idx="4">
                  <c:v>358384976471.11237</c:v>
                </c:pt>
                <c:pt idx="5">
                  <c:v>209229734710.64914</c:v>
                </c:pt>
                <c:pt idx="6">
                  <c:v>1919903068979.0251</c:v>
                </c:pt>
                <c:pt idx="7">
                  <c:v>3143972127991.3154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36C1-41E2-BD65-8D78AE0E5F1E}"/>
            </c:ext>
          </c:extLst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pattFill prst="pct40">
      <a:fgClr>
        <a:schemeClr val="accent1"/>
      </a:fgClr>
      <a:bgClr>
        <a:schemeClr val="bg1"/>
      </a:bgClr>
    </a:pattFill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  <a:effectLst>
      <a:outerShdw blurRad="50800" dist="50800" dir="5400000" algn="ctr" rotWithShape="0">
        <a:schemeClr val="accent3">
          <a:lumMod val="20000"/>
          <a:lumOff val="80000"/>
        </a:schemeClr>
      </a:outerShdw>
    </a:effectLst>
  </c:spPr>
  <c:txPr>
    <a:bodyPr/>
    <a:lstStyle/>
    <a:p>
      <a:pPr>
        <a:defRPr lang="en-US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600" b="1" i="0" u="none" strike="noStrike" kern="1200" cap="all" spc="120" normalizeH="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chemeClr val="bg1"/>
                </a:solidFill>
              </a:rPr>
              <a:t>8-WEEK MOVEMENT IN TOTAL NAV (N'Bn)</a:t>
            </a:r>
          </a:p>
        </c:rich>
      </c:tx>
      <c:layout>
        <c:manualLayout>
          <c:xMode val="edge"/>
          <c:yMode val="edge"/>
          <c:x val="0.259825017515738"/>
          <c:y val="1.568627838475300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600" b="1" i="0" u="none" strike="noStrike" kern="1200" cap="all" spc="120" normalizeH="0" baseline="0">
              <a:solidFill>
                <a:schemeClr val="bg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'8-Week Movement in NAV'!$A$3</c:f>
              <c:strCache>
                <c:ptCount val="1"/>
                <c:pt idx="0">
                  <c:v>TOTAL NAV</c:v>
                </c:pt>
              </c:strCache>
            </c:strRef>
          </c:tx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accent1"/>
              </a:solidFill>
              <a:ln w="9525">
                <a:solidFill>
                  <a:schemeClr val="accent1"/>
                </a:solidFill>
                <a:round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1"/>
                </a:solidFill>
                <a:prstDash val="sysDash"/>
              </a:ln>
              <a:effectLst/>
            </c:spPr>
            <c:trendlineType val="linear"/>
            <c:dispRSqr val="0"/>
            <c:dispEq val="0"/>
          </c:trendline>
          <c:cat>
            <c:numRef>
              <c:f>'8-Week Movement in NAV'!$B$2:$I$2</c:f>
              <c:numCache>
                <c:formatCode>d\-mmm</c:formatCode>
                <c:ptCount val="8"/>
                <c:pt idx="0">
                  <c:v>45786</c:v>
                </c:pt>
                <c:pt idx="1">
                  <c:v>45793</c:v>
                </c:pt>
                <c:pt idx="2">
                  <c:v>45800</c:v>
                </c:pt>
                <c:pt idx="3">
                  <c:v>45807</c:v>
                </c:pt>
                <c:pt idx="4">
                  <c:v>45813</c:v>
                </c:pt>
                <c:pt idx="5">
                  <c:v>45821</c:v>
                </c:pt>
                <c:pt idx="6">
                  <c:v>45828</c:v>
                </c:pt>
                <c:pt idx="7">
                  <c:v>45835</c:v>
                </c:pt>
              </c:numCache>
            </c:numRef>
          </c:cat>
          <c:val>
            <c:numRef>
              <c:f>'8-Week Movement in NAV'!$B$3:$I$3</c:f>
              <c:numCache>
                <c:formatCode>_-* #,##0.00_-;\-* #,##0.00_-;_-* "-"??_-;_-@_-</c:formatCode>
                <c:ptCount val="8"/>
                <c:pt idx="0">
                  <c:v>5297.7036669070822</c:v>
                </c:pt>
                <c:pt idx="1">
                  <c:v>5600.7611033252406</c:v>
                </c:pt>
                <c:pt idx="2">
                  <c:v>5614.7878514083422</c:v>
                </c:pt>
                <c:pt idx="3">
                  <c:v>5661.0011217265082</c:v>
                </c:pt>
                <c:pt idx="4">
                  <c:v>5706.8748281549615</c:v>
                </c:pt>
                <c:pt idx="5">
                  <c:v>5739.2216808320509</c:v>
                </c:pt>
                <c:pt idx="6">
                  <c:v>5778.470729655005</c:v>
                </c:pt>
                <c:pt idx="7">
                  <c:v>5812.2705854093538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08B-4464-8D73-A29E32154DB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917563183"/>
        <c:axId val="917583983"/>
      </c:lineChart>
      <c:dateAx>
        <c:axId val="917563183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800" b="0" i="0" u="none" strike="noStrike" kern="1200" cap="all" spc="120" normalizeH="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7583983"/>
        <c:crosses val="autoZero"/>
        <c:auto val="1"/>
        <c:lblOffset val="100"/>
        <c:baseTimeUnit val="days"/>
      </c:dateAx>
      <c:valAx>
        <c:axId val="917583983"/>
        <c:scaling>
          <c:orientation val="minMax"/>
        </c:scaling>
        <c:delete val="0"/>
        <c:axPos val="l"/>
        <c:numFmt formatCode="_-* #,##0.00_-;\-* #,##0.00_-;_-* &quot;-&quot;??_-;_-@_-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756318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tx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n-US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defRPr lang="en-US" sz="1600" b="1" i="0" u="none" strike="noStrike" kern="1200" spc="100" baseline="0">
                <a:solidFill>
                  <a:sysClr val="window" lastClr="FFFFFF">
                    <a:lumMod val="95000"/>
                  </a:sys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 sz="1600" b="1" i="0" u="none" strike="noStrike" kern="1200" cap="all" spc="120" normalizeH="0" baseline="0">
                <a:solidFill>
                  <a:schemeClr val="bg1"/>
                </a:solidFill>
              </a:rPr>
              <a:t>8-WEEK MOVEMENT IN </a:t>
            </a:r>
            <a:r>
              <a:rPr lang="en-US"/>
              <a:t>AGGREGATE </a:t>
            </a:r>
            <a:r>
              <a:rPr lang="en-US" sz="1400" b="1" i="0" u="none" strike="noStrike" kern="1200" spc="100" baseline="0">
                <a:solidFill>
                  <a:sysClr val="window" lastClr="FFFFFF">
                    <a:lumMod val="95000"/>
                  </a:sys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</a:rPr>
              <a:t>ETFs </a:t>
            </a:r>
            <a:r>
              <a:rPr lang="en-US" sz="1600" b="1" i="0" u="none" strike="noStrike" kern="1200" cap="all" spc="120" normalizeH="0" baseline="0">
                <a:solidFill>
                  <a:schemeClr val="bg1"/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</a:rPr>
              <a:t>(N'Bn)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 lang="en-US" sz="1600" b="1" i="0" u="none" strike="noStrike" kern="1200" spc="100" baseline="0">
              <a:solidFill>
                <a:sysClr val="window" lastClr="FFFFFF">
                  <a:lumMod val="95000"/>
                </a:sys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'8-Week Movement in ETFs'!$A$3</c:f>
              <c:strCache>
                <c:ptCount val="1"/>
                <c:pt idx="0">
                  <c:v>ETFs AGGREGATE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'8-Week Movement in ETFs'!$B$2:$I$2</c:f>
              <c:numCache>
                <c:formatCode>d\-mmm</c:formatCode>
                <c:ptCount val="8"/>
                <c:pt idx="0">
                  <c:v>45786</c:v>
                </c:pt>
                <c:pt idx="1">
                  <c:v>45793</c:v>
                </c:pt>
                <c:pt idx="2">
                  <c:v>45800</c:v>
                </c:pt>
                <c:pt idx="3">
                  <c:v>45807</c:v>
                </c:pt>
                <c:pt idx="4">
                  <c:v>45813</c:v>
                </c:pt>
                <c:pt idx="5">
                  <c:v>45821</c:v>
                </c:pt>
                <c:pt idx="6">
                  <c:v>45828</c:v>
                </c:pt>
                <c:pt idx="7">
                  <c:v>45835</c:v>
                </c:pt>
              </c:numCache>
            </c:numRef>
          </c:cat>
          <c:val>
            <c:numRef>
              <c:f>'8-Week Movement in ETFs'!$B$3:$I$3</c:f>
              <c:numCache>
                <c:formatCode>_-* #,##0.00_-;\-* #,##0.00_-;_-* "-"??_-;_-@_-</c:formatCode>
                <c:ptCount val="8"/>
                <c:pt idx="0">
                  <c:v>13.89362105705</c:v>
                </c:pt>
                <c:pt idx="1">
                  <c:v>13.906596090597997</c:v>
                </c:pt>
                <c:pt idx="2">
                  <c:v>13.574054999743</c:v>
                </c:pt>
                <c:pt idx="3">
                  <c:v>13.663574619923001</c:v>
                </c:pt>
                <c:pt idx="4">
                  <c:v>13.910462089520001</c:v>
                </c:pt>
                <c:pt idx="5">
                  <c:v>14.097996343838002</c:v>
                </c:pt>
                <c:pt idx="6">
                  <c:v>14.438197157056999</c:v>
                </c:pt>
                <c:pt idx="7">
                  <c:v>14.649626500489999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33E-4C32-8EA2-A8782F52023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602158223"/>
        <c:axId val="602149103"/>
      </c:lineChart>
      <c:dateAx>
        <c:axId val="602158223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2149103"/>
        <c:crosses val="autoZero"/>
        <c:auto val="1"/>
        <c:lblOffset val="100"/>
        <c:baseTimeUnit val="days"/>
      </c:dateAx>
      <c:valAx>
        <c:axId val="6021491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_-* #,##0.00_-;\-* #,##0.0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215822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 lang="en-US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3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495300</xdr:colOff>
      <xdr:row>22</xdr:row>
      <xdr:rowOff>142875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191846</xdr:colOff>
      <xdr:row>32</xdr:row>
      <xdr:rowOff>44823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588819</xdr:colOff>
      <xdr:row>19</xdr:row>
      <xdr:rowOff>8659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434339</xdr:colOff>
      <xdr:row>18</xdr:row>
      <xdr:rowOff>19050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0000"/>
  </sheetPr>
  <dimension ref="A1:AB258"/>
  <sheetViews>
    <sheetView tabSelected="1" zoomScale="120" zoomScaleNormal="120" zoomScaleSheetLayoutView="100" workbookViewId="0">
      <selection sqref="A1:V1"/>
    </sheetView>
  </sheetViews>
  <sheetFormatPr defaultColWidth="9" defaultRowHeight="14.4"/>
  <cols>
    <col min="1" max="1" width="6" customWidth="1"/>
    <col min="2" max="2" width="39.109375" customWidth="1"/>
    <col min="3" max="3" width="36.109375" customWidth="1"/>
    <col min="4" max="4" width="21" customWidth="1"/>
    <col min="8" max="8" width="9.88671875" customWidth="1"/>
    <col min="11" max="11" width="20.5546875" customWidth="1"/>
    <col min="13" max="14" width="10.109375" customWidth="1"/>
    <col min="15" max="15" width="9.88671875" customWidth="1"/>
    <col min="16" max="16" width="8.21875" customWidth="1"/>
    <col min="17" max="17" width="9.109375" customWidth="1"/>
    <col min="20" max="20" width="8.33203125" customWidth="1"/>
    <col min="24" max="24" width="18.88671875" customWidth="1"/>
    <col min="25" max="25" width="11.33203125" customWidth="1"/>
    <col min="26" max="27" width="17.33203125" customWidth="1"/>
  </cols>
  <sheetData>
    <row r="1" spans="1:25" ht="27">
      <c r="A1" s="158" t="s">
        <v>320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158"/>
      <c r="R1" s="158"/>
      <c r="S1" s="158"/>
      <c r="T1" s="158"/>
      <c r="U1" s="158"/>
      <c r="V1" s="158"/>
    </row>
    <row r="2" spans="1:25" ht="15" customHeight="1">
      <c r="A2" s="132"/>
      <c r="B2" s="21"/>
      <c r="C2" s="123"/>
      <c r="D2" s="159" t="s">
        <v>317</v>
      </c>
      <c r="E2" s="159"/>
      <c r="F2" s="159"/>
      <c r="G2" s="159"/>
      <c r="H2" s="159"/>
      <c r="I2" s="159"/>
      <c r="J2" s="159"/>
      <c r="K2" s="159" t="s">
        <v>321</v>
      </c>
      <c r="L2" s="159"/>
      <c r="M2" s="159"/>
      <c r="N2" s="159"/>
      <c r="O2" s="159"/>
      <c r="P2" s="159"/>
      <c r="Q2" s="159"/>
      <c r="R2" s="159" t="s">
        <v>0</v>
      </c>
      <c r="S2" s="159"/>
      <c r="T2" s="159"/>
      <c r="U2" s="159" t="s">
        <v>1</v>
      </c>
      <c r="V2" s="159"/>
    </row>
    <row r="3" spans="1:25" ht="20.399999999999999">
      <c r="A3" s="22" t="s">
        <v>2</v>
      </c>
      <c r="B3" s="23" t="s">
        <v>3</v>
      </c>
      <c r="C3" s="24" t="s">
        <v>4</v>
      </c>
      <c r="D3" s="25" t="s">
        <v>5</v>
      </c>
      <c r="E3" s="26" t="s">
        <v>6</v>
      </c>
      <c r="F3" s="26" t="s">
        <v>284</v>
      </c>
      <c r="G3" s="26" t="s">
        <v>8</v>
      </c>
      <c r="H3" s="26" t="s">
        <v>9</v>
      </c>
      <c r="I3" s="26" t="s">
        <v>10</v>
      </c>
      <c r="J3" s="26" t="s">
        <v>11</v>
      </c>
      <c r="K3" s="47" t="s">
        <v>5</v>
      </c>
      <c r="L3" s="26" t="s">
        <v>6</v>
      </c>
      <c r="M3" s="26" t="s">
        <v>7</v>
      </c>
      <c r="N3" s="26" t="s">
        <v>8</v>
      </c>
      <c r="O3" s="26" t="s">
        <v>9</v>
      </c>
      <c r="P3" s="26" t="s">
        <v>10</v>
      </c>
      <c r="Q3" s="26" t="s">
        <v>11</v>
      </c>
      <c r="R3" s="25" t="s">
        <v>12</v>
      </c>
      <c r="S3" s="26" t="s">
        <v>13</v>
      </c>
      <c r="T3" s="26" t="s">
        <v>14</v>
      </c>
      <c r="U3" s="26" t="s">
        <v>15</v>
      </c>
      <c r="V3" s="26" t="s">
        <v>16</v>
      </c>
    </row>
    <row r="4" spans="1:25" ht="5.25" customHeight="1">
      <c r="A4" s="133"/>
      <c r="B4" s="160"/>
      <c r="C4" s="160"/>
      <c r="D4" s="160"/>
      <c r="E4" s="160"/>
      <c r="F4" s="160"/>
      <c r="G4" s="160"/>
      <c r="H4" s="160"/>
      <c r="I4" s="160"/>
      <c r="J4" s="160"/>
      <c r="K4" s="160"/>
      <c r="L4" s="160"/>
      <c r="M4" s="160"/>
      <c r="N4" s="160"/>
      <c r="O4" s="160"/>
      <c r="P4" s="160"/>
      <c r="Q4" s="160"/>
      <c r="R4" s="160"/>
      <c r="S4" s="160"/>
      <c r="T4" s="160"/>
      <c r="U4" s="160"/>
      <c r="V4" s="160"/>
    </row>
    <row r="5" spans="1:25" ht="15" customHeight="1">
      <c r="A5" s="161" t="s">
        <v>17</v>
      </c>
      <c r="B5" s="161"/>
      <c r="C5" s="161"/>
      <c r="D5" s="161"/>
      <c r="E5" s="161"/>
      <c r="F5" s="161"/>
      <c r="G5" s="161"/>
      <c r="H5" s="161"/>
      <c r="I5" s="161"/>
      <c r="J5" s="161"/>
      <c r="K5" s="161"/>
      <c r="L5" s="161"/>
      <c r="M5" s="161"/>
      <c r="N5" s="161"/>
      <c r="O5" s="161"/>
      <c r="P5" s="161"/>
      <c r="Q5" s="161"/>
      <c r="R5" s="161"/>
      <c r="S5" s="161"/>
      <c r="T5" s="161"/>
      <c r="U5" s="161"/>
      <c r="V5" s="161"/>
    </row>
    <row r="6" spans="1:25">
      <c r="A6" s="144">
        <v>1</v>
      </c>
      <c r="B6" s="140" t="s">
        <v>18</v>
      </c>
      <c r="C6" s="141" t="s">
        <v>19</v>
      </c>
      <c r="D6" s="27">
        <v>1894485762.4300001</v>
      </c>
      <c r="E6" s="28">
        <f t="shared" ref="E6:E22" si="0">(D6/$D$25)</f>
        <v>4.1729529601254062E-2</v>
      </c>
      <c r="F6" s="29">
        <v>479.71089999999998</v>
      </c>
      <c r="G6" s="29">
        <v>484.24540000000002</v>
      </c>
      <c r="H6" s="30">
        <v>1689</v>
      </c>
      <c r="I6" s="48">
        <v>2.4400000000000002E-2</v>
      </c>
      <c r="J6" s="48">
        <v>0.20680000000000001</v>
      </c>
      <c r="K6" s="27">
        <v>2003603543.48</v>
      </c>
      <c r="L6" s="28">
        <f t="shared" ref="L6:L22" si="1">(K6/$K$25)</f>
        <v>4.1944967732187304E-2</v>
      </c>
      <c r="M6" s="29">
        <v>489.1037</v>
      </c>
      <c r="N6" s="29">
        <v>493.67219999999998</v>
      </c>
      <c r="O6" s="30">
        <v>1689</v>
      </c>
      <c r="P6" s="48">
        <v>1.9599999999999999E-2</v>
      </c>
      <c r="Q6" s="48">
        <v>0.23039999999999999</v>
      </c>
      <c r="R6" s="54">
        <f>((K6-D6)/D6)</f>
        <v>5.7597572499060563E-2</v>
      </c>
      <c r="S6" s="54">
        <f>((N6-G6)/G6)</f>
        <v>1.9466989257925747E-2</v>
      </c>
      <c r="T6" s="54">
        <f>((O6-H6)/H6)</f>
        <v>0</v>
      </c>
      <c r="U6" s="55">
        <f>P6-I6</f>
        <v>-4.8000000000000022E-3</v>
      </c>
      <c r="V6" s="56">
        <f>Q6-J6</f>
        <v>2.3599999999999982E-2</v>
      </c>
    </row>
    <row r="7" spans="1:25">
      <c r="A7" s="144">
        <v>2</v>
      </c>
      <c r="B7" s="140" t="s">
        <v>20</v>
      </c>
      <c r="C7" s="141" t="s">
        <v>21</v>
      </c>
      <c r="D7" s="31">
        <v>771222063.25</v>
      </c>
      <c r="E7" s="28">
        <f t="shared" si="0"/>
        <v>1.6987582887005324E-2</v>
      </c>
      <c r="F7" s="31">
        <v>315.71690000000001</v>
      </c>
      <c r="G7" s="31">
        <v>319.57870000000003</v>
      </c>
      <c r="H7" s="30">
        <v>499</v>
      </c>
      <c r="I7" s="48">
        <v>2.4810000000000001E-3</v>
      </c>
      <c r="J7" s="48">
        <v>0.22600000000000001</v>
      </c>
      <c r="K7" s="31">
        <v>815800561.40999997</v>
      </c>
      <c r="L7" s="28">
        <f t="shared" si="1"/>
        <v>1.7078592386999492E-2</v>
      </c>
      <c r="M7" s="31">
        <v>328.67290000000003</v>
      </c>
      <c r="N7" s="31">
        <v>332.63029999999998</v>
      </c>
      <c r="O7" s="30">
        <v>506</v>
      </c>
      <c r="P7" s="48">
        <v>-4.7019999999999996E-3</v>
      </c>
      <c r="Q7" s="48">
        <v>0.22600000000000001</v>
      </c>
      <c r="R7" s="54">
        <f t="shared" ref="R7:R25" si="2">((K7-D7)/D7)</f>
        <v>5.7802415522375118E-2</v>
      </c>
      <c r="S7" s="54">
        <f t="shared" ref="S7:S25" si="3">((N7-G7)/G7)</f>
        <v>4.0840018436773005E-2</v>
      </c>
      <c r="T7" s="54">
        <f t="shared" ref="T7:T25" si="4">((O7-H7)/H7)</f>
        <v>1.4028056112224449E-2</v>
      </c>
      <c r="U7" s="55">
        <f t="shared" ref="U7:U25" si="5">P7-I7</f>
        <v>-7.1830000000000001E-3</v>
      </c>
      <c r="V7" s="56">
        <f t="shared" ref="V7:V25" si="6">Q7-J7</f>
        <v>0</v>
      </c>
    </row>
    <row r="8" spans="1:25">
      <c r="A8" s="144">
        <v>3</v>
      </c>
      <c r="B8" s="140" t="s">
        <v>22</v>
      </c>
      <c r="C8" s="141" t="s">
        <v>23</v>
      </c>
      <c r="D8" s="31">
        <v>4582468361.1700001</v>
      </c>
      <c r="E8" s="28">
        <f t="shared" si="0"/>
        <v>0.1009372848909543</v>
      </c>
      <c r="F8" s="31">
        <v>40.200499999999998</v>
      </c>
      <c r="G8" s="31">
        <v>41.412599999999998</v>
      </c>
      <c r="H8" s="32">
        <v>6750</v>
      </c>
      <c r="I8" s="49">
        <v>0.16417000000000001</v>
      </c>
      <c r="J8" s="49">
        <v>0.28570000000000001</v>
      </c>
      <c r="K8" s="31">
        <v>4696733813.1899996</v>
      </c>
      <c r="L8" s="28">
        <f t="shared" si="1"/>
        <v>9.8325014887304746E-2</v>
      </c>
      <c r="M8" s="31">
        <v>41.205199999999998</v>
      </c>
      <c r="N8" s="31">
        <v>42.447600000000001</v>
      </c>
      <c r="O8" s="32">
        <v>6763</v>
      </c>
      <c r="P8" s="49">
        <v>0.13031999999999999</v>
      </c>
      <c r="Q8" s="49">
        <v>0.33260000000000001</v>
      </c>
      <c r="R8" s="54">
        <f t="shared" si="2"/>
        <v>2.4935349906229389E-2</v>
      </c>
      <c r="S8" s="54">
        <f t="shared" si="3"/>
        <v>2.4992393619333336E-2</v>
      </c>
      <c r="T8" s="54">
        <f t="shared" si="4"/>
        <v>1.925925925925926E-3</v>
      </c>
      <c r="U8" s="55">
        <f t="shared" si="5"/>
        <v>-3.3850000000000019E-2</v>
      </c>
      <c r="V8" s="56">
        <f t="shared" si="6"/>
        <v>4.6899999999999997E-2</v>
      </c>
      <c r="X8" s="57"/>
      <c r="Y8" s="57"/>
    </row>
    <row r="9" spans="1:25">
      <c r="A9" s="144">
        <v>4</v>
      </c>
      <c r="B9" s="140" t="s">
        <v>24</v>
      </c>
      <c r="C9" s="141" t="s">
        <v>25</v>
      </c>
      <c r="D9" s="31">
        <v>733190729.01999998</v>
      </c>
      <c r="E9" s="28">
        <f t="shared" si="0"/>
        <v>1.6149872876722461E-2</v>
      </c>
      <c r="F9" s="31">
        <v>246.70609999999999</v>
      </c>
      <c r="G9" s="31">
        <v>246.70609999999999</v>
      </c>
      <c r="H9" s="30">
        <v>1971</v>
      </c>
      <c r="I9" s="48">
        <v>2.63E-2</v>
      </c>
      <c r="J9" s="48">
        <v>0.12670000000000001</v>
      </c>
      <c r="K9" s="31">
        <v>743784156.15999997</v>
      </c>
      <c r="L9" s="28">
        <f t="shared" si="1"/>
        <v>1.5570945924589685E-2</v>
      </c>
      <c r="M9" s="31">
        <v>250.9693</v>
      </c>
      <c r="N9" s="31">
        <v>250.9693</v>
      </c>
      <c r="O9" s="30">
        <v>1971</v>
      </c>
      <c r="P9" s="48">
        <v>1.7299999999999999E-2</v>
      </c>
      <c r="Q9" s="48">
        <v>0.14610000000000001</v>
      </c>
      <c r="R9" s="54">
        <f t="shared" si="2"/>
        <v>1.4448392104138319E-2</v>
      </c>
      <c r="S9" s="54">
        <f t="shared" si="3"/>
        <v>1.7280480701531143E-2</v>
      </c>
      <c r="T9" s="54">
        <f t="shared" si="4"/>
        <v>0</v>
      </c>
      <c r="U9" s="55">
        <f t="shared" si="5"/>
        <v>-9.0000000000000011E-3</v>
      </c>
      <c r="V9" s="56">
        <f t="shared" si="6"/>
        <v>1.9400000000000001E-2</v>
      </c>
    </row>
    <row r="10" spans="1:25">
      <c r="A10" s="144">
        <v>5</v>
      </c>
      <c r="B10" s="140" t="s">
        <v>26</v>
      </c>
      <c r="C10" s="141" t="s">
        <v>27</v>
      </c>
      <c r="D10" s="31">
        <v>1190318390.24</v>
      </c>
      <c r="E10" s="28">
        <f t="shared" si="0"/>
        <v>2.6218949482483895E-2</v>
      </c>
      <c r="F10" s="31">
        <v>1.4560999999999999</v>
      </c>
      <c r="G10" s="31">
        <v>1.4718</v>
      </c>
      <c r="H10" s="30">
        <v>525</v>
      </c>
      <c r="I10" s="48">
        <v>3.0800000000000001E-2</v>
      </c>
      <c r="J10" s="48">
        <v>0.1744</v>
      </c>
      <c r="K10" s="31">
        <v>1215147302.3099999</v>
      </c>
      <c r="L10" s="28">
        <f t="shared" si="1"/>
        <v>2.5438822241609881E-2</v>
      </c>
      <c r="M10" s="31">
        <v>1.4861</v>
      </c>
      <c r="N10" s="31">
        <v>1.5019</v>
      </c>
      <c r="O10" s="30">
        <v>531</v>
      </c>
      <c r="P10" s="48">
        <v>2.0500000000000001E-2</v>
      </c>
      <c r="Q10" s="48">
        <v>0.19850000000000001</v>
      </c>
      <c r="R10" s="54">
        <f t="shared" si="2"/>
        <v>2.0859051051873408E-2</v>
      </c>
      <c r="S10" s="54">
        <f t="shared" si="3"/>
        <v>2.0451148253838848E-2</v>
      </c>
      <c r="T10" s="54">
        <f t="shared" si="4"/>
        <v>1.1428571428571429E-2</v>
      </c>
      <c r="U10" s="55">
        <f t="shared" si="5"/>
        <v>-1.03E-2</v>
      </c>
      <c r="V10" s="56">
        <f t="shared" si="6"/>
        <v>2.410000000000001E-2</v>
      </c>
    </row>
    <row r="11" spans="1:25">
      <c r="A11" s="144">
        <v>6</v>
      </c>
      <c r="B11" s="140" t="s">
        <v>28</v>
      </c>
      <c r="C11" s="141" t="s">
        <v>29</v>
      </c>
      <c r="D11" s="33">
        <v>121013727.29000001</v>
      </c>
      <c r="E11" s="28">
        <f t="shared" si="0"/>
        <v>2.6655496785728573E-3</v>
      </c>
      <c r="F11" s="31">
        <v>178.43950000000001</v>
      </c>
      <c r="G11" s="31">
        <v>179.3364</v>
      </c>
      <c r="H11" s="32">
        <v>75</v>
      </c>
      <c r="I11" s="49">
        <v>8.9759999999999996E-3</v>
      </c>
      <c r="J11" s="49">
        <v>0.1288</v>
      </c>
      <c r="K11" s="33">
        <v>124292828.58</v>
      </c>
      <c r="L11" s="28">
        <f t="shared" si="1"/>
        <v>2.6020410580205326E-3</v>
      </c>
      <c r="M11" s="31">
        <v>183.24369999999999</v>
      </c>
      <c r="N11" s="31">
        <v>184.27070000000001</v>
      </c>
      <c r="O11" s="32">
        <v>75</v>
      </c>
      <c r="P11" s="49">
        <v>4.9049999999999996E-3</v>
      </c>
      <c r="Q11" s="49">
        <v>0.1298</v>
      </c>
      <c r="R11" s="54">
        <f t="shared" si="2"/>
        <v>2.7096936549536068E-2</v>
      </c>
      <c r="S11" s="54">
        <f t="shared" si="3"/>
        <v>2.751421351159055E-2</v>
      </c>
      <c r="T11" s="54">
        <f t="shared" si="4"/>
        <v>0</v>
      </c>
      <c r="U11" s="55">
        <f t="shared" si="5"/>
        <v>-4.071E-3</v>
      </c>
      <c r="V11" s="56">
        <f t="shared" si="6"/>
        <v>1.0000000000000009E-3</v>
      </c>
    </row>
    <row r="12" spans="1:25">
      <c r="A12" s="144">
        <v>7</v>
      </c>
      <c r="B12" s="140" t="s">
        <v>30</v>
      </c>
      <c r="C12" s="141" t="s">
        <v>31</v>
      </c>
      <c r="D12" s="31">
        <v>1750173402.99</v>
      </c>
      <c r="E12" s="28">
        <f t="shared" si="0"/>
        <v>3.8550784743676479E-2</v>
      </c>
      <c r="F12" s="31">
        <v>409.58</v>
      </c>
      <c r="G12" s="31">
        <v>414.83</v>
      </c>
      <c r="H12" s="32">
        <v>1682</v>
      </c>
      <c r="I12" s="49">
        <v>3.4700000000000002E-2</v>
      </c>
      <c r="J12" s="49">
        <v>0.26490000000000002</v>
      </c>
      <c r="K12" s="31">
        <v>1831564109.3099999</v>
      </c>
      <c r="L12" s="28">
        <f t="shared" si="1"/>
        <v>3.834336274480999E-2</v>
      </c>
      <c r="M12" s="31">
        <v>420.56</v>
      </c>
      <c r="N12" s="31">
        <v>425.89</v>
      </c>
      <c r="O12" s="32">
        <v>1684</v>
      </c>
      <c r="P12" s="49">
        <v>2.6700000000000002E-2</v>
      </c>
      <c r="Q12" s="49">
        <v>0.29880000000000001</v>
      </c>
      <c r="R12" s="54">
        <f t="shared" si="2"/>
        <v>4.6504367042118154E-2</v>
      </c>
      <c r="S12" s="54">
        <f t="shared" si="3"/>
        <v>2.6661523997782231E-2</v>
      </c>
      <c r="T12" s="54">
        <f t="shared" si="4"/>
        <v>1.1890606420927466E-3</v>
      </c>
      <c r="U12" s="55">
        <f t="shared" si="5"/>
        <v>-8.0000000000000002E-3</v>
      </c>
      <c r="V12" s="56">
        <f t="shared" si="6"/>
        <v>3.3899999999999986E-2</v>
      </c>
    </row>
    <row r="13" spans="1:25">
      <c r="A13" s="144">
        <v>8</v>
      </c>
      <c r="B13" s="140" t="s">
        <v>32</v>
      </c>
      <c r="C13" s="141" t="s">
        <v>33</v>
      </c>
      <c r="D13" s="27">
        <v>451534487.33600003</v>
      </c>
      <c r="E13" s="28">
        <f t="shared" si="0"/>
        <v>9.9458766747902126E-3</v>
      </c>
      <c r="F13" s="31">
        <v>225.02</v>
      </c>
      <c r="G13" s="31">
        <v>235.27</v>
      </c>
      <c r="H13" s="30">
        <v>2469</v>
      </c>
      <c r="I13" s="48">
        <v>-2.0500000000000001E-2</v>
      </c>
      <c r="J13" s="48">
        <v>6.25E-2</v>
      </c>
      <c r="K13" s="27">
        <v>468469965.75999999</v>
      </c>
      <c r="L13" s="28">
        <f t="shared" si="1"/>
        <v>9.8073082677687107E-3</v>
      </c>
      <c r="M13" s="31">
        <v>233.46</v>
      </c>
      <c r="N13" s="31">
        <v>242.96</v>
      </c>
      <c r="O13" s="30">
        <v>2469</v>
      </c>
      <c r="P13" s="48">
        <v>3.7499999999999999E-2</v>
      </c>
      <c r="Q13" s="48">
        <v>0.1024</v>
      </c>
      <c r="R13" s="54">
        <f t="shared" si="2"/>
        <v>3.7506500386974381E-2</v>
      </c>
      <c r="S13" s="54">
        <f t="shared" si="3"/>
        <v>3.2685850299655705E-2</v>
      </c>
      <c r="T13" s="54">
        <f t="shared" si="4"/>
        <v>0</v>
      </c>
      <c r="U13" s="55">
        <f t="shared" si="5"/>
        <v>5.7999999999999996E-2</v>
      </c>
      <c r="V13" s="56">
        <f t="shared" si="6"/>
        <v>3.9900000000000005E-2</v>
      </c>
    </row>
    <row r="14" spans="1:25">
      <c r="A14" s="144">
        <v>9</v>
      </c>
      <c r="B14" s="140" t="s">
        <v>34</v>
      </c>
      <c r="C14" s="141" t="s">
        <v>35</v>
      </c>
      <c r="D14" s="33">
        <v>73379535.419699997</v>
      </c>
      <c r="E14" s="28">
        <f t="shared" si="0"/>
        <v>1.6163190857106185E-3</v>
      </c>
      <c r="F14" s="31">
        <v>259.35000000000002</v>
      </c>
      <c r="G14" s="31">
        <v>267.45999999999998</v>
      </c>
      <c r="H14" s="30">
        <v>18</v>
      </c>
      <c r="I14" s="48">
        <v>1.5100000000000001E-2</v>
      </c>
      <c r="J14" s="48">
        <v>0.1736</v>
      </c>
      <c r="K14" s="33">
        <v>76628521.952700004</v>
      </c>
      <c r="L14" s="28">
        <f t="shared" si="1"/>
        <v>1.6042000380417534E-3</v>
      </c>
      <c r="M14" s="31">
        <v>270.78100000000001</v>
      </c>
      <c r="N14" s="31">
        <v>279.34620000000001</v>
      </c>
      <c r="O14" s="30">
        <v>18</v>
      </c>
      <c r="P14" s="48">
        <v>4.4299999999999999E-2</v>
      </c>
      <c r="Q14" s="48">
        <v>0.22559999999999999</v>
      </c>
      <c r="R14" s="54">
        <f t="shared" si="2"/>
        <v>4.4276466380131385E-2</v>
      </c>
      <c r="S14" s="54">
        <f t="shared" si="3"/>
        <v>4.4441037912211288E-2</v>
      </c>
      <c r="T14" s="54">
        <f t="shared" si="4"/>
        <v>0</v>
      </c>
      <c r="U14" s="55">
        <f t="shared" si="5"/>
        <v>2.9199999999999997E-2</v>
      </c>
      <c r="V14" s="56">
        <f t="shared" si="6"/>
        <v>5.1999999999999991E-2</v>
      </c>
    </row>
    <row r="15" spans="1:25" ht="14.25" customHeight="1">
      <c r="A15" s="144">
        <v>10</v>
      </c>
      <c r="B15" s="140" t="s">
        <v>36</v>
      </c>
      <c r="C15" s="141" t="s">
        <v>37</v>
      </c>
      <c r="D15" s="27">
        <v>1086140631.1500001</v>
      </c>
      <c r="E15" s="28">
        <f t="shared" si="0"/>
        <v>2.3924242935752012E-2</v>
      </c>
      <c r="F15" s="31">
        <v>3.0227529999999998</v>
      </c>
      <c r="G15" s="31">
        <v>3.046465</v>
      </c>
      <c r="H15" s="30">
        <v>644</v>
      </c>
      <c r="I15" s="48">
        <v>-9.0341637407346242E-3</v>
      </c>
      <c r="J15" s="48">
        <v>0.44307090339419108</v>
      </c>
      <c r="K15" s="27">
        <v>1200110773.0899999</v>
      </c>
      <c r="L15" s="28">
        <f t="shared" si="1"/>
        <v>2.5124036048009158E-2</v>
      </c>
      <c r="M15" s="31">
        <v>3.2720280000000002</v>
      </c>
      <c r="N15" s="31">
        <v>3.2968470000000001</v>
      </c>
      <c r="O15" s="30">
        <v>667</v>
      </c>
      <c r="P15" s="48">
        <v>8.2466215400332166E-2</v>
      </c>
      <c r="Q15" s="48">
        <v>0.56207549935144852</v>
      </c>
      <c r="R15" s="54">
        <f t="shared" si="2"/>
        <v>0.1049312940436901</v>
      </c>
      <c r="S15" s="54">
        <f t="shared" si="3"/>
        <v>8.2187715926491892E-2</v>
      </c>
      <c r="T15" s="54">
        <f t="shared" si="4"/>
        <v>3.5714285714285712E-2</v>
      </c>
      <c r="U15" s="55">
        <f t="shared" si="5"/>
        <v>9.150037914106679E-2</v>
      </c>
      <c r="V15" s="56">
        <f t="shared" si="6"/>
        <v>0.11900459595725743</v>
      </c>
    </row>
    <row r="16" spans="1:25" ht="14.25" customHeight="1">
      <c r="A16" s="144">
        <v>11</v>
      </c>
      <c r="B16" s="140" t="s">
        <v>38</v>
      </c>
      <c r="C16" s="141" t="s">
        <v>39</v>
      </c>
      <c r="D16" s="27">
        <v>42009567.710000001</v>
      </c>
      <c r="E16" s="28">
        <f t="shared" si="0"/>
        <v>9.2533791177282882E-4</v>
      </c>
      <c r="F16" s="31">
        <v>17.62</v>
      </c>
      <c r="G16" s="31">
        <v>18.2</v>
      </c>
      <c r="H16" s="30">
        <v>29</v>
      </c>
      <c r="I16" s="48">
        <v>2.07E-2</v>
      </c>
      <c r="J16" s="48">
        <v>0.76</v>
      </c>
      <c r="K16" s="27">
        <v>45410476.149999999</v>
      </c>
      <c r="L16" s="28">
        <f t="shared" si="1"/>
        <v>9.5065761039068758E-4</v>
      </c>
      <c r="M16" s="31">
        <v>19.02</v>
      </c>
      <c r="N16" s="31">
        <v>19.61</v>
      </c>
      <c r="O16" s="30">
        <v>31</v>
      </c>
      <c r="P16" s="48">
        <v>7.6700000000000004E-2</v>
      </c>
      <c r="Q16" s="48">
        <v>0.9</v>
      </c>
      <c r="R16" s="54">
        <f t="shared" ref="R16" si="7">((K16-D16)/D16)</f>
        <v>8.0955568585640125E-2</v>
      </c>
      <c r="S16" s="54">
        <f t="shared" ref="S16" si="8">((N16-G16)/G16)</f>
        <v>7.7472527472527489E-2</v>
      </c>
      <c r="T16" s="54">
        <f t="shared" ref="T16" si="9">((O16-H16)/H16)</f>
        <v>6.8965517241379309E-2</v>
      </c>
      <c r="U16" s="55">
        <f t="shared" ref="U16" si="10">P16-I16</f>
        <v>5.6000000000000008E-2</v>
      </c>
      <c r="V16" s="56">
        <f t="shared" ref="V16" si="11">Q16-J16</f>
        <v>0.14000000000000001</v>
      </c>
    </row>
    <row r="17" spans="1:22">
      <c r="A17" s="144">
        <v>12</v>
      </c>
      <c r="B17" s="140" t="s">
        <v>40</v>
      </c>
      <c r="C17" s="141" t="s">
        <v>41</v>
      </c>
      <c r="D17" s="126">
        <v>2108153626.0999999</v>
      </c>
      <c r="E17" s="28">
        <f t="shared" si="0"/>
        <v>4.6435956864353339E-2</v>
      </c>
      <c r="F17" s="31">
        <v>4.3</v>
      </c>
      <c r="G17" s="31">
        <v>4.3899999999999997</v>
      </c>
      <c r="H17" s="30">
        <v>3648</v>
      </c>
      <c r="I17" s="48">
        <v>1.89E-2</v>
      </c>
      <c r="J17" s="48">
        <v>0.1825</v>
      </c>
      <c r="K17" s="126">
        <v>2170021923.1799998</v>
      </c>
      <c r="L17" s="28">
        <f t="shared" si="1"/>
        <v>4.5428897269682182E-2</v>
      </c>
      <c r="M17" s="31">
        <v>4.43</v>
      </c>
      <c r="N17" s="31">
        <v>4.53</v>
      </c>
      <c r="O17" s="30">
        <v>3640</v>
      </c>
      <c r="P17" s="48">
        <v>1.9199999999999998E-2</v>
      </c>
      <c r="Q17" s="48">
        <v>0.21790000000000001</v>
      </c>
      <c r="R17" s="54">
        <f t="shared" si="2"/>
        <v>2.9347148288454576E-2</v>
      </c>
      <c r="S17" s="54">
        <f t="shared" si="3"/>
        <v>3.189066059225526E-2</v>
      </c>
      <c r="T17" s="54">
        <f t="shared" si="4"/>
        <v>-2.1929824561403508E-3</v>
      </c>
      <c r="U17" s="55">
        <f t="shared" si="5"/>
        <v>2.9999999999999818E-4</v>
      </c>
      <c r="V17" s="56">
        <f t="shared" si="6"/>
        <v>3.5400000000000015E-2</v>
      </c>
    </row>
    <row r="18" spans="1:22">
      <c r="A18" s="144">
        <v>13</v>
      </c>
      <c r="B18" s="140" t="s">
        <v>42</v>
      </c>
      <c r="C18" s="141" t="s">
        <v>43</v>
      </c>
      <c r="D18" s="31">
        <v>1063841370.75</v>
      </c>
      <c r="E18" s="28">
        <f t="shared" si="0"/>
        <v>2.3433060755657768E-2</v>
      </c>
      <c r="F18" s="31">
        <v>27.851375999999998</v>
      </c>
      <c r="G18" s="31">
        <v>27.99005</v>
      </c>
      <c r="H18" s="30">
        <v>504</v>
      </c>
      <c r="I18" s="48">
        <v>2.6100000000000002E-2</v>
      </c>
      <c r="J18" s="48">
        <v>0.1918</v>
      </c>
      <c r="K18" s="31">
        <v>1100315559.95</v>
      </c>
      <c r="L18" s="28">
        <f t="shared" si="1"/>
        <v>2.3034846792676901E-2</v>
      </c>
      <c r="M18" s="31">
        <v>28.656841</v>
      </c>
      <c r="N18" s="31">
        <v>28.804615999999999</v>
      </c>
      <c r="O18" s="30">
        <v>507</v>
      </c>
      <c r="P18" s="48">
        <v>2.8899999999999999E-2</v>
      </c>
      <c r="Q18" s="48">
        <v>0.22489999999999999</v>
      </c>
      <c r="R18" s="54">
        <f t="shared" si="2"/>
        <v>3.4285364531636914E-2</v>
      </c>
      <c r="S18" s="54">
        <f t="shared" si="3"/>
        <v>2.91019844551903E-2</v>
      </c>
      <c r="T18" s="54">
        <f t="shared" si="4"/>
        <v>5.9523809523809521E-3</v>
      </c>
      <c r="U18" s="55">
        <f t="shared" si="5"/>
        <v>2.7999999999999969E-3</v>
      </c>
      <c r="V18" s="56">
        <f t="shared" si="6"/>
        <v>3.3099999999999991E-2</v>
      </c>
    </row>
    <row r="19" spans="1:22">
      <c r="A19" s="144">
        <v>14</v>
      </c>
      <c r="B19" s="140" t="s">
        <v>44</v>
      </c>
      <c r="C19" s="141" t="s">
        <v>45</v>
      </c>
      <c r="D19" s="31">
        <v>141695519.63</v>
      </c>
      <c r="E19" s="28">
        <f t="shared" si="0"/>
        <v>3.1211041529184557E-3</v>
      </c>
      <c r="F19" s="31">
        <v>1.5417959999999999</v>
      </c>
      <c r="G19" s="31">
        <v>1.607151</v>
      </c>
      <c r="H19" s="30">
        <v>22</v>
      </c>
      <c r="I19" s="48">
        <v>3.56E-2</v>
      </c>
      <c r="J19" s="48">
        <v>0.1084</v>
      </c>
      <c r="K19" s="31">
        <v>145172649.68000001</v>
      </c>
      <c r="L19" s="28">
        <f t="shared" si="1"/>
        <v>3.0391551892783495E-3</v>
      </c>
      <c r="M19" s="31">
        <v>1.579631</v>
      </c>
      <c r="N19" s="31">
        <v>1.6456630000000001</v>
      </c>
      <c r="O19" s="30">
        <v>22</v>
      </c>
      <c r="P19" s="48">
        <v>2.46E-2</v>
      </c>
      <c r="Q19" s="48">
        <v>0.13519999999999999</v>
      </c>
      <c r="R19" s="54">
        <f t="shared" si="2"/>
        <v>2.4539449511739034E-2</v>
      </c>
      <c r="S19" s="54">
        <f t="shared" si="3"/>
        <v>2.3962900810191513E-2</v>
      </c>
      <c r="T19" s="54">
        <f t="shared" si="4"/>
        <v>0</v>
      </c>
      <c r="U19" s="55">
        <f t="shared" si="5"/>
        <v>-1.0999999999999999E-2</v>
      </c>
      <c r="V19" s="56">
        <f t="shared" si="6"/>
        <v>2.679999999999999E-2</v>
      </c>
    </row>
    <row r="20" spans="1:22">
      <c r="A20" s="144">
        <v>15</v>
      </c>
      <c r="B20" s="140" t="s">
        <v>46</v>
      </c>
      <c r="C20" s="141" t="s">
        <v>47</v>
      </c>
      <c r="D20" s="27">
        <v>3975618458.4899998</v>
      </c>
      <c r="E20" s="28">
        <f t="shared" si="0"/>
        <v>8.7570300836705486E-2</v>
      </c>
      <c r="F20" s="31">
        <v>42.11</v>
      </c>
      <c r="G20" s="31">
        <v>42.28</v>
      </c>
      <c r="H20" s="30">
        <v>8944</v>
      </c>
      <c r="I20" s="48">
        <v>5.1400000000000001E-2</v>
      </c>
      <c r="J20" s="48">
        <v>0.33979999999999999</v>
      </c>
      <c r="K20" s="27">
        <v>4293107486.5599999</v>
      </c>
      <c r="L20" s="28">
        <f t="shared" si="1"/>
        <v>8.9875192914564944E-2</v>
      </c>
      <c r="M20" s="31">
        <v>44.28</v>
      </c>
      <c r="N20" s="31">
        <v>44.69</v>
      </c>
      <c r="O20" s="30">
        <v>8944</v>
      </c>
      <c r="P20" s="48">
        <v>4.9799999999999997E-2</v>
      </c>
      <c r="Q20" s="48">
        <v>0.40660000000000002</v>
      </c>
      <c r="R20" s="54">
        <f t="shared" si="2"/>
        <v>7.9859028572522361E-2</v>
      </c>
      <c r="S20" s="54">
        <f t="shared" si="3"/>
        <v>5.7000946073793676E-2</v>
      </c>
      <c r="T20" s="54">
        <f t="shared" si="4"/>
        <v>0</v>
      </c>
      <c r="U20" s="55">
        <f t="shared" si="5"/>
        <v>-1.6000000000000042E-3</v>
      </c>
      <c r="V20" s="56">
        <f t="shared" si="6"/>
        <v>6.6800000000000026E-2</v>
      </c>
    </row>
    <row r="21" spans="1:22" ht="12.75" customHeight="1">
      <c r="A21" s="144">
        <v>16</v>
      </c>
      <c r="B21" s="140" t="s">
        <v>48</v>
      </c>
      <c r="C21" s="141" t="s">
        <v>49</v>
      </c>
      <c r="D21" s="31">
        <v>1111984427.26</v>
      </c>
      <c r="E21" s="28">
        <f t="shared" si="0"/>
        <v>2.4493500027131639E-2</v>
      </c>
      <c r="F21" s="31">
        <v>10076.09</v>
      </c>
      <c r="G21" s="31">
        <v>10201.049999999999</v>
      </c>
      <c r="H21" s="30">
        <v>24</v>
      </c>
      <c r="I21" s="48">
        <v>1.7399999999999999E-2</v>
      </c>
      <c r="J21" s="48">
        <v>0.25769999999999998</v>
      </c>
      <c r="K21" s="31">
        <v>1163896808.96</v>
      </c>
      <c r="L21" s="28">
        <f t="shared" si="1"/>
        <v>2.4365905248215733E-2</v>
      </c>
      <c r="M21" s="31">
        <v>10463.6</v>
      </c>
      <c r="N21" s="31">
        <v>10594</v>
      </c>
      <c r="O21" s="30">
        <v>24</v>
      </c>
      <c r="P21" s="48">
        <v>3.85E-2</v>
      </c>
      <c r="Q21" s="48">
        <v>0.30609999999999998</v>
      </c>
      <c r="R21" s="54">
        <f t="shared" si="2"/>
        <v>4.6684450274106302E-2</v>
      </c>
      <c r="S21" s="54">
        <f t="shared" si="3"/>
        <v>3.8520544453757286E-2</v>
      </c>
      <c r="T21" s="54">
        <f t="shared" si="4"/>
        <v>0</v>
      </c>
      <c r="U21" s="55">
        <f t="shared" si="5"/>
        <v>2.1100000000000001E-2</v>
      </c>
      <c r="V21" s="56">
        <f t="shared" si="6"/>
        <v>4.8399999999999999E-2</v>
      </c>
    </row>
    <row r="22" spans="1:22">
      <c r="A22" s="144">
        <v>17</v>
      </c>
      <c r="B22" s="140" t="s">
        <v>50</v>
      </c>
      <c r="C22" s="141" t="s">
        <v>49</v>
      </c>
      <c r="D22" s="31">
        <v>16049591505.27</v>
      </c>
      <c r="E22" s="28">
        <f t="shared" si="0"/>
        <v>0.35352174035245443</v>
      </c>
      <c r="F22" s="31">
        <v>31593.599999999999</v>
      </c>
      <c r="G22" s="31">
        <v>32055.21</v>
      </c>
      <c r="H22" s="30">
        <v>17856</v>
      </c>
      <c r="I22" s="48">
        <v>3.3599999999999998E-2</v>
      </c>
      <c r="J22" s="48">
        <v>0.2472</v>
      </c>
      <c r="K22" s="31">
        <v>16897860462.59</v>
      </c>
      <c r="L22" s="28">
        <f t="shared" si="1"/>
        <v>0.35375272426164794</v>
      </c>
      <c r="M22" s="31">
        <v>33070.660000000003</v>
      </c>
      <c r="N22" s="31">
        <v>33554.870000000003</v>
      </c>
      <c r="O22" s="30">
        <v>17903</v>
      </c>
      <c r="P22" s="48">
        <v>4.6800000000000001E-2</v>
      </c>
      <c r="Q22" s="48">
        <v>0.30559999999999998</v>
      </c>
      <c r="R22" s="54">
        <f t="shared" si="2"/>
        <v>5.2852993613043943E-2</v>
      </c>
      <c r="S22" s="54">
        <f t="shared" si="3"/>
        <v>4.6783658569075154E-2</v>
      </c>
      <c r="T22" s="54">
        <f t="shared" si="4"/>
        <v>2.6321684587813621E-3</v>
      </c>
      <c r="U22" s="55">
        <f t="shared" si="5"/>
        <v>1.3200000000000003E-2</v>
      </c>
      <c r="V22" s="56">
        <f t="shared" si="6"/>
        <v>5.839999999999998E-2</v>
      </c>
    </row>
    <row r="23" spans="1:22">
      <c r="A23" s="144">
        <v>18</v>
      </c>
      <c r="B23" s="141" t="s">
        <v>51</v>
      </c>
      <c r="C23" s="141" t="s">
        <v>52</v>
      </c>
      <c r="D23" s="31">
        <v>4503316733.1499996</v>
      </c>
      <c r="E23" s="28">
        <f t="shared" ref="E23" si="12">(D23/$D$25)</f>
        <v>9.9193824860823773E-2</v>
      </c>
      <c r="F23" s="31">
        <v>1.5288999999999999</v>
      </c>
      <c r="G23" s="29">
        <v>1.5443</v>
      </c>
      <c r="H23" s="30">
        <v>4947</v>
      </c>
      <c r="I23" s="48">
        <v>3.2800000000000003E-2</v>
      </c>
      <c r="J23" s="48">
        <v>0.21010000000000001</v>
      </c>
      <c r="K23" s="31">
        <v>4785477780.8000002</v>
      </c>
      <c r="L23" s="28">
        <f t="shared" ref="L23" si="13">(K23/$K$25)</f>
        <v>0.10018284892335486</v>
      </c>
      <c r="M23" s="31">
        <v>1.59</v>
      </c>
      <c r="N23" s="29">
        <v>1.6061000000000001</v>
      </c>
      <c r="O23" s="30">
        <v>5014</v>
      </c>
      <c r="P23" s="48">
        <v>3.9899999999999998E-2</v>
      </c>
      <c r="Q23" s="48">
        <v>0.25109999999999999</v>
      </c>
      <c r="R23" s="54">
        <f t="shared" ref="R23" si="14">((K23-D23)/D23)</f>
        <v>6.2656274113020993E-2</v>
      </c>
      <c r="S23" s="54">
        <f t="shared" ref="S23" si="15">((N23-G23)/G23)</f>
        <v>4.0018131192125932E-2</v>
      </c>
      <c r="T23" s="54">
        <f t="shared" ref="T23" si="16">((O23-H23)/H23)</f>
        <v>1.3543561754598747E-2</v>
      </c>
      <c r="U23" s="55">
        <f t="shared" ref="U23" si="17">P23-I23</f>
        <v>7.0999999999999952E-3</v>
      </c>
      <c r="V23" s="56">
        <f t="shared" ref="V23" si="18">Q23-J23</f>
        <v>4.0999999999999981E-2</v>
      </c>
    </row>
    <row r="24" spans="1:22">
      <c r="A24" s="144">
        <v>19</v>
      </c>
      <c r="B24" s="141" t="s">
        <v>292</v>
      </c>
      <c r="C24" s="141" t="s">
        <v>293</v>
      </c>
      <c r="D24" s="31">
        <v>3749025807.2600002</v>
      </c>
      <c r="E24" s="28">
        <f>(D24/$D$25)</f>
        <v>8.257918138125997E-2</v>
      </c>
      <c r="F24" s="31">
        <v>165.26</v>
      </c>
      <c r="G24" s="29">
        <v>171.1</v>
      </c>
      <c r="H24" s="30">
        <v>37</v>
      </c>
      <c r="I24" s="48">
        <v>4.5699999999999998E-2</v>
      </c>
      <c r="J24" s="48">
        <v>0.37330000000000002</v>
      </c>
      <c r="K24" s="31">
        <v>3990036843.2399998</v>
      </c>
      <c r="L24" s="28">
        <f>(K24/$K$25)</f>
        <v>8.3530480460847156E-2</v>
      </c>
      <c r="M24" s="31">
        <v>173.24</v>
      </c>
      <c r="N24" s="29">
        <v>176.15</v>
      </c>
      <c r="O24" s="30">
        <v>39</v>
      </c>
      <c r="P24" s="48">
        <v>3.6400000000000002E-2</v>
      </c>
      <c r="Q24" s="48">
        <v>0.4234</v>
      </c>
      <c r="R24" s="54">
        <f t="shared" si="2"/>
        <v>6.4286310196446483E-2</v>
      </c>
      <c r="S24" s="54">
        <f t="shared" si="3"/>
        <v>2.9514903565166638E-2</v>
      </c>
      <c r="T24" s="54">
        <f t="shared" si="4"/>
        <v>5.4054054054054057E-2</v>
      </c>
      <c r="U24" s="55">
        <f t="shared" si="5"/>
        <v>-9.2999999999999958E-3</v>
      </c>
      <c r="V24" s="56">
        <f t="shared" si="6"/>
        <v>5.0099999999999978E-2</v>
      </c>
    </row>
    <row r="25" spans="1:22">
      <c r="A25" s="34"/>
      <c r="B25" s="35"/>
      <c r="C25" s="36" t="s">
        <v>53</v>
      </c>
      <c r="D25" s="37">
        <f>SUM(D6:D24)</f>
        <v>45399164105.915703</v>
      </c>
      <c r="E25" s="38">
        <f>(D25/$D$222)</f>
        <v>7.8566053597759061E-3</v>
      </c>
      <c r="F25" s="39"/>
      <c r="G25" s="40"/>
      <c r="H25" s="41">
        <f>SUM(H6:H24)</f>
        <v>52333</v>
      </c>
      <c r="I25" s="50"/>
      <c r="J25" s="30">
        <v>0</v>
      </c>
      <c r="K25" s="37">
        <f>SUM(K6:K24)</f>
        <v>47767435566.352699</v>
      </c>
      <c r="L25" s="38">
        <f>(K25/$K$222)</f>
        <v>8.2183778033775891E-3</v>
      </c>
      <c r="M25" s="39"/>
      <c r="N25" s="40"/>
      <c r="O25" s="41">
        <f>SUM(O6:O24)</f>
        <v>52497</v>
      </c>
      <c r="P25" s="50"/>
      <c r="Q25" s="41"/>
      <c r="R25" s="54">
        <f t="shared" si="2"/>
        <v>5.2165530072576835E-2</v>
      </c>
      <c r="S25" s="54" t="e">
        <f t="shared" si="3"/>
        <v>#DIV/0!</v>
      </c>
      <c r="T25" s="54">
        <f t="shared" si="4"/>
        <v>3.1337779221523704E-3</v>
      </c>
      <c r="U25" s="55">
        <f t="shared" si="5"/>
        <v>0</v>
      </c>
      <c r="V25" s="56">
        <f t="shared" si="6"/>
        <v>0</v>
      </c>
    </row>
    <row r="26" spans="1:22" ht="4.5" customHeight="1">
      <c r="A26" s="34"/>
      <c r="B26" s="162"/>
      <c r="C26" s="162"/>
      <c r="D26" s="162"/>
      <c r="E26" s="162"/>
      <c r="F26" s="162"/>
      <c r="G26" s="162"/>
      <c r="H26" s="162"/>
      <c r="I26" s="162"/>
      <c r="J26" s="162"/>
      <c r="K26" s="162"/>
      <c r="L26" s="162"/>
      <c r="M26" s="162"/>
      <c r="N26" s="162"/>
      <c r="O26" s="162"/>
      <c r="P26" s="162"/>
      <c r="Q26" s="162"/>
      <c r="R26" s="162"/>
      <c r="S26" s="162"/>
      <c r="T26" s="162"/>
      <c r="U26" s="162"/>
      <c r="V26" s="162"/>
    </row>
    <row r="27" spans="1:22" ht="15" customHeight="1">
      <c r="A27" s="161" t="s">
        <v>54</v>
      </c>
      <c r="B27" s="161"/>
      <c r="C27" s="161"/>
      <c r="D27" s="161"/>
      <c r="E27" s="161"/>
      <c r="F27" s="161"/>
      <c r="G27" s="161"/>
      <c r="H27" s="161"/>
      <c r="I27" s="161"/>
      <c r="J27" s="161"/>
      <c r="K27" s="161"/>
      <c r="L27" s="161"/>
      <c r="M27" s="161"/>
      <c r="N27" s="161"/>
      <c r="O27" s="161"/>
      <c r="P27" s="161"/>
      <c r="Q27" s="161"/>
      <c r="R27" s="161"/>
      <c r="S27" s="161"/>
      <c r="T27" s="161"/>
      <c r="U27" s="161"/>
      <c r="V27" s="161"/>
    </row>
    <row r="28" spans="1:22">
      <c r="A28" s="142">
        <v>20</v>
      </c>
      <c r="B28" s="140" t="s">
        <v>55</v>
      </c>
      <c r="C28" s="141" t="s">
        <v>19</v>
      </c>
      <c r="D28" s="42">
        <v>3635693861.75</v>
      </c>
      <c r="E28" s="28">
        <f t="shared" ref="E28:E33" si="19">(D28/$K$69)</f>
        <v>1.1564014290650999E-3</v>
      </c>
      <c r="F28" s="29">
        <v>100</v>
      </c>
      <c r="G28" s="29">
        <v>100</v>
      </c>
      <c r="H28" s="30">
        <v>851</v>
      </c>
      <c r="I28" s="48">
        <v>0.1804</v>
      </c>
      <c r="J28" s="48">
        <v>0.1804</v>
      </c>
      <c r="K28" s="42">
        <v>3666649765.3600001</v>
      </c>
      <c r="L28" s="28">
        <f t="shared" ref="L28:L33" si="20">(K28/$K$69)</f>
        <v>1.16624754167354E-3</v>
      </c>
      <c r="M28" s="29">
        <v>100</v>
      </c>
      <c r="N28" s="29">
        <v>100</v>
      </c>
      <c r="O28" s="30">
        <v>851</v>
      </c>
      <c r="P28" s="48">
        <v>0.18540000000000001</v>
      </c>
      <c r="Q28" s="48">
        <v>0.18540000000000001</v>
      </c>
      <c r="R28" s="54">
        <f>((K28-D28)/D28)</f>
        <v>8.5144417509068985E-3</v>
      </c>
      <c r="S28" s="54">
        <f>((N28-G28)/G28)</f>
        <v>0</v>
      </c>
      <c r="T28" s="54">
        <f>((O28-H28)/H28)</f>
        <v>0</v>
      </c>
      <c r="U28" s="55">
        <f>P28-I28</f>
        <v>5.0000000000000044E-3</v>
      </c>
      <c r="V28" s="56">
        <f>Q28-J28</f>
        <v>5.0000000000000044E-3</v>
      </c>
    </row>
    <row r="29" spans="1:22">
      <c r="A29" s="142">
        <v>21</v>
      </c>
      <c r="B29" s="140" t="s">
        <v>56</v>
      </c>
      <c r="C29" s="141" t="s">
        <v>57</v>
      </c>
      <c r="D29" s="42">
        <v>21908974265.630001</v>
      </c>
      <c r="E29" s="28">
        <f t="shared" si="19"/>
        <v>6.9685650424730862E-3</v>
      </c>
      <c r="F29" s="29">
        <v>100</v>
      </c>
      <c r="G29" s="29">
        <v>100</v>
      </c>
      <c r="H29" s="30">
        <v>2940</v>
      </c>
      <c r="I29" s="48">
        <v>0.211289</v>
      </c>
      <c r="J29" s="48">
        <v>0.211289</v>
      </c>
      <c r="K29" s="42">
        <v>22060627721.759998</v>
      </c>
      <c r="L29" s="28">
        <f t="shared" si="20"/>
        <v>7.0168013021968288E-3</v>
      </c>
      <c r="M29" s="29">
        <v>100</v>
      </c>
      <c r="N29" s="29">
        <v>100</v>
      </c>
      <c r="O29" s="30">
        <v>2965</v>
      </c>
      <c r="P29" s="48">
        <v>0.210427</v>
      </c>
      <c r="Q29" s="48">
        <v>0.210427</v>
      </c>
      <c r="R29" s="54">
        <f t="shared" ref="R29:R69" si="21">((K29-D29)/D29)</f>
        <v>6.9219788334822074E-3</v>
      </c>
      <c r="S29" s="54">
        <f t="shared" ref="S29:S69" si="22">((N29-G29)/G29)</f>
        <v>0</v>
      </c>
      <c r="T29" s="54">
        <f t="shared" ref="T29:T69" si="23">((O29-H29)/H29)</f>
        <v>8.5034013605442185E-3</v>
      </c>
      <c r="U29" s="55">
        <f t="shared" ref="U29:U69" si="24">P29-I29</f>
        <v>-8.6200000000000165E-4</v>
      </c>
      <c r="V29" s="56">
        <f t="shared" ref="V29:V69" si="25">Q29-J29</f>
        <v>-8.6200000000000165E-4</v>
      </c>
    </row>
    <row r="30" spans="1:22">
      <c r="A30" s="142">
        <v>22</v>
      </c>
      <c r="B30" s="140" t="s">
        <v>58</v>
      </c>
      <c r="C30" s="141" t="s">
        <v>21</v>
      </c>
      <c r="D30" s="42">
        <v>2383744294.6199999</v>
      </c>
      <c r="E30" s="28">
        <f t="shared" si="19"/>
        <v>7.5819511038190232E-4</v>
      </c>
      <c r="F30" s="29">
        <v>100</v>
      </c>
      <c r="G30" s="29">
        <v>100</v>
      </c>
      <c r="H30" s="30">
        <v>2024</v>
      </c>
      <c r="I30" s="48">
        <v>0.20469999999999999</v>
      </c>
      <c r="J30" s="48">
        <v>0.20469999999999999</v>
      </c>
      <c r="K30" s="42">
        <v>2272983398.6700001</v>
      </c>
      <c r="L30" s="28">
        <f t="shared" si="20"/>
        <v>7.2296550546146533E-4</v>
      </c>
      <c r="M30" s="29">
        <v>100</v>
      </c>
      <c r="N30" s="29">
        <v>100</v>
      </c>
      <c r="O30" s="30">
        <v>2033</v>
      </c>
      <c r="P30" s="48">
        <v>0.20130000000000001</v>
      </c>
      <c r="Q30" s="48">
        <v>0.20130000000000001</v>
      </c>
      <c r="R30" s="54">
        <f t="shared" si="21"/>
        <v>-4.646509115930849E-2</v>
      </c>
      <c r="S30" s="54">
        <f t="shared" si="22"/>
        <v>0</v>
      </c>
      <c r="T30" s="54">
        <f t="shared" si="23"/>
        <v>4.4466403162055339E-3</v>
      </c>
      <c r="U30" s="55">
        <f t="shared" si="24"/>
        <v>-3.3999999999999864E-3</v>
      </c>
      <c r="V30" s="56">
        <f t="shared" si="25"/>
        <v>-3.3999999999999864E-3</v>
      </c>
    </row>
    <row r="31" spans="1:22">
      <c r="A31" s="142">
        <v>23</v>
      </c>
      <c r="B31" s="140" t="s">
        <v>59</v>
      </c>
      <c r="C31" s="141" t="s">
        <v>23</v>
      </c>
      <c r="D31" s="42">
        <v>218503907470.85999</v>
      </c>
      <c r="E31" s="28">
        <f t="shared" si="19"/>
        <v>6.9499314426321637E-2</v>
      </c>
      <c r="F31" s="29">
        <v>1</v>
      </c>
      <c r="G31" s="29">
        <v>1</v>
      </c>
      <c r="H31" s="30">
        <v>70950</v>
      </c>
      <c r="I31" s="48">
        <v>0.2238</v>
      </c>
      <c r="J31" s="48">
        <v>0.2238</v>
      </c>
      <c r="K31" s="42">
        <v>221086667897.17999</v>
      </c>
      <c r="L31" s="28">
        <f t="shared" si="20"/>
        <v>7.032081039421692E-2</v>
      </c>
      <c r="M31" s="29">
        <v>1</v>
      </c>
      <c r="N31" s="29">
        <v>1</v>
      </c>
      <c r="O31" s="30">
        <v>71468</v>
      </c>
      <c r="P31" s="48">
        <v>0.21970000000000001</v>
      </c>
      <c r="Q31" s="48">
        <v>0.21970000000000001</v>
      </c>
      <c r="R31" s="54">
        <f t="shared" si="21"/>
        <v>1.1820202467841214E-2</v>
      </c>
      <c r="S31" s="54">
        <f t="shared" si="22"/>
        <v>0</v>
      </c>
      <c r="T31" s="54">
        <f t="shared" si="23"/>
        <v>7.3009161381254401E-3</v>
      </c>
      <c r="U31" s="55">
        <f t="shared" si="24"/>
        <v>-4.0999999999999925E-3</v>
      </c>
      <c r="V31" s="56">
        <f t="shared" si="25"/>
        <v>-4.0999999999999925E-3</v>
      </c>
    </row>
    <row r="32" spans="1:22">
      <c r="A32" s="142">
        <v>24</v>
      </c>
      <c r="B32" s="140" t="s">
        <v>301</v>
      </c>
      <c r="C32" s="141" t="s">
        <v>115</v>
      </c>
      <c r="D32" s="42">
        <v>993872882</v>
      </c>
      <c r="E32" s="28">
        <f t="shared" si="19"/>
        <v>3.1612013133048531E-4</v>
      </c>
      <c r="F32" s="29">
        <v>1</v>
      </c>
      <c r="G32" s="29">
        <v>1</v>
      </c>
      <c r="H32" s="30">
        <v>290</v>
      </c>
      <c r="I32" s="48">
        <v>0.2036</v>
      </c>
      <c r="J32" s="48">
        <v>0.2036</v>
      </c>
      <c r="K32" s="42">
        <v>912708659.96000004</v>
      </c>
      <c r="L32" s="28">
        <f t="shared" si="20"/>
        <v>2.9030431021763854E-4</v>
      </c>
      <c r="M32" s="29">
        <v>1</v>
      </c>
      <c r="N32" s="29">
        <v>1</v>
      </c>
      <c r="O32" s="30">
        <v>290</v>
      </c>
      <c r="P32" s="48">
        <v>0.20630000000000001</v>
      </c>
      <c r="Q32" s="48">
        <v>0.20630000000000001</v>
      </c>
      <c r="R32" s="54">
        <f t="shared" si="21"/>
        <v>-8.1664590623169817E-2</v>
      </c>
      <c r="S32" s="54">
        <f t="shared" si="22"/>
        <v>0</v>
      </c>
      <c r="T32" s="54">
        <f t="shared" si="23"/>
        <v>0</v>
      </c>
      <c r="U32" s="55">
        <f t="shared" si="24"/>
        <v>2.7000000000000079E-3</v>
      </c>
      <c r="V32" s="56">
        <f t="shared" si="25"/>
        <v>2.7000000000000079E-3</v>
      </c>
    </row>
    <row r="33" spans="1:22">
      <c r="A33" s="142">
        <v>25</v>
      </c>
      <c r="B33" s="140" t="s">
        <v>60</v>
      </c>
      <c r="C33" s="141" t="s">
        <v>25</v>
      </c>
      <c r="D33" s="42">
        <v>125306086530.87</v>
      </c>
      <c r="E33" s="28">
        <f t="shared" si="19"/>
        <v>3.9855978815858041E-2</v>
      </c>
      <c r="F33" s="29">
        <v>1</v>
      </c>
      <c r="G33" s="29">
        <v>1</v>
      </c>
      <c r="H33" s="30">
        <v>33984</v>
      </c>
      <c r="I33" s="48">
        <v>0.20530000000000001</v>
      </c>
      <c r="J33" s="48">
        <v>0.20530000000000001</v>
      </c>
      <c r="K33" s="42">
        <v>129046254556.27</v>
      </c>
      <c r="L33" s="28">
        <f t="shared" si="20"/>
        <v>4.1045610235329183E-2</v>
      </c>
      <c r="M33" s="29">
        <v>1</v>
      </c>
      <c r="N33" s="29">
        <v>1</v>
      </c>
      <c r="O33" s="30">
        <v>34140</v>
      </c>
      <c r="P33" s="48">
        <v>0.20119999999999999</v>
      </c>
      <c r="Q33" s="48">
        <v>0.20119999999999999</v>
      </c>
      <c r="R33" s="54">
        <f t="shared" si="21"/>
        <v>2.9848255012565519E-2</v>
      </c>
      <c r="S33" s="54">
        <f t="shared" si="22"/>
        <v>0</v>
      </c>
      <c r="T33" s="54">
        <f t="shared" si="23"/>
        <v>4.5903954802259889E-3</v>
      </c>
      <c r="U33" s="55">
        <f t="shared" si="24"/>
        <v>-4.1000000000000203E-3</v>
      </c>
      <c r="V33" s="56">
        <f t="shared" si="25"/>
        <v>-4.1000000000000203E-3</v>
      </c>
    </row>
    <row r="34" spans="1:22">
      <c r="A34" s="142">
        <v>26</v>
      </c>
      <c r="B34" s="140" t="s">
        <v>286</v>
      </c>
      <c r="C34" s="141" t="s">
        <v>27</v>
      </c>
      <c r="D34" s="31">
        <v>6306950677.3599997</v>
      </c>
      <c r="E34" s="28">
        <f t="shared" ref="E34" si="26">(D34/$D$25)</f>
        <v>0.13892217624637229</v>
      </c>
      <c r="F34" s="31">
        <v>1</v>
      </c>
      <c r="G34" s="31">
        <v>1</v>
      </c>
      <c r="H34" s="30">
        <v>920</v>
      </c>
      <c r="I34" s="48">
        <v>0.20180000000000001</v>
      </c>
      <c r="J34" s="48">
        <v>0.20180000000000001</v>
      </c>
      <c r="K34" s="31">
        <v>6848759347.3599997</v>
      </c>
      <c r="L34" s="28">
        <f t="shared" ref="L34" si="27">(K34/$K$25)</f>
        <v>0.14337716199661876</v>
      </c>
      <c r="M34" s="31">
        <v>1</v>
      </c>
      <c r="N34" s="31">
        <v>1</v>
      </c>
      <c r="O34" s="30">
        <v>931</v>
      </c>
      <c r="P34" s="48">
        <v>0.2165</v>
      </c>
      <c r="Q34" s="48">
        <v>0.2165</v>
      </c>
      <c r="R34" s="54">
        <f t="shared" si="21"/>
        <v>8.5906596977985791E-2</v>
      </c>
      <c r="S34" s="54">
        <f t="shared" si="22"/>
        <v>0</v>
      </c>
      <c r="T34" s="54">
        <f t="shared" si="23"/>
        <v>1.1956521739130435E-2</v>
      </c>
      <c r="U34" s="55">
        <f t="shared" si="24"/>
        <v>1.4699999999999991E-2</v>
      </c>
      <c r="V34" s="56">
        <f t="shared" si="25"/>
        <v>1.4699999999999991E-2</v>
      </c>
    </row>
    <row r="35" spans="1:22" ht="15" customHeight="1">
      <c r="A35" s="142">
        <v>27</v>
      </c>
      <c r="B35" s="140" t="s">
        <v>61</v>
      </c>
      <c r="C35" s="141" t="s">
        <v>47</v>
      </c>
      <c r="D35" s="42">
        <v>23711256879</v>
      </c>
      <c r="E35" s="28">
        <f t="shared" ref="E35:E47" si="28">(D35/$K$69)</f>
        <v>7.5418152304515271E-3</v>
      </c>
      <c r="F35" s="29">
        <v>100</v>
      </c>
      <c r="G35" s="29">
        <v>100</v>
      </c>
      <c r="H35" s="30">
        <v>2083</v>
      </c>
      <c r="I35" s="48">
        <v>0.22689999999999999</v>
      </c>
      <c r="J35" s="48">
        <v>0.22689999999999999</v>
      </c>
      <c r="K35" s="42">
        <v>23698373986</v>
      </c>
      <c r="L35" s="28">
        <f t="shared" ref="L35:L47" si="29">(K35/$K$69)</f>
        <v>7.5377175818479338E-3</v>
      </c>
      <c r="M35" s="29">
        <v>100</v>
      </c>
      <c r="N35" s="29">
        <v>100</v>
      </c>
      <c r="O35" s="30">
        <v>2083</v>
      </c>
      <c r="P35" s="48">
        <v>0.22850000000000001</v>
      </c>
      <c r="Q35" s="48">
        <v>0.22850000000000001</v>
      </c>
      <c r="R35" s="54">
        <f t="shared" si="21"/>
        <v>-5.4332391849753873E-4</v>
      </c>
      <c r="S35" s="54">
        <f t="shared" si="22"/>
        <v>0</v>
      </c>
      <c r="T35" s="54">
        <f t="shared" si="23"/>
        <v>0</v>
      </c>
      <c r="U35" s="55">
        <f t="shared" si="24"/>
        <v>1.6000000000000181E-3</v>
      </c>
      <c r="V35" s="56">
        <f t="shared" si="25"/>
        <v>1.6000000000000181E-3</v>
      </c>
    </row>
    <row r="36" spans="1:22" ht="15" customHeight="1">
      <c r="A36" s="142">
        <v>28</v>
      </c>
      <c r="B36" s="140" t="s">
        <v>62</v>
      </c>
      <c r="C36" s="141" t="s">
        <v>63</v>
      </c>
      <c r="D36" s="42">
        <v>1510785717.73</v>
      </c>
      <c r="E36" s="28">
        <f t="shared" si="28"/>
        <v>4.8053406844138956E-4</v>
      </c>
      <c r="F36" s="29">
        <v>1</v>
      </c>
      <c r="G36" s="29">
        <v>1</v>
      </c>
      <c r="H36" s="30">
        <v>460</v>
      </c>
      <c r="I36" s="48">
        <v>0.2</v>
      </c>
      <c r="J36" s="48">
        <v>0.2</v>
      </c>
      <c r="K36" s="42">
        <v>1353031395.1600001</v>
      </c>
      <c r="L36" s="28">
        <f t="shared" si="29"/>
        <v>4.303573123672862E-4</v>
      </c>
      <c r="M36" s="29">
        <v>1</v>
      </c>
      <c r="N36" s="29">
        <v>1</v>
      </c>
      <c r="O36" s="30">
        <v>470</v>
      </c>
      <c r="P36" s="48">
        <v>0.2</v>
      </c>
      <c r="Q36" s="48">
        <v>0.2</v>
      </c>
      <c r="R36" s="54">
        <f t="shared" si="21"/>
        <v>-0.1044187277644049</v>
      </c>
      <c r="S36" s="54">
        <f t="shared" si="22"/>
        <v>0</v>
      </c>
      <c r="T36" s="54">
        <f t="shared" si="23"/>
        <v>2.1739130434782608E-2</v>
      </c>
      <c r="U36" s="55">
        <f t="shared" si="24"/>
        <v>0</v>
      </c>
      <c r="V36" s="56">
        <f t="shared" si="25"/>
        <v>0</v>
      </c>
    </row>
    <row r="37" spans="1:22">
      <c r="A37" s="142">
        <v>29</v>
      </c>
      <c r="B37" s="140" t="s">
        <v>64</v>
      </c>
      <c r="C37" s="141" t="s">
        <v>65</v>
      </c>
      <c r="D37" s="42">
        <v>59342523481.959999</v>
      </c>
      <c r="E37" s="28">
        <f t="shared" si="28"/>
        <v>1.8875015765446354E-2</v>
      </c>
      <c r="F37" s="29">
        <v>100</v>
      </c>
      <c r="G37" s="29">
        <v>100</v>
      </c>
      <c r="H37" s="30">
        <v>4452</v>
      </c>
      <c r="I37" s="48">
        <v>0.21222679257485599</v>
      </c>
      <c r="J37" s="48">
        <v>0.21222679257485599</v>
      </c>
      <c r="K37" s="42">
        <v>60830490964.5</v>
      </c>
      <c r="L37" s="28">
        <f t="shared" si="29"/>
        <v>1.9348292061152787E-2</v>
      </c>
      <c r="M37" s="29">
        <v>100</v>
      </c>
      <c r="N37" s="29">
        <v>100</v>
      </c>
      <c r="O37" s="30">
        <v>4493</v>
      </c>
      <c r="P37" s="48">
        <v>0.21284786364563499</v>
      </c>
      <c r="Q37" s="48">
        <v>0.21284786364563499</v>
      </c>
      <c r="R37" s="54">
        <f t="shared" si="21"/>
        <v>2.5074219888750433E-2</v>
      </c>
      <c r="S37" s="54">
        <f t="shared" si="22"/>
        <v>0</v>
      </c>
      <c r="T37" s="54">
        <f t="shared" si="23"/>
        <v>9.2093441150044916E-3</v>
      </c>
      <c r="U37" s="55">
        <f t="shared" si="24"/>
        <v>6.2107107077899459E-4</v>
      </c>
      <c r="V37" s="56">
        <f t="shared" si="25"/>
        <v>6.2107107077899459E-4</v>
      </c>
    </row>
    <row r="38" spans="1:22">
      <c r="A38" s="142">
        <v>30</v>
      </c>
      <c r="B38" s="140" t="s">
        <v>66</v>
      </c>
      <c r="C38" s="141" t="s">
        <v>67</v>
      </c>
      <c r="D38" s="42">
        <v>29410641751.509998</v>
      </c>
      <c r="E38" s="28">
        <f t="shared" si="28"/>
        <v>9.3546127491596007E-3</v>
      </c>
      <c r="F38" s="29">
        <v>100</v>
      </c>
      <c r="G38" s="29">
        <v>100</v>
      </c>
      <c r="H38" s="30">
        <v>7115</v>
      </c>
      <c r="I38" s="48">
        <v>0.20710000000000001</v>
      </c>
      <c r="J38" s="48">
        <v>0.20710000000000001</v>
      </c>
      <c r="K38" s="42">
        <v>38534903317.389999</v>
      </c>
      <c r="L38" s="28">
        <f t="shared" si="29"/>
        <v>1.2256757295749297E-2</v>
      </c>
      <c r="M38" s="29">
        <v>100</v>
      </c>
      <c r="N38" s="29">
        <v>100</v>
      </c>
      <c r="O38" s="30">
        <v>5022</v>
      </c>
      <c r="P38" s="48">
        <v>0.2072</v>
      </c>
      <c r="Q38" s="48">
        <v>0.2072</v>
      </c>
      <c r="R38" s="54">
        <f t="shared" si="21"/>
        <v>0.31023673821777603</v>
      </c>
      <c r="S38" s="54">
        <f t="shared" si="22"/>
        <v>0</v>
      </c>
      <c r="T38" s="54">
        <f t="shared" si="23"/>
        <v>-0.29416725228390722</v>
      </c>
      <c r="U38" s="55">
        <f t="shared" si="24"/>
        <v>9.9999999999988987E-5</v>
      </c>
      <c r="V38" s="56">
        <f t="shared" si="25"/>
        <v>9.9999999999988987E-5</v>
      </c>
    </row>
    <row r="39" spans="1:22">
      <c r="A39" s="142">
        <v>31</v>
      </c>
      <c r="B39" s="140" t="s">
        <v>68</v>
      </c>
      <c r="C39" s="141" t="s">
        <v>296</v>
      </c>
      <c r="D39" s="42">
        <v>28264339447.509998</v>
      </c>
      <c r="E39" s="28">
        <f t="shared" si="28"/>
        <v>8.9900095474345354E-3</v>
      </c>
      <c r="F39" s="29">
        <v>1</v>
      </c>
      <c r="G39" s="29">
        <v>1</v>
      </c>
      <c r="H39" s="30">
        <v>6258</v>
      </c>
      <c r="I39" s="48">
        <v>0.2155</v>
      </c>
      <c r="J39" s="48">
        <v>0.2155</v>
      </c>
      <c r="K39" s="42">
        <v>28384031943.220001</v>
      </c>
      <c r="L39" s="28">
        <f t="shared" si="29"/>
        <v>9.0280800171579651E-3</v>
      </c>
      <c r="M39" s="29">
        <v>1</v>
      </c>
      <c r="N39" s="29">
        <v>1</v>
      </c>
      <c r="O39" s="30">
        <v>6485</v>
      </c>
      <c r="P39" s="48">
        <v>0.2374</v>
      </c>
      <c r="Q39" s="48">
        <v>0.2374</v>
      </c>
      <c r="R39" s="54">
        <f t="shared" si="21"/>
        <v>4.2347529802451277E-3</v>
      </c>
      <c r="S39" s="54">
        <f t="shared" si="22"/>
        <v>0</v>
      </c>
      <c r="T39" s="54">
        <f t="shared" si="23"/>
        <v>3.627356983061681E-2</v>
      </c>
      <c r="U39" s="55">
        <f t="shared" si="24"/>
        <v>2.1900000000000003E-2</v>
      </c>
      <c r="V39" s="56">
        <f t="shared" si="25"/>
        <v>2.1900000000000003E-2</v>
      </c>
    </row>
    <row r="40" spans="1:22">
      <c r="A40" s="142">
        <v>32</v>
      </c>
      <c r="B40" s="140" t="s">
        <v>69</v>
      </c>
      <c r="C40" s="141" t="s">
        <v>70</v>
      </c>
      <c r="D40" s="42">
        <v>68335748477.150002</v>
      </c>
      <c r="E40" s="28">
        <f t="shared" si="28"/>
        <v>2.1735481643983191E-2</v>
      </c>
      <c r="F40" s="43">
        <v>100</v>
      </c>
      <c r="G40" s="43">
        <v>100</v>
      </c>
      <c r="H40" s="30">
        <v>3848</v>
      </c>
      <c r="I40" s="48">
        <v>0.2011</v>
      </c>
      <c r="J40" s="48">
        <v>0.2011</v>
      </c>
      <c r="K40" s="42">
        <v>68676686689.120003</v>
      </c>
      <c r="L40" s="28">
        <f t="shared" si="29"/>
        <v>2.1843923512450968E-2</v>
      </c>
      <c r="M40" s="43">
        <v>100</v>
      </c>
      <c r="N40" s="43">
        <v>100</v>
      </c>
      <c r="O40" s="30">
        <v>3848</v>
      </c>
      <c r="P40" s="48">
        <v>0.20710000000000001</v>
      </c>
      <c r="Q40" s="48">
        <v>0.20710000000000001</v>
      </c>
      <c r="R40" s="54">
        <f t="shared" si="21"/>
        <v>4.9891633525314151E-3</v>
      </c>
      <c r="S40" s="54">
        <f t="shared" si="22"/>
        <v>0</v>
      </c>
      <c r="T40" s="54">
        <f t="shared" si="23"/>
        <v>0</v>
      </c>
      <c r="U40" s="55">
        <f t="shared" si="24"/>
        <v>6.0000000000000053E-3</v>
      </c>
      <c r="V40" s="56">
        <f t="shared" si="25"/>
        <v>6.0000000000000053E-3</v>
      </c>
    </row>
    <row r="41" spans="1:22">
      <c r="A41" s="142">
        <v>33</v>
      </c>
      <c r="B41" s="140" t="s">
        <v>71</v>
      </c>
      <c r="C41" s="141" t="s">
        <v>70</v>
      </c>
      <c r="D41" s="42">
        <v>6678954173.6899996</v>
      </c>
      <c r="E41" s="28">
        <f t="shared" si="28"/>
        <v>2.1243681247127295E-3</v>
      </c>
      <c r="F41" s="43">
        <v>1000000</v>
      </c>
      <c r="G41" s="43">
        <v>1000000</v>
      </c>
      <c r="H41" s="30">
        <v>26</v>
      </c>
      <c r="I41" s="48">
        <v>0.21859999999999999</v>
      </c>
      <c r="J41" s="48">
        <v>0.21859999999999999</v>
      </c>
      <c r="K41" s="42">
        <v>6729941938.2399998</v>
      </c>
      <c r="L41" s="28">
        <f t="shared" si="29"/>
        <v>2.1405857508475308E-3</v>
      </c>
      <c r="M41" s="43">
        <v>1000000</v>
      </c>
      <c r="N41" s="43">
        <v>1000000</v>
      </c>
      <c r="O41" s="30">
        <v>26</v>
      </c>
      <c r="P41" s="48">
        <v>0.217</v>
      </c>
      <c r="Q41" s="48">
        <v>0.217</v>
      </c>
      <c r="R41" s="54">
        <f t="shared" si="21"/>
        <v>7.6340940847974686E-3</v>
      </c>
      <c r="S41" s="54">
        <f t="shared" si="22"/>
        <v>0</v>
      </c>
      <c r="T41" s="54">
        <f t="shared" si="23"/>
        <v>0</v>
      </c>
      <c r="U41" s="55">
        <f t="shared" si="24"/>
        <v>-1.5999999999999903E-3</v>
      </c>
      <c r="V41" s="56">
        <f t="shared" si="25"/>
        <v>-1.5999999999999903E-3</v>
      </c>
    </row>
    <row r="42" spans="1:22">
      <c r="A42" s="142">
        <v>34</v>
      </c>
      <c r="B42" s="140" t="s">
        <v>72</v>
      </c>
      <c r="C42" s="141" t="s">
        <v>73</v>
      </c>
      <c r="D42" s="42">
        <v>5082498895.25</v>
      </c>
      <c r="E42" s="28">
        <f t="shared" si="28"/>
        <v>1.6165852266944905E-3</v>
      </c>
      <c r="F42" s="29">
        <v>1</v>
      </c>
      <c r="G42" s="29">
        <v>1</v>
      </c>
      <c r="H42" s="30">
        <v>922</v>
      </c>
      <c r="I42" s="48">
        <v>0.2142</v>
      </c>
      <c r="J42" s="48">
        <v>0.2142</v>
      </c>
      <c r="K42" s="42">
        <v>4828664008.3900003</v>
      </c>
      <c r="L42" s="28">
        <f t="shared" si="29"/>
        <v>1.5358482237802264E-3</v>
      </c>
      <c r="M42" s="29">
        <v>1</v>
      </c>
      <c r="N42" s="29">
        <v>1</v>
      </c>
      <c r="O42" s="30">
        <v>925</v>
      </c>
      <c r="P42" s="48">
        <v>0.21410000000000001</v>
      </c>
      <c r="Q42" s="48">
        <v>0.21410000000000001</v>
      </c>
      <c r="R42" s="54">
        <f t="shared" si="21"/>
        <v>-4.9942930060885717E-2</v>
      </c>
      <c r="S42" s="54">
        <f t="shared" si="22"/>
        <v>0</v>
      </c>
      <c r="T42" s="54">
        <f t="shared" si="23"/>
        <v>3.2537960954446853E-3</v>
      </c>
      <c r="U42" s="55">
        <f t="shared" si="24"/>
        <v>-9.9999999999988987E-5</v>
      </c>
      <c r="V42" s="56">
        <f t="shared" si="25"/>
        <v>-9.9999999999988987E-5</v>
      </c>
    </row>
    <row r="43" spans="1:22">
      <c r="A43" s="142">
        <v>35</v>
      </c>
      <c r="B43" s="140" t="s">
        <v>74</v>
      </c>
      <c r="C43" s="141" t="s">
        <v>318</v>
      </c>
      <c r="D43" s="42">
        <v>524748032863.65997</v>
      </c>
      <c r="E43" s="28">
        <f t="shared" si="28"/>
        <v>0.16690607025162199</v>
      </c>
      <c r="F43" s="29">
        <v>100</v>
      </c>
      <c r="G43" s="29">
        <v>100</v>
      </c>
      <c r="H43" s="30">
        <v>16232</v>
      </c>
      <c r="I43" s="48">
        <v>0.21540000000000001</v>
      </c>
      <c r="J43" s="48">
        <v>0.21540000000000001</v>
      </c>
      <c r="K43" s="42">
        <v>525539991820.88</v>
      </c>
      <c r="L43" s="28">
        <f t="shared" si="29"/>
        <v>0.16715796782735717</v>
      </c>
      <c r="M43" s="29">
        <v>100</v>
      </c>
      <c r="N43" s="29">
        <v>100</v>
      </c>
      <c r="O43" s="30">
        <v>16251</v>
      </c>
      <c r="P43" s="48">
        <v>0.21540000000000001</v>
      </c>
      <c r="Q43" s="48">
        <v>0.21540000000000001</v>
      </c>
      <c r="R43" s="54">
        <f t="shared" si="21"/>
        <v>1.5092175818137816E-3</v>
      </c>
      <c r="S43" s="54">
        <f t="shared" si="22"/>
        <v>0</v>
      </c>
      <c r="T43" s="54">
        <f t="shared" si="23"/>
        <v>1.1705273533760474E-3</v>
      </c>
      <c r="U43" s="55">
        <f t="shared" si="24"/>
        <v>0</v>
      </c>
      <c r="V43" s="56">
        <f t="shared" si="25"/>
        <v>0</v>
      </c>
    </row>
    <row r="44" spans="1:22">
      <c r="A44" s="142">
        <v>36</v>
      </c>
      <c r="B44" s="140" t="s">
        <v>75</v>
      </c>
      <c r="C44" s="141" t="s">
        <v>76</v>
      </c>
      <c r="D44" s="42">
        <v>2084790132.75</v>
      </c>
      <c r="E44" s="28">
        <f t="shared" si="28"/>
        <v>6.6310706580022163E-4</v>
      </c>
      <c r="F44" s="29">
        <v>1</v>
      </c>
      <c r="G44" s="29">
        <v>1</v>
      </c>
      <c r="H44" s="44">
        <v>1325</v>
      </c>
      <c r="I44" s="51">
        <v>0.21340000000000001</v>
      </c>
      <c r="J44" s="51">
        <v>0.21340000000000001</v>
      </c>
      <c r="K44" s="42">
        <v>2112448037.3099999</v>
      </c>
      <c r="L44" s="28">
        <f t="shared" si="29"/>
        <v>6.7190418722307295E-4</v>
      </c>
      <c r="M44" s="29">
        <v>1</v>
      </c>
      <c r="N44" s="29">
        <v>1</v>
      </c>
      <c r="O44" s="44">
        <v>1335</v>
      </c>
      <c r="P44" s="51">
        <v>3.5999999999999999E-3</v>
      </c>
      <c r="Q44" s="51">
        <v>-8.5000000000000006E-3</v>
      </c>
      <c r="R44" s="54">
        <f t="shared" si="21"/>
        <v>1.3266517394495253E-2</v>
      </c>
      <c r="S44" s="54">
        <f t="shared" si="22"/>
        <v>0</v>
      </c>
      <c r="T44" s="54">
        <f t="shared" si="23"/>
        <v>7.5471698113207548E-3</v>
      </c>
      <c r="U44" s="55">
        <f t="shared" si="24"/>
        <v>-0.20980000000000001</v>
      </c>
      <c r="V44" s="56">
        <f t="shared" si="25"/>
        <v>-0.22190000000000001</v>
      </c>
    </row>
    <row r="45" spans="1:22">
      <c r="A45" s="142">
        <v>37</v>
      </c>
      <c r="B45" s="140" t="s">
        <v>298</v>
      </c>
      <c r="C45" s="141" t="s">
        <v>299</v>
      </c>
      <c r="D45" s="42">
        <v>1635945114.47</v>
      </c>
      <c r="E45" s="28">
        <f t="shared" si="28"/>
        <v>5.2034338978545775E-4</v>
      </c>
      <c r="F45" s="29">
        <v>1</v>
      </c>
      <c r="G45" s="29">
        <v>1</v>
      </c>
      <c r="H45" s="44">
        <v>246</v>
      </c>
      <c r="I45" s="51">
        <v>0.19539999999999999</v>
      </c>
      <c r="J45" s="51">
        <v>0.19539999999999999</v>
      </c>
      <c r="K45" s="42">
        <v>1705691697.5</v>
      </c>
      <c r="L45" s="28">
        <f t="shared" si="29"/>
        <v>5.4252761413307025E-4</v>
      </c>
      <c r="M45" s="29">
        <v>1</v>
      </c>
      <c r="N45" s="29">
        <v>1</v>
      </c>
      <c r="O45" s="44">
        <v>259</v>
      </c>
      <c r="P45" s="51">
        <v>0.19950000000000001</v>
      </c>
      <c r="Q45" s="51">
        <v>0.19950000000000001</v>
      </c>
      <c r="R45" s="54">
        <f t="shared" si="21"/>
        <v>4.2633816020530672E-2</v>
      </c>
      <c r="S45" s="54">
        <f t="shared" si="22"/>
        <v>0</v>
      </c>
      <c r="T45" s="54">
        <f t="shared" si="23"/>
        <v>5.2845528455284556E-2</v>
      </c>
      <c r="U45" s="55">
        <f t="shared" si="24"/>
        <v>4.1000000000000203E-3</v>
      </c>
      <c r="V45" s="56">
        <f t="shared" si="25"/>
        <v>4.1000000000000203E-3</v>
      </c>
    </row>
    <row r="46" spans="1:22">
      <c r="A46" s="142">
        <v>38</v>
      </c>
      <c r="B46" s="140" t="s">
        <v>77</v>
      </c>
      <c r="C46" s="141" t="s">
        <v>78</v>
      </c>
      <c r="D46" s="42">
        <v>1123047554.8</v>
      </c>
      <c r="E46" s="28">
        <f t="shared" si="28"/>
        <v>3.5720658742528842E-4</v>
      </c>
      <c r="F46" s="29">
        <v>10</v>
      </c>
      <c r="G46" s="29">
        <v>10</v>
      </c>
      <c r="H46" s="30">
        <v>468</v>
      </c>
      <c r="I46" s="48">
        <v>0.16800000000000001</v>
      </c>
      <c r="J46" s="48">
        <v>0.16800000000000001</v>
      </c>
      <c r="K46" s="42">
        <v>1124780699.29</v>
      </c>
      <c r="L46" s="28">
        <f t="shared" si="29"/>
        <v>3.5775784692106116E-4</v>
      </c>
      <c r="M46" s="29">
        <v>10</v>
      </c>
      <c r="N46" s="29">
        <v>10</v>
      </c>
      <c r="O46" s="30">
        <v>470</v>
      </c>
      <c r="P46" s="48">
        <v>0.1817</v>
      </c>
      <c r="Q46" s="48">
        <v>0.1817</v>
      </c>
      <c r="R46" s="54">
        <f t="shared" si="21"/>
        <v>1.5432512030255565E-3</v>
      </c>
      <c r="S46" s="54">
        <f t="shared" si="22"/>
        <v>0</v>
      </c>
      <c r="T46" s="54">
        <f t="shared" si="23"/>
        <v>4.2735042735042739E-3</v>
      </c>
      <c r="U46" s="55">
        <f t="shared" si="24"/>
        <v>1.369999999999999E-2</v>
      </c>
      <c r="V46" s="56">
        <f t="shared" si="25"/>
        <v>1.369999999999999E-2</v>
      </c>
    </row>
    <row r="47" spans="1:22">
      <c r="A47" s="142">
        <v>39</v>
      </c>
      <c r="B47" s="140" t="s">
        <v>79</v>
      </c>
      <c r="C47" s="141" t="s">
        <v>80</v>
      </c>
      <c r="D47" s="42">
        <v>9442364769.8700008</v>
      </c>
      <c r="E47" s="28">
        <f t="shared" si="28"/>
        <v>3.0033233074183547E-3</v>
      </c>
      <c r="F47" s="29">
        <v>100</v>
      </c>
      <c r="G47" s="29">
        <v>100</v>
      </c>
      <c r="H47" s="30">
        <v>925</v>
      </c>
      <c r="I47" s="48">
        <v>0.17430000000000001</v>
      </c>
      <c r="J47" s="48">
        <v>0.17430000000000001</v>
      </c>
      <c r="K47" s="42">
        <v>7371066016.3400002</v>
      </c>
      <c r="L47" s="28">
        <f t="shared" si="29"/>
        <v>2.3445074308115371E-3</v>
      </c>
      <c r="M47" s="29">
        <v>100</v>
      </c>
      <c r="N47" s="29">
        <v>100</v>
      </c>
      <c r="O47" s="30">
        <v>921</v>
      </c>
      <c r="P47" s="48">
        <v>0.16669999999999999</v>
      </c>
      <c r="Q47" s="48">
        <v>0.16669999999999999</v>
      </c>
      <c r="R47" s="54">
        <f t="shared" si="21"/>
        <v>-0.21936228942768513</v>
      </c>
      <c r="S47" s="54">
        <f t="shared" si="22"/>
        <v>0</v>
      </c>
      <c r="T47" s="54">
        <f t="shared" si="23"/>
        <v>-4.3243243243243244E-3</v>
      </c>
      <c r="U47" s="55">
        <f t="shared" si="24"/>
        <v>-7.6000000000000234E-3</v>
      </c>
      <c r="V47" s="56">
        <f t="shared" si="25"/>
        <v>-7.6000000000000234E-3</v>
      </c>
    </row>
    <row r="48" spans="1:22">
      <c r="A48" s="142">
        <v>40</v>
      </c>
      <c r="B48" s="140" t="s">
        <v>81</v>
      </c>
      <c r="C48" s="140" t="s">
        <v>82</v>
      </c>
      <c r="D48" s="130">
        <v>99765537.448698357</v>
      </c>
      <c r="E48" s="28">
        <f>(D48/$D$190)</f>
        <v>1.56738829139875E-3</v>
      </c>
      <c r="F48" s="31">
        <v>1</v>
      </c>
      <c r="G48" s="31">
        <v>1</v>
      </c>
      <c r="H48" s="30">
        <v>91</v>
      </c>
      <c r="I48" s="48">
        <v>0.17979999999999999</v>
      </c>
      <c r="J48" s="48">
        <v>0.17979999999999999</v>
      </c>
      <c r="K48" s="130">
        <v>100103765.33742501</v>
      </c>
      <c r="L48" s="52">
        <f>(K48/$K$190)</f>
        <v>1.5226877664629591E-3</v>
      </c>
      <c r="M48" s="31">
        <v>1</v>
      </c>
      <c r="N48" s="31">
        <v>1</v>
      </c>
      <c r="O48" s="30">
        <v>91</v>
      </c>
      <c r="P48" s="48">
        <v>0.18010000000000001</v>
      </c>
      <c r="Q48" s="48">
        <v>0.18010000000000001</v>
      </c>
      <c r="R48" s="55">
        <f t="shared" si="21"/>
        <v>3.3902277016306949E-3</v>
      </c>
      <c r="S48" s="55">
        <f t="shared" si="22"/>
        <v>0</v>
      </c>
      <c r="T48" s="55">
        <f t="shared" si="23"/>
        <v>0</v>
      </c>
      <c r="U48" s="55">
        <f t="shared" si="24"/>
        <v>3.0000000000002247E-4</v>
      </c>
      <c r="V48" s="56">
        <f t="shared" si="25"/>
        <v>3.0000000000002247E-4</v>
      </c>
    </row>
    <row r="49" spans="1:22">
      <c r="A49" s="142">
        <v>41</v>
      </c>
      <c r="B49" s="140" t="s">
        <v>285</v>
      </c>
      <c r="C49" s="141" t="s">
        <v>37</v>
      </c>
      <c r="D49" s="42">
        <v>420857977.58999997</v>
      </c>
      <c r="E49" s="28">
        <f t="shared" ref="E49" si="30">(D49/$K$69)</f>
        <v>1.3386186659958917E-4</v>
      </c>
      <c r="F49" s="29">
        <v>100</v>
      </c>
      <c r="G49" s="29">
        <v>100</v>
      </c>
      <c r="H49" s="30">
        <v>2641</v>
      </c>
      <c r="I49" s="48">
        <v>0.18667391</v>
      </c>
      <c r="J49" s="48">
        <v>0.18667391</v>
      </c>
      <c r="K49" s="42">
        <v>453564799.94999999</v>
      </c>
      <c r="L49" s="28">
        <f t="shared" ref="L49" si="31">(K49/$K$69)</f>
        <v>1.4426489214450596E-4</v>
      </c>
      <c r="M49" s="29">
        <v>100</v>
      </c>
      <c r="N49" s="29">
        <v>100</v>
      </c>
      <c r="O49" s="30">
        <v>2996</v>
      </c>
      <c r="P49" s="48">
        <v>0.17873775</v>
      </c>
      <c r="Q49" s="48">
        <v>0.17873775</v>
      </c>
      <c r="R49" s="54">
        <f t="shared" ref="R49" si="32">((K49-D49)/D49)</f>
        <v>7.7714630829365E-2</v>
      </c>
      <c r="S49" s="54">
        <f t="shared" ref="S49" si="33">((N49-G49)/G49)</f>
        <v>0</v>
      </c>
      <c r="T49" s="54">
        <f t="shared" ref="T49" si="34">((O49-H49)/H49)</f>
        <v>0.1344187807648618</v>
      </c>
      <c r="U49" s="55">
        <f t="shared" ref="U49" si="35">P49-I49</f>
        <v>-7.9361599999999977E-3</v>
      </c>
      <c r="V49" s="56">
        <f t="shared" ref="V49" si="36">Q49-J49</f>
        <v>-7.9361599999999977E-3</v>
      </c>
    </row>
    <row r="50" spans="1:22">
      <c r="A50" s="142">
        <v>42</v>
      </c>
      <c r="B50" s="140" t="s">
        <v>83</v>
      </c>
      <c r="C50" s="141" t="s">
        <v>37</v>
      </c>
      <c r="D50" s="42">
        <v>92216850074.190002</v>
      </c>
      <c r="E50" s="28">
        <f t="shared" ref="E50:E68" si="37">(D50/$K$69)</f>
        <v>2.9331319210233384E-2</v>
      </c>
      <c r="F50" s="29">
        <v>100</v>
      </c>
      <c r="G50" s="29">
        <v>100</v>
      </c>
      <c r="H50" s="30">
        <v>12598</v>
      </c>
      <c r="I50" s="48">
        <v>0.21124148000000001</v>
      </c>
      <c r="J50" s="48">
        <v>0.21124148000000001</v>
      </c>
      <c r="K50" s="42">
        <v>95801186692.910004</v>
      </c>
      <c r="L50" s="28">
        <f t="shared" ref="L50:L68" si="38">(K50/$K$69)</f>
        <v>3.0471385493521345E-2</v>
      </c>
      <c r="M50" s="29">
        <v>100</v>
      </c>
      <c r="N50" s="29">
        <v>100</v>
      </c>
      <c r="O50" s="30">
        <v>12762</v>
      </c>
      <c r="P50" s="48">
        <v>0.21104248</v>
      </c>
      <c r="Q50" s="48">
        <v>0.21104248</v>
      </c>
      <c r="R50" s="54">
        <f t="shared" si="21"/>
        <v>3.8868564864624443E-2</v>
      </c>
      <c r="S50" s="54">
        <f t="shared" si="22"/>
        <v>0</v>
      </c>
      <c r="T50" s="54">
        <f t="shared" si="23"/>
        <v>1.3017939355453246E-2</v>
      </c>
      <c r="U50" s="55">
        <f t="shared" si="24"/>
        <v>-1.9900000000000473E-4</v>
      </c>
      <c r="V50" s="56">
        <f t="shared" si="25"/>
        <v>-1.9900000000000473E-4</v>
      </c>
    </row>
    <row r="51" spans="1:22">
      <c r="A51" s="142">
        <v>43</v>
      </c>
      <c r="B51" s="140" t="s">
        <v>84</v>
      </c>
      <c r="C51" s="141" t="s">
        <v>41</v>
      </c>
      <c r="D51" s="42">
        <v>22036705677.830002</v>
      </c>
      <c r="E51" s="28">
        <f t="shared" si="37"/>
        <v>7.0091924421445996E-3</v>
      </c>
      <c r="F51" s="29">
        <v>1</v>
      </c>
      <c r="G51" s="29">
        <v>1</v>
      </c>
      <c r="H51" s="30">
        <v>1850</v>
      </c>
      <c r="I51" s="48">
        <v>0.20710000000000001</v>
      </c>
      <c r="J51" s="48">
        <v>0.20710000000000001</v>
      </c>
      <c r="K51" s="42">
        <v>21937407187.27</v>
      </c>
      <c r="L51" s="28">
        <f t="shared" si="38"/>
        <v>6.9776086727861087E-3</v>
      </c>
      <c r="M51" s="29">
        <v>1</v>
      </c>
      <c r="N51" s="29">
        <v>1</v>
      </c>
      <c r="O51" s="30">
        <v>1883</v>
      </c>
      <c r="P51" s="48">
        <v>0.2097</v>
      </c>
      <c r="Q51" s="48">
        <v>0.2097</v>
      </c>
      <c r="R51" s="54">
        <f t="shared" si="21"/>
        <v>-4.5060496796442895E-3</v>
      </c>
      <c r="S51" s="54">
        <f t="shared" si="22"/>
        <v>0</v>
      </c>
      <c r="T51" s="54">
        <f t="shared" si="23"/>
        <v>1.783783783783784E-2</v>
      </c>
      <c r="U51" s="55">
        <f t="shared" si="24"/>
        <v>2.5999999999999912E-3</v>
      </c>
      <c r="V51" s="56">
        <f t="shared" si="25"/>
        <v>2.5999999999999912E-3</v>
      </c>
    </row>
    <row r="52" spans="1:22">
      <c r="A52" s="142">
        <v>44</v>
      </c>
      <c r="B52" s="140" t="s">
        <v>309</v>
      </c>
      <c r="C52" s="141" t="s">
        <v>308</v>
      </c>
      <c r="D52" s="42">
        <v>1930563196.9020977</v>
      </c>
      <c r="E52" s="28">
        <f t="shared" si="37"/>
        <v>6.1405226201401955E-4</v>
      </c>
      <c r="F52" s="29">
        <v>100</v>
      </c>
      <c r="G52" s="29">
        <v>100</v>
      </c>
      <c r="H52" s="30">
        <v>149</v>
      </c>
      <c r="I52" s="48">
        <v>0.21129999999999999</v>
      </c>
      <c r="J52" s="48">
        <v>0.21129999999999999</v>
      </c>
      <c r="K52" s="42">
        <v>1977035605.6862075</v>
      </c>
      <c r="L52" s="28">
        <f t="shared" si="38"/>
        <v>6.2883369355737134E-4</v>
      </c>
      <c r="M52" s="29">
        <v>100</v>
      </c>
      <c r="N52" s="29">
        <v>100</v>
      </c>
      <c r="O52" s="30">
        <v>153</v>
      </c>
      <c r="P52" s="48">
        <v>0.21210000000000001</v>
      </c>
      <c r="Q52" s="48">
        <v>0.21210000000000001</v>
      </c>
      <c r="R52" s="54">
        <f t="shared" si="21"/>
        <v>2.4071943803073818E-2</v>
      </c>
      <c r="S52" s="54">
        <f t="shared" si="22"/>
        <v>0</v>
      </c>
      <c r="T52" s="54">
        <f t="shared" si="23"/>
        <v>2.6845637583892617E-2</v>
      </c>
      <c r="U52" s="55">
        <f t="shared" si="24"/>
        <v>8.0000000000002292E-4</v>
      </c>
      <c r="V52" s="56">
        <f t="shared" si="25"/>
        <v>8.0000000000002292E-4</v>
      </c>
    </row>
    <row r="53" spans="1:22">
      <c r="A53" s="142">
        <v>45</v>
      </c>
      <c r="B53" s="140" t="s">
        <v>85</v>
      </c>
      <c r="C53" s="141" t="s">
        <v>43</v>
      </c>
      <c r="D53" s="45">
        <v>44781568433.18</v>
      </c>
      <c r="E53" s="28">
        <f t="shared" si="37"/>
        <v>1.4243627681836657E-2</v>
      </c>
      <c r="F53" s="29">
        <v>10</v>
      </c>
      <c r="G53" s="29">
        <v>10</v>
      </c>
      <c r="H53" s="30">
        <v>4926</v>
      </c>
      <c r="I53" s="48">
        <v>0.22770000000000001</v>
      </c>
      <c r="J53" s="48">
        <v>0.22770000000000001</v>
      </c>
      <c r="K53" s="45">
        <v>45458788561.260002</v>
      </c>
      <c r="L53" s="28">
        <f t="shared" si="38"/>
        <v>1.4459030395509146E-2</v>
      </c>
      <c r="M53" s="29">
        <v>10</v>
      </c>
      <c r="N53" s="29">
        <v>10</v>
      </c>
      <c r="O53" s="30">
        <v>5065</v>
      </c>
      <c r="P53" s="48">
        <v>0.2286</v>
      </c>
      <c r="Q53" s="48">
        <v>0.2286</v>
      </c>
      <c r="R53" s="54">
        <f t="shared" si="21"/>
        <v>1.5122742498188813E-2</v>
      </c>
      <c r="S53" s="54">
        <f t="shared" si="22"/>
        <v>0</v>
      </c>
      <c r="T53" s="54">
        <f t="shared" si="23"/>
        <v>2.8217620787657327E-2</v>
      </c>
      <c r="U53" s="55">
        <f t="shared" si="24"/>
        <v>8.9999999999998415E-4</v>
      </c>
      <c r="V53" s="56">
        <f t="shared" si="25"/>
        <v>8.9999999999998415E-4</v>
      </c>
    </row>
    <row r="54" spans="1:22">
      <c r="A54" s="142">
        <v>46</v>
      </c>
      <c r="B54" s="140" t="s">
        <v>86</v>
      </c>
      <c r="C54" s="141" t="s">
        <v>87</v>
      </c>
      <c r="D54" s="42">
        <v>20913178705</v>
      </c>
      <c r="E54" s="28">
        <f t="shared" si="37"/>
        <v>6.6518333667167197E-3</v>
      </c>
      <c r="F54" s="29">
        <v>100</v>
      </c>
      <c r="G54" s="29">
        <v>100</v>
      </c>
      <c r="H54" s="30">
        <v>4277</v>
      </c>
      <c r="I54" s="48">
        <v>0.2185</v>
      </c>
      <c r="J54" s="48">
        <v>0.2185</v>
      </c>
      <c r="K54" s="42">
        <v>21020685258</v>
      </c>
      <c r="L54" s="28">
        <f t="shared" si="38"/>
        <v>6.6860278661026555E-3</v>
      </c>
      <c r="M54" s="29">
        <v>100</v>
      </c>
      <c r="N54" s="29">
        <v>100</v>
      </c>
      <c r="O54" s="30">
        <v>4315</v>
      </c>
      <c r="P54" s="48">
        <v>0.2114</v>
      </c>
      <c r="Q54" s="48">
        <v>0.2114</v>
      </c>
      <c r="R54" s="54">
        <f t="shared" si="21"/>
        <v>5.1406127455075465E-3</v>
      </c>
      <c r="S54" s="54">
        <f t="shared" si="22"/>
        <v>0</v>
      </c>
      <c r="T54" s="54">
        <f t="shared" si="23"/>
        <v>8.8847322889876075E-3</v>
      </c>
      <c r="U54" s="55">
        <f t="shared" si="24"/>
        <v>-7.0999999999999952E-3</v>
      </c>
      <c r="V54" s="56">
        <f t="shared" si="25"/>
        <v>-7.0999999999999952E-3</v>
      </c>
    </row>
    <row r="55" spans="1:22">
      <c r="A55" s="142">
        <v>47</v>
      </c>
      <c r="B55" s="140" t="s">
        <v>88</v>
      </c>
      <c r="C55" s="141" t="s">
        <v>89</v>
      </c>
      <c r="D55" s="42">
        <v>283280812.10000002</v>
      </c>
      <c r="E55" s="28">
        <f t="shared" si="37"/>
        <v>9.010283824652994E-5</v>
      </c>
      <c r="F55" s="29">
        <v>1</v>
      </c>
      <c r="G55" s="29">
        <v>1</v>
      </c>
      <c r="H55" s="30">
        <v>99</v>
      </c>
      <c r="I55" s="48">
        <v>0.1905</v>
      </c>
      <c r="J55" s="48">
        <v>0.1905</v>
      </c>
      <c r="K55" s="42">
        <v>285077509.66000003</v>
      </c>
      <c r="L55" s="28">
        <f t="shared" si="38"/>
        <v>9.0674312002293772E-5</v>
      </c>
      <c r="M55" s="29">
        <v>1</v>
      </c>
      <c r="N55" s="29">
        <v>1</v>
      </c>
      <c r="O55" s="30">
        <v>100</v>
      </c>
      <c r="P55" s="48">
        <v>0.18160000000000001</v>
      </c>
      <c r="Q55" s="48">
        <v>0.18160000000000001</v>
      </c>
      <c r="R55" s="54">
        <f t="shared" si="21"/>
        <v>6.3424612019459901E-3</v>
      </c>
      <c r="S55" s="54">
        <f t="shared" si="22"/>
        <v>0</v>
      </c>
      <c r="T55" s="54">
        <f t="shared" si="23"/>
        <v>1.0101010101010102E-2</v>
      </c>
      <c r="U55" s="55">
        <f t="shared" si="24"/>
        <v>-8.8999999999999913E-3</v>
      </c>
      <c r="V55" s="56">
        <f t="shared" si="25"/>
        <v>-8.8999999999999913E-3</v>
      </c>
    </row>
    <row r="56" spans="1:22">
      <c r="A56" s="142">
        <v>48</v>
      </c>
      <c r="B56" s="140" t="s">
        <v>90</v>
      </c>
      <c r="C56" s="141" t="s">
        <v>45</v>
      </c>
      <c r="D56" s="45">
        <v>1410832661.95</v>
      </c>
      <c r="E56" s="28">
        <f t="shared" si="37"/>
        <v>4.4874210219267475E-4</v>
      </c>
      <c r="F56" s="29">
        <v>10</v>
      </c>
      <c r="G56" s="29">
        <v>10</v>
      </c>
      <c r="H56" s="30">
        <v>819</v>
      </c>
      <c r="I56" s="48">
        <v>0.1759</v>
      </c>
      <c r="J56" s="48">
        <v>0.1759</v>
      </c>
      <c r="K56" s="45">
        <v>1472097800.01</v>
      </c>
      <c r="L56" s="28">
        <f t="shared" si="38"/>
        <v>4.6822864201106123E-4</v>
      </c>
      <c r="M56" s="29">
        <v>10</v>
      </c>
      <c r="N56" s="29">
        <v>10</v>
      </c>
      <c r="O56" s="30">
        <v>818</v>
      </c>
      <c r="P56" s="48">
        <v>0.17660000000000001</v>
      </c>
      <c r="Q56" s="48">
        <v>0.17660000000000001</v>
      </c>
      <c r="R56" s="54">
        <f t="shared" si="21"/>
        <v>4.3424808421518656E-2</v>
      </c>
      <c r="S56" s="54">
        <f t="shared" si="22"/>
        <v>0</v>
      </c>
      <c r="T56" s="54">
        <f t="shared" si="23"/>
        <v>-1.221001221001221E-3</v>
      </c>
      <c r="U56" s="55">
        <f t="shared" si="24"/>
        <v>7.0000000000000617E-4</v>
      </c>
      <c r="V56" s="56">
        <f t="shared" si="25"/>
        <v>7.0000000000000617E-4</v>
      </c>
    </row>
    <row r="57" spans="1:22">
      <c r="A57" s="142">
        <v>49</v>
      </c>
      <c r="B57" s="140" t="s">
        <v>91</v>
      </c>
      <c r="C57" s="141" t="s">
        <v>92</v>
      </c>
      <c r="D57" s="45">
        <v>985536423</v>
      </c>
      <c r="E57" s="28">
        <f t="shared" si="37"/>
        <v>3.1346856234048723E-4</v>
      </c>
      <c r="F57" s="29">
        <v>1</v>
      </c>
      <c r="G57" s="29">
        <v>1</v>
      </c>
      <c r="H57" s="30">
        <v>94</v>
      </c>
      <c r="I57" s="48">
        <v>0.20019999999999999</v>
      </c>
      <c r="J57" s="48">
        <v>0.20019999999999999</v>
      </c>
      <c r="K57" s="45">
        <v>930574975</v>
      </c>
      <c r="L57" s="28">
        <f t="shared" si="38"/>
        <v>2.9598703077388431E-4</v>
      </c>
      <c r="M57" s="29">
        <v>1</v>
      </c>
      <c r="N57" s="29">
        <v>1</v>
      </c>
      <c r="O57" s="30">
        <v>107</v>
      </c>
      <c r="P57" s="48">
        <v>0.22270000000000001</v>
      </c>
      <c r="Q57" s="48">
        <v>0.22270000000000001</v>
      </c>
      <c r="R57" s="54">
        <f t="shared" si="21"/>
        <v>-5.576805353646478E-2</v>
      </c>
      <c r="S57" s="54">
        <f t="shared" si="22"/>
        <v>0</v>
      </c>
      <c r="T57" s="54">
        <f t="shared" si="23"/>
        <v>0.13829787234042554</v>
      </c>
      <c r="U57" s="55">
        <f t="shared" si="24"/>
        <v>2.250000000000002E-2</v>
      </c>
      <c r="V57" s="56">
        <f t="shared" si="25"/>
        <v>2.250000000000002E-2</v>
      </c>
    </row>
    <row r="58" spans="1:22">
      <c r="A58" s="142">
        <v>50</v>
      </c>
      <c r="B58" s="140" t="s">
        <v>304</v>
      </c>
      <c r="C58" s="141" t="s">
        <v>303</v>
      </c>
      <c r="D58" s="45">
        <v>530262936.41000003</v>
      </c>
      <c r="E58" s="28">
        <f t="shared" si="37"/>
        <v>1.6866018998354962E-4</v>
      </c>
      <c r="F58" s="29">
        <v>1</v>
      </c>
      <c r="G58" s="29">
        <v>1</v>
      </c>
      <c r="H58" s="30">
        <v>483</v>
      </c>
      <c r="I58" s="48">
        <v>0.18149999999999999</v>
      </c>
      <c r="J58" s="48">
        <v>0.18149999999999999</v>
      </c>
      <c r="K58" s="45">
        <v>616085376.07000005</v>
      </c>
      <c r="L58" s="28">
        <f t="shared" si="38"/>
        <v>1.9595764561170493E-4</v>
      </c>
      <c r="M58" s="29">
        <v>1</v>
      </c>
      <c r="N58" s="29">
        <v>1</v>
      </c>
      <c r="O58" s="30">
        <v>514</v>
      </c>
      <c r="P58" s="48">
        <v>0.18140000000000001</v>
      </c>
      <c r="Q58" s="48">
        <v>0.18140000000000001</v>
      </c>
      <c r="R58" s="54">
        <f t="shared" si="21"/>
        <v>0.16184883718450577</v>
      </c>
      <c r="S58" s="54">
        <f t="shared" si="22"/>
        <v>0</v>
      </c>
      <c r="T58" s="54">
        <f t="shared" si="23"/>
        <v>6.4182194616977231E-2</v>
      </c>
      <c r="U58" s="55">
        <f t="shared" si="24"/>
        <v>-9.9999999999988987E-5</v>
      </c>
      <c r="V58" s="56">
        <f t="shared" si="25"/>
        <v>-9.9999999999988987E-5</v>
      </c>
    </row>
    <row r="59" spans="1:22">
      <c r="A59" s="142">
        <v>51</v>
      </c>
      <c r="B59" s="140" t="s">
        <v>93</v>
      </c>
      <c r="C59" s="141" t="s">
        <v>94</v>
      </c>
      <c r="D59" s="45">
        <v>11958957270.762201</v>
      </c>
      <c r="E59" s="28">
        <f t="shared" si="37"/>
        <v>3.80377331093033E-3</v>
      </c>
      <c r="F59" s="29">
        <v>100</v>
      </c>
      <c r="G59" s="29">
        <v>100</v>
      </c>
      <c r="H59" s="30">
        <v>128</v>
      </c>
      <c r="I59" s="48">
        <v>0.20830000000000001</v>
      </c>
      <c r="J59" s="48">
        <v>0.20830000000000001</v>
      </c>
      <c r="K59" s="45">
        <v>11548372503.542101</v>
      </c>
      <c r="L59" s="28">
        <f t="shared" si="38"/>
        <v>3.6731790338486109E-3</v>
      </c>
      <c r="M59" s="29">
        <v>100</v>
      </c>
      <c r="N59" s="29">
        <v>100</v>
      </c>
      <c r="O59" s="30">
        <v>128</v>
      </c>
      <c r="P59" s="48">
        <v>0.21149999999999999</v>
      </c>
      <c r="Q59" s="48">
        <v>0.21149999999999999</v>
      </c>
      <c r="R59" s="54">
        <f t="shared" si="21"/>
        <v>-3.4332823332676052E-2</v>
      </c>
      <c r="S59" s="54">
        <f t="shared" si="22"/>
        <v>0</v>
      </c>
      <c r="T59" s="54">
        <f t="shared" si="23"/>
        <v>0</v>
      </c>
      <c r="U59" s="55">
        <f t="shared" si="24"/>
        <v>3.1999999999999806E-3</v>
      </c>
      <c r="V59" s="56">
        <f t="shared" si="25"/>
        <v>3.1999999999999806E-3</v>
      </c>
    </row>
    <row r="60" spans="1:22">
      <c r="A60" s="142">
        <v>52</v>
      </c>
      <c r="B60" s="140" t="s">
        <v>95</v>
      </c>
      <c r="C60" s="141" t="s">
        <v>96</v>
      </c>
      <c r="D60" s="45">
        <v>71353726.189999998</v>
      </c>
      <c r="E60" s="28">
        <f t="shared" si="37"/>
        <v>2.269540672919003E-5</v>
      </c>
      <c r="F60" s="29">
        <v>1000</v>
      </c>
      <c r="G60" s="29">
        <v>1000</v>
      </c>
      <c r="H60" s="30">
        <v>23</v>
      </c>
      <c r="I60" s="48">
        <v>9.7999999999999997E-3</v>
      </c>
      <c r="J60" s="48">
        <v>0.18859999999999999</v>
      </c>
      <c r="K60" s="45">
        <v>71368997.260326654</v>
      </c>
      <c r="L60" s="28">
        <f t="shared" si="38"/>
        <v>2.2700263982913972E-5</v>
      </c>
      <c r="M60" s="29">
        <v>1000</v>
      </c>
      <c r="N60" s="29">
        <v>1000</v>
      </c>
      <c r="O60" s="30">
        <v>23</v>
      </c>
      <c r="P60" s="48">
        <v>0.18859999999999999</v>
      </c>
      <c r="Q60" s="48">
        <v>0.18859999999999999</v>
      </c>
      <c r="R60" s="54">
        <f t="shared" si="21"/>
        <v>2.1401924106937944E-4</v>
      </c>
      <c r="S60" s="54">
        <f t="shared" si="22"/>
        <v>0</v>
      </c>
      <c r="T60" s="54">
        <f t="shared" si="23"/>
        <v>0</v>
      </c>
      <c r="U60" s="55">
        <f t="shared" si="24"/>
        <v>0.17879999999999999</v>
      </c>
      <c r="V60" s="56">
        <f t="shared" si="25"/>
        <v>0</v>
      </c>
    </row>
    <row r="61" spans="1:22">
      <c r="A61" s="142">
        <v>53</v>
      </c>
      <c r="B61" s="140" t="s">
        <v>97</v>
      </c>
      <c r="C61" s="141" t="s">
        <v>49</v>
      </c>
      <c r="D61" s="42">
        <v>1515783074780.29</v>
      </c>
      <c r="E61" s="28">
        <f t="shared" si="37"/>
        <v>0.48212357268851624</v>
      </c>
      <c r="F61" s="29">
        <v>100</v>
      </c>
      <c r="G61" s="29">
        <v>100</v>
      </c>
      <c r="H61" s="30">
        <v>190578</v>
      </c>
      <c r="I61" s="48">
        <v>0.2031</v>
      </c>
      <c r="J61" s="48">
        <v>0.2031</v>
      </c>
      <c r="K61" s="42">
        <v>1525148351013.6899</v>
      </c>
      <c r="L61" s="28">
        <f t="shared" si="38"/>
        <v>0.48510237652396354</v>
      </c>
      <c r="M61" s="29">
        <v>100</v>
      </c>
      <c r="N61" s="29">
        <v>100</v>
      </c>
      <c r="O61" s="30">
        <v>192628</v>
      </c>
      <c r="P61" s="48">
        <v>0.20080000000000001</v>
      </c>
      <c r="Q61" s="48">
        <v>0.20080000000000001</v>
      </c>
      <c r="R61" s="54">
        <f t="shared" si="21"/>
        <v>6.1785069309850827E-3</v>
      </c>
      <c r="S61" s="54">
        <f t="shared" si="22"/>
        <v>0</v>
      </c>
      <c r="T61" s="54">
        <f t="shared" si="23"/>
        <v>1.0756750516848745E-2</v>
      </c>
      <c r="U61" s="55">
        <f t="shared" si="24"/>
        <v>-2.2999999999999965E-3</v>
      </c>
      <c r="V61" s="56">
        <f t="shared" si="25"/>
        <v>-2.2999999999999965E-3</v>
      </c>
    </row>
    <row r="62" spans="1:22">
      <c r="A62" s="142">
        <v>54</v>
      </c>
      <c r="B62" s="140" t="s">
        <v>98</v>
      </c>
      <c r="C62" s="140" t="s">
        <v>99</v>
      </c>
      <c r="D62" s="42">
        <v>4446186321.1700001</v>
      </c>
      <c r="E62" s="28">
        <f t="shared" si="37"/>
        <v>1.4141939368943037E-3</v>
      </c>
      <c r="F62" s="29">
        <v>100</v>
      </c>
      <c r="G62" s="29">
        <v>100</v>
      </c>
      <c r="H62" s="30">
        <v>644</v>
      </c>
      <c r="I62" s="48">
        <v>0.20780000000000001</v>
      </c>
      <c r="J62" s="48">
        <v>0.20780000000000001</v>
      </c>
      <c r="K62" s="42">
        <v>4522450067.6400003</v>
      </c>
      <c r="L62" s="28">
        <f t="shared" si="38"/>
        <v>1.4384510687533972E-3</v>
      </c>
      <c r="M62" s="29">
        <v>100</v>
      </c>
      <c r="N62" s="29">
        <v>100</v>
      </c>
      <c r="O62" s="30">
        <v>644</v>
      </c>
      <c r="P62" s="48">
        <v>0.215</v>
      </c>
      <c r="Q62" s="48">
        <v>0.215</v>
      </c>
      <c r="R62" s="54">
        <f t="shared" si="21"/>
        <v>1.7152620461917956E-2</v>
      </c>
      <c r="S62" s="54">
        <f t="shared" si="22"/>
        <v>0</v>
      </c>
      <c r="T62" s="54">
        <f t="shared" si="23"/>
        <v>0</v>
      </c>
      <c r="U62" s="55">
        <f t="shared" si="24"/>
        <v>7.1999999999999842E-3</v>
      </c>
      <c r="V62" s="56">
        <f t="shared" si="25"/>
        <v>7.1999999999999842E-3</v>
      </c>
    </row>
    <row r="63" spans="1:22">
      <c r="A63" s="142">
        <v>55</v>
      </c>
      <c r="B63" s="140" t="s">
        <v>100</v>
      </c>
      <c r="C63" s="141" t="s">
        <v>101</v>
      </c>
      <c r="D63" s="42">
        <v>5038584278.6899996</v>
      </c>
      <c r="E63" s="28">
        <f t="shared" si="37"/>
        <v>1.602617349508487E-3</v>
      </c>
      <c r="F63" s="29">
        <v>1</v>
      </c>
      <c r="G63" s="29">
        <v>1</v>
      </c>
      <c r="H63" s="30">
        <v>493</v>
      </c>
      <c r="I63" s="48">
        <v>0.21957499999999999</v>
      </c>
      <c r="J63" s="48">
        <v>0.21957499999999999</v>
      </c>
      <c r="K63" s="42">
        <v>5062250609.79</v>
      </c>
      <c r="L63" s="28">
        <f t="shared" si="38"/>
        <v>1.6101448752423493E-3</v>
      </c>
      <c r="M63" s="29">
        <v>1</v>
      </c>
      <c r="N63" s="29">
        <v>1</v>
      </c>
      <c r="O63" s="30">
        <v>498</v>
      </c>
      <c r="P63" s="48">
        <v>0.228052</v>
      </c>
      <c r="Q63" s="48">
        <v>0.228052</v>
      </c>
      <c r="R63" s="54">
        <f t="shared" si="21"/>
        <v>4.6970199943055192E-3</v>
      </c>
      <c r="S63" s="54">
        <f t="shared" si="22"/>
        <v>0</v>
      </c>
      <c r="T63" s="54">
        <f t="shared" si="23"/>
        <v>1.0141987829614604E-2</v>
      </c>
      <c r="U63" s="55">
        <f t="shared" si="24"/>
        <v>8.4770000000000123E-3</v>
      </c>
      <c r="V63" s="56">
        <f t="shared" si="25"/>
        <v>8.4770000000000123E-3</v>
      </c>
    </row>
    <row r="64" spans="1:22">
      <c r="A64" s="142">
        <v>56</v>
      </c>
      <c r="B64" s="140" t="s">
        <v>102</v>
      </c>
      <c r="C64" s="141" t="s">
        <v>52</v>
      </c>
      <c r="D64" s="42">
        <v>139453536129.41</v>
      </c>
      <c r="E64" s="28">
        <f t="shared" si="37"/>
        <v>4.4355843643724316E-2</v>
      </c>
      <c r="F64" s="29">
        <v>1</v>
      </c>
      <c r="G64" s="29">
        <v>1</v>
      </c>
      <c r="H64" s="30">
        <v>58592</v>
      </c>
      <c r="I64" s="48">
        <v>0.19980000000000001</v>
      </c>
      <c r="J64" s="48">
        <v>0.19980000000000001</v>
      </c>
      <c r="K64" s="42">
        <v>139224191223.60999</v>
      </c>
      <c r="L64" s="28">
        <f t="shared" si="38"/>
        <v>4.4282896144044494E-2</v>
      </c>
      <c r="M64" s="29">
        <v>1</v>
      </c>
      <c r="N64" s="29">
        <v>1</v>
      </c>
      <c r="O64" s="30">
        <v>59730</v>
      </c>
      <c r="P64" s="48">
        <v>0.19980000000000001</v>
      </c>
      <c r="Q64" s="48">
        <v>0.19980000000000001</v>
      </c>
      <c r="R64" s="54">
        <f t="shared" si="21"/>
        <v>-1.6445972770973048E-3</v>
      </c>
      <c r="S64" s="54">
        <f t="shared" si="22"/>
        <v>0</v>
      </c>
      <c r="T64" s="54">
        <f t="shared" si="23"/>
        <v>1.9422446750409612E-2</v>
      </c>
      <c r="U64" s="55">
        <f t="shared" si="24"/>
        <v>0</v>
      </c>
      <c r="V64" s="56">
        <f t="shared" si="25"/>
        <v>0</v>
      </c>
    </row>
    <row r="65" spans="1:22">
      <c r="A65" s="142">
        <v>57</v>
      </c>
      <c r="B65" s="140" t="s">
        <v>311</v>
      </c>
      <c r="C65" s="141" t="s">
        <v>103</v>
      </c>
      <c r="D65" s="42">
        <v>1610092364.55</v>
      </c>
      <c r="E65" s="28">
        <f t="shared" si="37"/>
        <v>5.1212043205315825E-4</v>
      </c>
      <c r="F65" s="29">
        <v>1</v>
      </c>
      <c r="G65" s="29">
        <v>1</v>
      </c>
      <c r="H65" s="30">
        <v>153</v>
      </c>
      <c r="I65" s="48">
        <v>0.20399999999999999</v>
      </c>
      <c r="J65" s="48">
        <v>0.20399999999999999</v>
      </c>
      <c r="K65" s="42">
        <v>1690420410.55</v>
      </c>
      <c r="L65" s="28">
        <f t="shared" si="38"/>
        <v>5.3767029150796259E-4</v>
      </c>
      <c r="M65" s="29">
        <v>1</v>
      </c>
      <c r="N65" s="29">
        <v>1</v>
      </c>
      <c r="O65" s="30">
        <v>157</v>
      </c>
      <c r="P65" s="48">
        <v>0.20699999999999999</v>
      </c>
      <c r="Q65" s="48">
        <v>0.20699999999999999</v>
      </c>
      <c r="R65" s="54">
        <f t="shared" si="21"/>
        <v>4.9890334100460537E-2</v>
      </c>
      <c r="S65" s="54">
        <f t="shared" si="22"/>
        <v>0</v>
      </c>
      <c r="T65" s="54">
        <f t="shared" si="23"/>
        <v>2.6143790849673203E-2</v>
      </c>
      <c r="U65" s="55">
        <f t="shared" si="24"/>
        <v>3.0000000000000027E-3</v>
      </c>
      <c r="V65" s="56">
        <f t="shared" si="25"/>
        <v>3.0000000000000027E-3</v>
      </c>
    </row>
    <row r="66" spans="1:22">
      <c r="A66" s="142">
        <v>58</v>
      </c>
      <c r="B66" s="140" t="s">
        <v>104</v>
      </c>
      <c r="C66" s="141" t="s">
        <v>105</v>
      </c>
      <c r="D66" s="42">
        <v>4917689548.25</v>
      </c>
      <c r="E66" s="28">
        <f t="shared" si="37"/>
        <v>1.5641644862137863E-3</v>
      </c>
      <c r="F66" s="29">
        <v>1</v>
      </c>
      <c r="G66" s="29">
        <v>1</v>
      </c>
      <c r="H66" s="30">
        <v>439</v>
      </c>
      <c r="I66" s="48">
        <v>0.20710000000000001</v>
      </c>
      <c r="J66" s="48">
        <v>0.20710000000000001</v>
      </c>
      <c r="K66" s="42">
        <v>4953001052.0100002</v>
      </c>
      <c r="L66" s="28">
        <f t="shared" si="38"/>
        <v>1.5753959801082823E-3</v>
      </c>
      <c r="M66" s="29">
        <v>1</v>
      </c>
      <c r="N66" s="29">
        <v>1</v>
      </c>
      <c r="O66" s="30">
        <v>439</v>
      </c>
      <c r="P66" s="48">
        <v>0.2109</v>
      </c>
      <c r="Q66" s="48">
        <v>0.2109</v>
      </c>
      <c r="R66" s="54">
        <f t="shared" si="21"/>
        <v>7.1805069054361346E-3</v>
      </c>
      <c r="S66" s="54">
        <f t="shared" si="22"/>
        <v>0</v>
      </c>
      <c r="T66" s="54">
        <f t="shared" si="23"/>
        <v>0</v>
      </c>
      <c r="U66" s="55">
        <f t="shared" si="24"/>
        <v>3.7999999999999978E-3</v>
      </c>
      <c r="V66" s="56">
        <f t="shared" si="25"/>
        <v>3.7999999999999978E-3</v>
      </c>
    </row>
    <row r="67" spans="1:22">
      <c r="A67" s="142">
        <v>59</v>
      </c>
      <c r="B67" s="140" t="s">
        <v>106</v>
      </c>
      <c r="C67" s="141" t="s">
        <v>107</v>
      </c>
      <c r="D67" s="42">
        <v>5909076619.4099998</v>
      </c>
      <c r="E67" s="28">
        <f t="shared" si="37"/>
        <v>1.8794939582321649E-3</v>
      </c>
      <c r="F67" s="29">
        <v>1</v>
      </c>
      <c r="G67" s="29">
        <v>1</v>
      </c>
      <c r="H67" s="30">
        <v>3751</v>
      </c>
      <c r="I67" s="48">
        <v>0.2306</v>
      </c>
      <c r="J67" s="48">
        <v>0.2306</v>
      </c>
      <c r="K67" s="42">
        <v>5951634146.8400002</v>
      </c>
      <c r="L67" s="28">
        <f t="shared" si="38"/>
        <v>1.8930301874662294E-3</v>
      </c>
      <c r="M67" s="29">
        <v>1</v>
      </c>
      <c r="N67" s="29">
        <v>1</v>
      </c>
      <c r="O67" s="30">
        <v>3807</v>
      </c>
      <c r="P67" s="48">
        <v>0.23</v>
      </c>
      <c r="Q67" s="48">
        <v>0.23</v>
      </c>
      <c r="R67" s="54">
        <f t="shared" si="21"/>
        <v>7.2020605199479577E-3</v>
      </c>
      <c r="S67" s="54">
        <f t="shared" si="22"/>
        <v>0</v>
      </c>
      <c r="T67" s="54">
        <f t="shared" si="23"/>
        <v>1.4929352172753933E-2</v>
      </c>
      <c r="U67" s="55">
        <f t="shared" si="24"/>
        <v>-5.9999999999998943E-4</v>
      </c>
      <c r="V67" s="56">
        <f t="shared" si="25"/>
        <v>-5.9999999999998943E-4</v>
      </c>
    </row>
    <row r="68" spans="1:22">
      <c r="A68" s="142">
        <v>60</v>
      </c>
      <c r="B68" s="140" t="s">
        <v>108</v>
      </c>
      <c r="C68" s="141" t="s">
        <v>109</v>
      </c>
      <c r="D68" s="42">
        <v>97959312829.970001</v>
      </c>
      <c r="E68" s="28">
        <f t="shared" si="37"/>
        <v>3.1157818467225481E-2</v>
      </c>
      <c r="F68" s="29">
        <v>1</v>
      </c>
      <c r="G68" s="29">
        <v>1</v>
      </c>
      <c r="H68" s="30">
        <v>5516</v>
      </c>
      <c r="I68" s="48">
        <v>0.2054</v>
      </c>
      <c r="J68" s="48">
        <v>0.2054</v>
      </c>
      <c r="K68" s="42">
        <v>98962726575.330002</v>
      </c>
      <c r="L68" s="28">
        <f t="shared" si="38"/>
        <v>3.1476973251209232E-2</v>
      </c>
      <c r="M68" s="29">
        <v>1</v>
      </c>
      <c r="N68" s="29">
        <v>1</v>
      </c>
      <c r="O68" s="30">
        <v>5586</v>
      </c>
      <c r="P68" s="48">
        <v>0.20860000000000001</v>
      </c>
      <c r="Q68" s="48">
        <v>0.20860000000000001</v>
      </c>
      <c r="R68" s="54">
        <f t="shared" si="21"/>
        <v>1.0243168478546257E-2</v>
      </c>
      <c r="S68" s="54">
        <f t="shared" si="22"/>
        <v>0</v>
      </c>
      <c r="T68" s="54">
        <f t="shared" si="23"/>
        <v>1.2690355329949238E-2</v>
      </c>
      <c r="U68" s="55">
        <f t="shared" si="24"/>
        <v>3.2000000000000084E-3</v>
      </c>
      <c r="V68" s="56">
        <f t="shared" si="25"/>
        <v>3.2000000000000084E-3</v>
      </c>
    </row>
    <row r="69" spans="1:22">
      <c r="A69" s="34"/>
      <c r="B69" s="35"/>
      <c r="C69" s="36" t="s">
        <v>53</v>
      </c>
      <c r="D69" s="46">
        <f>SUM(D28:D68)</f>
        <v>3113167425546.7334</v>
      </c>
      <c r="E69" s="38">
        <f>(D69/$D$222)</f>
        <v>0.53875282426715698</v>
      </c>
      <c r="F69" s="39"/>
      <c r="G69" s="43"/>
      <c r="H69" s="41">
        <f>SUM(H28:H68)</f>
        <v>444663</v>
      </c>
      <c r="I69" s="53"/>
      <c r="J69" s="53"/>
      <c r="K69" s="46">
        <f>SUM(K28:K68)</f>
        <v>3143972127991.3154</v>
      </c>
      <c r="L69" s="38">
        <f>(K69/$K$222)</f>
        <v>0.54091978028065046</v>
      </c>
      <c r="M69" s="39"/>
      <c r="N69" s="43"/>
      <c r="O69" s="41">
        <f>SUM(O28:O68)</f>
        <v>447710</v>
      </c>
      <c r="P69" s="53"/>
      <c r="Q69" s="53"/>
      <c r="R69" s="54">
        <f t="shared" si="21"/>
        <v>9.8949713374866504E-3</v>
      </c>
      <c r="S69" s="54" t="e">
        <f t="shared" si="22"/>
        <v>#DIV/0!</v>
      </c>
      <c r="T69" s="54">
        <f t="shared" si="23"/>
        <v>6.8523803419668376E-3</v>
      </c>
      <c r="U69" s="55">
        <f t="shared" si="24"/>
        <v>0</v>
      </c>
      <c r="V69" s="56">
        <f t="shared" si="25"/>
        <v>0</v>
      </c>
    </row>
    <row r="70" spans="1:22" ht="3" customHeight="1">
      <c r="A70" s="34"/>
      <c r="B70" s="162"/>
      <c r="C70" s="162"/>
      <c r="D70" s="162"/>
      <c r="E70" s="162"/>
      <c r="F70" s="162"/>
      <c r="G70" s="162"/>
      <c r="H70" s="162"/>
      <c r="I70" s="162"/>
      <c r="J70" s="162"/>
      <c r="K70" s="162"/>
      <c r="L70" s="162"/>
      <c r="M70" s="162"/>
      <c r="N70" s="162"/>
      <c r="O70" s="162"/>
      <c r="P70" s="162"/>
      <c r="Q70" s="162"/>
      <c r="R70" s="162"/>
      <c r="S70" s="162"/>
      <c r="T70" s="162"/>
      <c r="U70" s="162"/>
      <c r="V70" s="162"/>
    </row>
    <row r="71" spans="1:22" ht="15" customHeight="1">
      <c r="A71" s="161" t="s">
        <v>110</v>
      </c>
      <c r="B71" s="161"/>
      <c r="C71" s="161"/>
      <c r="D71" s="161"/>
      <c r="E71" s="161"/>
      <c r="F71" s="161"/>
      <c r="G71" s="161"/>
      <c r="H71" s="161"/>
      <c r="I71" s="161"/>
      <c r="J71" s="161"/>
      <c r="K71" s="161"/>
      <c r="L71" s="161"/>
      <c r="M71" s="161"/>
      <c r="N71" s="161"/>
      <c r="O71" s="161"/>
      <c r="P71" s="161"/>
      <c r="Q71" s="161"/>
      <c r="R71" s="161"/>
      <c r="S71" s="161"/>
      <c r="T71" s="161"/>
      <c r="U71" s="161"/>
      <c r="V71" s="161"/>
    </row>
    <row r="72" spans="1:22">
      <c r="A72" s="142">
        <v>61</v>
      </c>
      <c r="B72" s="140" t="s">
        <v>111</v>
      </c>
      <c r="C72" s="141" t="s">
        <v>21</v>
      </c>
      <c r="D72" s="27">
        <v>541806933.51999998</v>
      </c>
      <c r="E72" s="28">
        <f>(D72/$D$110)</f>
        <v>2.579165139334978E-3</v>
      </c>
      <c r="F72" s="58">
        <v>1.4862</v>
      </c>
      <c r="G72" s="58">
        <v>1.4862</v>
      </c>
      <c r="H72" s="30">
        <v>477</v>
      </c>
      <c r="I72" s="48">
        <v>8.0800000000000002E-4</v>
      </c>
      <c r="J72" s="48">
        <v>0.14000000000000001</v>
      </c>
      <c r="K72" s="27">
        <v>546999982.48000002</v>
      </c>
      <c r="L72" s="28">
        <f t="shared" ref="L72:L94" si="39">(K72/$K$110)</f>
        <v>2.6143510779501047E-3</v>
      </c>
      <c r="M72" s="58">
        <v>1.5002</v>
      </c>
      <c r="N72" s="58">
        <v>1.5002</v>
      </c>
      <c r="O72" s="30">
        <v>477</v>
      </c>
      <c r="P72" s="48">
        <v>-4.0000000000000002E-4</v>
      </c>
      <c r="Q72" s="48">
        <v>0.1507</v>
      </c>
      <c r="R72" s="54">
        <f>((K72-D72)/D72)</f>
        <v>9.5846853163394311E-3</v>
      </c>
      <c r="S72" s="54">
        <f>((N72-G72)/G72)</f>
        <v>9.4199973085722054E-3</v>
      </c>
      <c r="T72" s="54">
        <f>((O72-H72)/H72)</f>
        <v>0</v>
      </c>
      <c r="U72" s="55">
        <f>P72-I72</f>
        <v>-1.2080000000000001E-3</v>
      </c>
      <c r="V72" s="56">
        <f>Q72-J72</f>
        <v>1.0699999999999987E-2</v>
      </c>
    </row>
    <row r="73" spans="1:22">
      <c r="A73" s="142">
        <v>62</v>
      </c>
      <c r="B73" s="140" t="s">
        <v>112</v>
      </c>
      <c r="C73" s="141" t="s">
        <v>23</v>
      </c>
      <c r="D73" s="27">
        <v>1297938974.27</v>
      </c>
      <c r="E73" s="28">
        <f>(D73/$D$110)</f>
        <v>6.1785827170441907E-3</v>
      </c>
      <c r="F73" s="58">
        <v>1.2707999999999999</v>
      </c>
      <c r="G73" s="58">
        <v>1.2707999999999999</v>
      </c>
      <c r="H73" s="30">
        <v>1016</v>
      </c>
      <c r="I73" s="48">
        <v>0.2722</v>
      </c>
      <c r="J73" s="48">
        <v>0.16189999999999999</v>
      </c>
      <c r="K73" s="27">
        <v>1299245491.76</v>
      </c>
      <c r="L73" s="28">
        <f t="shared" si="39"/>
        <v>6.2096598915864915E-3</v>
      </c>
      <c r="M73" s="58">
        <v>1.2764</v>
      </c>
      <c r="N73" s="58">
        <v>1.2764</v>
      </c>
      <c r="O73" s="30">
        <v>1026</v>
      </c>
      <c r="P73" s="48">
        <v>0.2298</v>
      </c>
      <c r="Q73" s="48">
        <v>0.1653</v>
      </c>
      <c r="R73" s="54">
        <f t="shared" ref="R73:R110" si="40">((K73-D73)/D73)</f>
        <v>1.00660933672543E-3</v>
      </c>
      <c r="S73" s="54">
        <f t="shared" ref="S73:S110" si="41">((N73-G73)/G73)</f>
        <v>4.4066729619137946E-3</v>
      </c>
      <c r="T73" s="54">
        <f t="shared" ref="T73:T110" si="42">((O73-H73)/H73)</f>
        <v>9.8425196850393699E-3</v>
      </c>
      <c r="U73" s="55">
        <f t="shared" ref="U73:U110" si="43">P73-I73</f>
        <v>-4.2399999999999993E-2</v>
      </c>
      <c r="V73" s="56">
        <f t="shared" ref="V73:V110" si="44">Q73-J73</f>
        <v>3.4000000000000141E-3</v>
      </c>
    </row>
    <row r="74" spans="1:22">
      <c r="A74" s="142">
        <v>63</v>
      </c>
      <c r="B74" s="140" t="s">
        <v>113</v>
      </c>
      <c r="C74" s="141" t="s">
        <v>23</v>
      </c>
      <c r="D74" s="27">
        <v>788078796.63999999</v>
      </c>
      <c r="E74" s="28">
        <f>(D74/$D$110)</f>
        <v>3.7514938137422661E-3</v>
      </c>
      <c r="F74" s="58">
        <v>1.1347</v>
      </c>
      <c r="G74" s="58">
        <v>1.1347</v>
      </c>
      <c r="H74" s="30">
        <v>348</v>
      </c>
      <c r="I74" s="48">
        <v>0.1198</v>
      </c>
      <c r="J74" s="48">
        <v>0.12230000000000001</v>
      </c>
      <c r="K74" s="27">
        <v>789133365.01999998</v>
      </c>
      <c r="L74" s="28">
        <f t="shared" si="39"/>
        <v>3.7716119370476628E-3</v>
      </c>
      <c r="M74" s="58">
        <v>1.1374</v>
      </c>
      <c r="N74" s="58">
        <v>1.1374</v>
      </c>
      <c r="O74" s="30">
        <v>356</v>
      </c>
      <c r="P74" s="48">
        <v>0.1241</v>
      </c>
      <c r="Q74" s="48">
        <v>0.1227</v>
      </c>
      <c r="R74" s="54">
        <f t="shared" si="40"/>
        <v>1.3381509368050281E-3</v>
      </c>
      <c r="S74" s="54">
        <f t="shared" si="41"/>
        <v>2.3794835639375381E-3</v>
      </c>
      <c r="T74" s="54">
        <f t="shared" si="42"/>
        <v>2.2988505747126436E-2</v>
      </c>
      <c r="U74" s="55">
        <f t="shared" si="43"/>
        <v>4.2999999999999983E-3</v>
      </c>
      <c r="V74" s="56">
        <f t="shared" si="44"/>
        <v>3.9999999999999758E-4</v>
      </c>
    </row>
    <row r="75" spans="1:22">
      <c r="A75" s="142">
        <v>64</v>
      </c>
      <c r="B75" s="140" t="s">
        <v>114</v>
      </c>
      <c r="C75" s="141" t="s">
        <v>115</v>
      </c>
      <c r="D75" s="27">
        <v>289045236.81999999</v>
      </c>
      <c r="E75" s="28">
        <f>(D75/$D$110)</f>
        <v>1.3759428910472739E-3</v>
      </c>
      <c r="F75" s="33">
        <v>1136.01</v>
      </c>
      <c r="G75" s="33">
        <v>1136.01</v>
      </c>
      <c r="H75" s="30">
        <v>109</v>
      </c>
      <c r="I75" s="48">
        <v>9.4999999999999998E-3</v>
      </c>
      <c r="J75" s="48">
        <v>0.13320000000000001</v>
      </c>
      <c r="K75" s="27">
        <v>290573693.36000001</v>
      </c>
      <c r="L75" s="28">
        <f t="shared" si="39"/>
        <v>1.3887781952304445E-3</v>
      </c>
      <c r="M75" s="33">
        <v>1142.5999999999999</v>
      </c>
      <c r="N75" s="33">
        <v>1142.5999999999999</v>
      </c>
      <c r="O75" s="30">
        <v>109</v>
      </c>
      <c r="P75" s="48">
        <v>5.3E-3</v>
      </c>
      <c r="Q75" s="48">
        <v>0.1452</v>
      </c>
      <c r="R75" s="54">
        <f t="shared" si="40"/>
        <v>5.2879492387271285E-3</v>
      </c>
      <c r="S75" s="54">
        <f t="shared" si="41"/>
        <v>5.8010052728408364E-3</v>
      </c>
      <c r="T75" s="54">
        <f t="shared" si="42"/>
        <v>0</v>
      </c>
      <c r="U75" s="55">
        <f t="shared" si="43"/>
        <v>-4.1999999999999997E-3</v>
      </c>
      <c r="V75" s="56">
        <f t="shared" si="44"/>
        <v>1.1999999999999983E-2</v>
      </c>
    </row>
    <row r="76" spans="1:22" ht="15" customHeight="1">
      <c r="A76" s="142">
        <v>65</v>
      </c>
      <c r="B76" s="140" t="s">
        <v>116</v>
      </c>
      <c r="C76" s="141" t="s">
        <v>27</v>
      </c>
      <c r="D76" s="27">
        <v>1608881689.8699999</v>
      </c>
      <c r="E76" s="28">
        <f>(D76/$K$110)</f>
        <v>7.6895460967580766E-3</v>
      </c>
      <c r="F76" s="33">
        <v>1.1218999999999999</v>
      </c>
      <c r="G76" s="33">
        <v>1.1218999999999999</v>
      </c>
      <c r="H76" s="30">
        <v>932</v>
      </c>
      <c r="I76" s="48">
        <v>3.2000000000000002E-3</v>
      </c>
      <c r="J76" s="48">
        <v>7.0999999999999994E-2</v>
      </c>
      <c r="K76" s="27">
        <v>1619375258.3399999</v>
      </c>
      <c r="L76" s="28">
        <f t="shared" si="39"/>
        <v>7.7396994293353599E-3</v>
      </c>
      <c r="M76" s="33">
        <v>1.1253</v>
      </c>
      <c r="N76" s="33">
        <v>1.1253</v>
      </c>
      <c r="O76" s="30">
        <v>932</v>
      </c>
      <c r="P76" s="48">
        <v>3.0000000000000001E-3</v>
      </c>
      <c r="Q76" s="48">
        <v>7.4099999999999999E-2</v>
      </c>
      <c r="R76" s="54">
        <f t="shared" si="40"/>
        <v>6.5222747800976746E-3</v>
      </c>
      <c r="S76" s="54">
        <f t="shared" si="41"/>
        <v>3.0305731348605667E-3</v>
      </c>
      <c r="T76" s="54">
        <f t="shared" si="42"/>
        <v>0</v>
      </c>
      <c r="U76" s="55">
        <f t="shared" si="43"/>
        <v>-2.0000000000000009E-4</v>
      </c>
      <c r="V76" s="56">
        <f t="shared" si="44"/>
        <v>3.1000000000000055E-3</v>
      </c>
    </row>
    <row r="77" spans="1:22">
      <c r="A77" s="142">
        <v>66</v>
      </c>
      <c r="B77" s="140" t="s">
        <v>117</v>
      </c>
      <c r="C77" s="141" t="s">
        <v>118</v>
      </c>
      <c r="D77" s="27">
        <v>457930540.37648386</v>
      </c>
      <c r="E77" s="28">
        <f t="shared" ref="E77:E94" si="45">(D77/$D$110)</f>
        <v>2.1798880983354154E-3</v>
      </c>
      <c r="F77" s="33">
        <v>2.6259999999999999</v>
      </c>
      <c r="G77" s="33">
        <v>2.6259999999999999</v>
      </c>
      <c r="H77" s="30">
        <v>1391</v>
      </c>
      <c r="I77" s="48">
        <v>0.1474</v>
      </c>
      <c r="J77" s="48">
        <v>0.1414</v>
      </c>
      <c r="K77" s="27">
        <v>460590024.60041231</v>
      </c>
      <c r="L77" s="28">
        <f t="shared" si="39"/>
        <v>2.2013602666818739E-3</v>
      </c>
      <c r="M77" s="33">
        <v>2.6408999999999998</v>
      </c>
      <c r="N77" s="33">
        <v>2.6408999999999998</v>
      </c>
      <c r="O77" s="30">
        <v>1391</v>
      </c>
      <c r="P77" s="48">
        <v>0.14649999999999999</v>
      </c>
      <c r="Q77" s="48">
        <v>0.1426</v>
      </c>
      <c r="R77" s="54">
        <f t="shared" si="40"/>
        <v>5.807614887930336E-3</v>
      </c>
      <c r="S77" s="54">
        <f t="shared" si="41"/>
        <v>5.6740289413556412E-3</v>
      </c>
      <c r="T77" s="54">
        <f t="shared" si="42"/>
        <v>0</v>
      </c>
      <c r="U77" s="55">
        <f t="shared" si="43"/>
        <v>-9.000000000000119E-4</v>
      </c>
      <c r="V77" s="56">
        <f t="shared" si="44"/>
        <v>1.2000000000000066E-3</v>
      </c>
    </row>
    <row r="78" spans="1:22">
      <c r="A78" s="142">
        <v>67</v>
      </c>
      <c r="B78" s="140" t="s">
        <v>119</v>
      </c>
      <c r="C78" s="141" t="s">
        <v>63</v>
      </c>
      <c r="D78" s="27">
        <v>159194927.21000001</v>
      </c>
      <c r="E78" s="28">
        <f t="shared" si="45"/>
        <v>7.5781608026218624E-4</v>
      </c>
      <c r="F78" s="33">
        <v>12.28</v>
      </c>
      <c r="G78" s="33">
        <v>12.32</v>
      </c>
      <c r="H78" s="30">
        <v>30</v>
      </c>
      <c r="I78" s="48">
        <v>0.1215247</v>
      </c>
      <c r="J78" s="48">
        <v>0.29399999999999998</v>
      </c>
      <c r="K78" s="27">
        <v>161810960.66999999</v>
      </c>
      <c r="L78" s="28">
        <f t="shared" si="39"/>
        <v>7.7336503290879671E-4</v>
      </c>
      <c r="M78" s="33">
        <v>12.46</v>
      </c>
      <c r="N78" s="33">
        <v>12.54</v>
      </c>
      <c r="O78" s="30">
        <v>30</v>
      </c>
      <c r="P78" s="48">
        <v>0.5</v>
      </c>
      <c r="Q78" s="48">
        <v>0.3</v>
      </c>
      <c r="R78" s="54">
        <f t="shared" si="40"/>
        <v>1.6432894601905692E-2</v>
      </c>
      <c r="S78" s="54">
        <f t="shared" si="41"/>
        <v>1.7857142857142766E-2</v>
      </c>
      <c r="T78" s="54">
        <f t="shared" si="42"/>
        <v>0</v>
      </c>
      <c r="U78" s="55">
        <f t="shared" si="43"/>
        <v>0.37847530000000001</v>
      </c>
      <c r="V78" s="56">
        <f t="shared" si="44"/>
        <v>6.0000000000000053E-3</v>
      </c>
    </row>
    <row r="79" spans="1:22">
      <c r="A79" s="142">
        <v>68</v>
      </c>
      <c r="B79" s="140" t="s">
        <v>120</v>
      </c>
      <c r="C79" s="141" t="s">
        <v>65</v>
      </c>
      <c r="D79" s="27">
        <v>2020842407.1603501</v>
      </c>
      <c r="E79" s="28">
        <f t="shared" si="45"/>
        <v>9.6198220550187188E-3</v>
      </c>
      <c r="F79" s="27">
        <v>4630.5616906443302</v>
      </c>
      <c r="G79" s="27">
        <v>4630.5616906443302</v>
      </c>
      <c r="H79" s="30">
        <v>1110</v>
      </c>
      <c r="I79" s="48">
        <v>0.17599378153382411</v>
      </c>
      <c r="J79" s="48">
        <v>0.11990263090048349</v>
      </c>
      <c r="K79" s="27">
        <v>1927341872.1717801</v>
      </c>
      <c r="L79" s="28">
        <f t="shared" si="39"/>
        <v>9.2116059643107904E-3</v>
      </c>
      <c r="M79" s="27">
        <v>4639.6203929703297</v>
      </c>
      <c r="N79" s="27">
        <v>4639.6203929703297</v>
      </c>
      <c r="O79" s="30">
        <v>1116</v>
      </c>
      <c r="P79" s="48">
        <v>0.10200633375398058</v>
      </c>
      <c r="Q79" s="48">
        <v>0.11942418333468492</v>
      </c>
      <c r="R79" s="54">
        <f t="shared" si="40"/>
        <v>-4.626809822343108E-2</v>
      </c>
      <c r="S79" s="54">
        <f t="shared" si="41"/>
        <v>1.9562858528160659E-3</v>
      </c>
      <c r="T79" s="54">
        <f t="shared" si="42"/>
        <v>5.4054054054054057E-3</v>
      </c>
      <c r="U79" s="55">
        <f t="shared" si="43"/>
        <v>-7.3987447779843535E-2</v>
      </c>
      <c r="V79" s="56">
        <f t="shared" si="44"/>
        <v>-4.7844756579856762E-4</v>
      </c>
    </row>
    <row r="80" spans="1:22">
      <c r="A80" s="142">
        <v>69</v>
      </c>
      <c r="B80" s="140" t="s">
        <v>121</v>
      </c>
      <c r="C80" s="141" t="s">
        <v>67</v>
      </c>
      <c r="D80" s="27">
        <v>342138569.06999999</v>
      </c>
      <c r="E80" s="28">
        <f t="shared" si="45"/>
        <v>1.6286832367284993E-3</v>
      </c>
      <c r="F80" s="58">
        <v>111.47</v>
      </c>
      <c r="G80" s="58">
        <v>111.47</v>
      </c>
      <c r="H80" s="30">
        <v>138</v>
      </c>
      <c r="I80" s="48">
        <v>2.2000000000000001E-3</v>
      </c>
      <c r="J80" s="48">
        <v>0.1255</v>
      </c>
      <c r="K80" s="27">
        <v>343033006.75</v>
      </c>
      <c r="L80" s="28">
        <f t="shared" si="39"/>
        <v>1.6395040945035462E-3</v>
      </c>
      <c r="M80" s="58">
        <v>111.71</v>
      </c>
      <c r="N80" s="58">
        <v>111.71</v>
      </c>
      <c r="O80" s="30">
        <v>91</v>
      </c>
      <c r="P80" s="48">
        <v>2.2000000000000001E-3</v>
      </c>
      <c r="Q80" s="48">
        <v>0.1255</v>
      </c>
      <c r="R80" s="54">
        <f t="shared" si="40"/>
        <v>2.6142556287391534E-3</v>
      </c>
      <c r="S80" s="54">
        <f t="shared" si="41"/>
        <v>2.1530456625100465E-3</v>
      </c>
      <c r="T80" s="54">
        <f t="shared" si="42"/>
        <v>-0.34057971014492755</v>
      </c>
      <c r="U80" s="55">
        <f t="shared" si="43"/>
        <v>0</v>
      </c>
      <c r="V80" s="56">
        <f t="shared" si="44"/>
        <v>0</v>
      </c>
    </row>
    <row r="81" spans="1:22" ht="13.5" customHeight="1">
      <c r="A81" s="142">
        <v>70</v>
      </c>
      <c r="B81" s="140" t="s">
        <v>122</v>
      </c>
      <c r="C81" s="141" t="s">
        <v>296</v>
      </c>
      <c r="D81" s="27">
        <v>394232009.19999999</v>
      </c>
      <c r="E81" s="28">
        <f t="shared" si="45"/>
        <v>1.8766637930097529E-3</v>
      </c>
      <c r="F81" s="58">
        <v>1.4812000000000001</v>
      </c>
      <c r="G81" s="58">
        <v>1.4812000000000001</v>
      </c>
      <c r="H81" s="30">
        <v>425</v>
      </c>
      <c r="I81" s="48">
        <v>3.9292730844793677E-2</v>
      </c>
      <c r="J81" s="48">
        <v>0.12581887684191828</v>
      </c>
      <c r="K81" s="27">
        <v>392357755.38</v>
      </c>
      <c r="L81" s="28">
        <f t="shared" si="39"/>
        <v>1.8752485440112266E-3</v>
      </c>
      <c r="M81" s="58">
        <v>1.4864999999999999</v>
      </c>
      <c r="N81" s="58">
        <v>1.4864999999999999</v>
      </c>
      <c r="O81" s="30">
        <v>436</v>
      </c>
      <c r="P81" s="48">
        <v>3.5781798541723031E-3</v>
      </c>
      <c r="Q81" s="48">
        <v>0.1296889023986908</v>
      </c>
      <c r="R81" s="54">
        <f t="shared" si="40"/>
        <v>-4.7541898584119151E-3</v>
      </c>
      <c r="S81" s="54">
        <f t="shared" si="41"/>
        <v>3.5781798541721982E-3</v>
      </c>
      <c r="T81" s="54">
        <f t="shared" si="42"/>
        <v>2.5882352941176471E-2</v>
      </c>
      <c r="U81" s="55">
        <f t="shared" si="43"/>
        <v>-3.5714550990621374E-2</v>
      </c>
      <c r="V81" s="56">
        <f t="shared" si="44"/>
        <v>3.8700255567725161E-3</v>
      </c>
    </row>
    <row r="82" spans="1:22" ht="13.5" customHeight="1">
      <c r="A82" s="142">
        <v>71</v>
      </c>
      <c r="B82" s="140" t="s">
        <v>294</v>
      </c>
      <c r="C82" s="141" t="s">
        <v>296</v>
      </c>
      <c r="D82" s="27">
        <v>26225633.640000001</v>
      </c>
      <c r="E82" s="28">
        <f t="shared" si="45"/>
        <v>1.2484196095796521E-4</v>
      </c>
      <c r="F82" s="58">
        <v>0.88300000000000001</v>
      </c>
      <c r="G82" s="58">
        <v>0.88300000000000001</v>
      </c>
      <c r="H82" s="30">
        <v>1</v>
      </c>
      <c r="I82" s="48">
        <v>-5.6593095642321067E-4</v>
      </c>
      <c r="J82" s="48">
        <v>-0.10916061339790151</v>
      </c>
      <c r="K82" s="27">
        <v>26303824.27</v>
      </c>
      <c r="L82" s="28">
        <f t="shared" si="39"/>
        <v>1.2571742876975133E-4</v>
      </c>
      <c r="M82" s="58">
        <v>0.88270000000000004</v>
      </c>
      <c r="N82" s="58">
        <v>0.88270000000000004</v>
      </c>
      <c r="O82" s="30">
        <v>1</v>
      </c>
      <c r="P82" s="48">
        <v>-3.3975084937709621E-4</v>
      </c>
      <c r="Q82" s="48">
        <v>-0.10946327683615809</v>
      </c>
      <c r="R82" s="54">
        <f t="shared" ref="R82" si="46">((K82-D82)/D82)</f>
        <v>2.9814581822244566E-3</v>
      </c>
      <c r="S82" s="54">
        <f t="shared" ref="S82" si="47">((N82-G82)/G82)</f>
        <v>-3.3975084937708602E-4</v>
      </c>
      <c r="T82" s="54">
        <f t="shared" ref="T82" si="48">((O82-H82)/H82)</f>
        <v>0</v>
      </c>
      <c r="U82" s="55">
        <f t="shared" ref="U82" si="49">P82-I82</f>
        <v>2.2618010704611446E-4</v>
      </c>
      <c r="V82" s="56">
        <f t="shared" ref="V82" si="50">Q82-J82</f>
        <v>-3.0266343825657849E-4</v>
      </c>
    </row>
    <row r="83" spans="1:22">
      <c r="A83" s="142">
        <v>72</v>
      </c>
      <c r="B83" s="140" t="s">
        <v>124</v>
      </c>
      <c r="C83" s="141" t="s">
        <v>29</v>
      </c>
      <c r="D83" s="27">
        <v>142833284.97</v>
      </c>
      <c r="E83" s="28">
        <f t="shared" si="45"/>
        <v>6.7992970658010976E-4</v>
      </c>
      <c r="F83" s="58">
        <v>133.89500000000001</v>
      </c>
      <c r="G83" s="58">
        <v>133.89500000000001</v>
      </c>
      <c r="H83" s="30">
        <v>258</v>
      </c>
      <c r="I83" s="48">
        <v>2.0985000000000001E-3</v>
      </c>
      <c r="J83" s="48">
        <v>6.9800000000000001E-2</v>
      </c>
      <c r="K83" s="27">
        <v>145833284.97</v>
      </c>
      <c r="L83" s="28">
        <f t="shared" si="39"/>
        <v>6.9700076412025169E-4</v>
      </c>
      <c r="M83" s="58">
        <v>134.2259</v>
      </c>
      <c r="N83" s="58">
        <v>134.2259</v>
      </c>
      <c r="O83" s="30">
        <v>259</v>
      </c>
      <c r="P83" s="48">
        <v>3.0850000000000001E-3</v>
      </c>
      <c r="Q83" s="48">
        <v>8.4699999999999998E-2</v>
      </c>
      <c r="R83" s="54">
        <f t="shared" si="40"/>
        <v>2.1003507695213378E-2</v>
      </c>
      <c r="S83" s="54">
        <f t="shared" si="41"/>
        <v>2.4713394824301543E-3</v>
      </c>
      <c r="T83" s="54">
        <f t="shared" si="42"/>
        <v>3.875968992248062E-3</v>
      </c>
      <c r="U83" s="55">
        <f t="shared" si="43"/>
        <v>9.8649999999999996E-4</v>
      </c>
      <c r="V83" s="56">
        <f t="shared" si="44"/>
        <v>1.4899999999999997E-2</v>
      </c>
    </row>
    <row r="84" spans="1:22">
      <c r="A84" s="142">
        <v>73</v>
      </c>
      <c r="B84" s="140" t="s">
        <v>125</v>
      </c>
      <c r="C84" s="141" t="s">
        <v>96</v>
      </c>
      <c r="D84" s="27">
        <v>1945094367.73</v>
      </c>
      <c r="E84" s="28">
        <f t="shared" si="45"/>
        <v>9.2592384401091118E-3</v>
      </c>
      <c r="F84" s="33">
        <v>1000</v>
      </c>
      <c r="G84" s="33">
        <v>1000</v>
      </c>
      <c r="H84" s="30">
        <v>365</v>
      </c>
      <c r="I84" s="48">
        <v>1.8200000000000001E-2</v>
      </c>
      <c r="J84" s="48">
        <v>0.20619999999999999</v>
      </c>
      <c r="K84" s="27">
        <v>2000316438.4401965</v>
      </c>
      <c r="L84" s="28">
        <f t="shared" si="39"/>
        <v>9.5603831893516546E-3</v>
      </c>
      <c r="M84" s="33">
        <v>1000</v>
      </c>
      <c r="N84" s="33">
        <v>1000</v>
      </c>
      <c r="O84" s="30">
        <v>367</v>
      </c>
      <c r="P84" s="48">
        <v>1.9099999999999999E-2</v>
      </c>
      <c r="Q84" s="48">
        <v>0.20730000000000001</v>
      </c>
      <c r="R84" s="54">
        <f t="shared" si="40"/>
        <v>2.8390432683552919E-2</v>
      </c>
      <c r="S84" s="54">
        <f t="shared" si="41"/>
        <v>0</v>
      </c>
      <c r="T84" s="54">
        <f t="shared" si="42"/>
        <v>5.4794520547945206E-3</v>
      </c>
      <c r="U84" s="55">
        <f t="shared" si="43"/>
        <v>8.9999999999999802E-4</v>
      </c>
      <c r="V84" s="56">
        <f t="shared" si="44"/>
        <v>1.1000000000000176E-3</v>
      </c>
    </row>
    <row r="85" spans="1:22">
      <c r="A85" s="142">
        <v>74</v>
      </c>
      <c r="B85" s="140" t="s">
        <v>126</v>
      </c>
      <c r="C85" s="141" t="s">
        <v>70</v>
      </c>
      <c r="D85" s="27">
        <v>156793108.86000001</v>
      </c>
      <c r="E85" s="28">
        <f t="shared" si="45"/>
        <v>7.4638269730584509E-4</v>
      </c>
      <c r="F85" s="33">
        <v>1070.1400000000001</v>
      </c>
      <c r="G85" s="33">
        <v>1086.5899999999999</v>
      </c>
      <c r="H85" s="30">
        <v>71</v>
      </c>
      <c r="I85" s="48">
        <v>7.1999999999999998E-3</v>
      </c>
      <c r="J85" s="48">
        <v>6.6799999999999998E-2</v>
      </c>
      <c r="K85" s="27">
        <v>157268684.78999999</v>
      </c>
      <c r="L85" s="28">
        <f t="shared" si="39"/>
        <v>7.5165551878891477E-4</v>
      </c>
      <c r="M85" s="33">
        <v>1072.5</v>
      </c>
      <c r="N85" s="33">
        <v>1089.58</v>
      </c>
      <c r="O85" s="30">
        <v>71</v>
      </c>
      <c r="P85" s="48">
        <v>9.7999999999999997E-3</v>
      </c>
      <c r="Q85" s="48">
        <v>6.9500000000000006E-2</v>
      </c>
      <c r="R85" s="54">
        <f t="shared" si="40"/>
        <v>3.0331430600347197E-3</v>
      </c>
      <c r="S85" s="54">
        <f t="shared" si="41"/>
        <v>2.7517278826420357E-3</v>
      </c>
      <c r="T85" s="54">
        <f t="shared" si="42"/>
        <v>0</v>
      </c>
      <c r="U85" s="55">
        <f t="shared" si="43"/>
        <v>2.5999999999999999E-3</v>
      </c>
      <c r="V85" s="56">
        <f t="shared" si="44"/>
        <v>2.7000000000000079E-3</v>
      </c>
    </row>
    <row r="86" spans="1:22">
      <c r="A86" s="142">
        <v>75</v>
      </c>
      <c r="B86" s="140" t="s">
        <v>127</v>
      </c>
      <c r="C86" s="141" t="s">
        <v>73</v>
      </c>
      <c r="D86" s="27">
        <v>672220106.02999997</v>
      </c>
      <c r="E86" s="28">
        <f t="shared" si="45"/>
        <v>3.1999713480385704E-3</v>
      </c>
      <c r="F86" s="59">
        <v>1.2072000000000001</v>
      </c>
      <c r="G86" s="59">
        <v>1.2072000000000001</v>
      </c>
      <c r="H86" s="30">
        <v>50</v>
      </c>
      <c r="I86" s="48">
        <v>1.5E-3</v>
      </c>
      <c r="J86" s="48">
        <v>0.11995</v>
      </c>
      <c r="K86" s="27">
        <v>689640973.54999995</v>
      </c>
      <c r="L86" s="28">
        <f t="shared" si="39"/>
        <v>3.2960944796098304E-3</v>
      </c>
      <c r="M86" s="59">
        <v>1.2098</v>
      </c>
      <c r="N86" s="59">
        <v>1.2098</v>
      </c>
      <c r="O86" s="30">
        <v>51</v>
      </c>
      <c r="P86" s="48">
        <v>1.5E-3</v>
      </c>
      <c r="Q86" s="48">
        <v>0.11992999999999999</v>
      </c>
      <c r="R86" s="54">
        <f t="shared" si="40"/>
        <v>2.5915421695557734E-2</v>
      </c>
      <c r="S86" s="54">
        <f t="shared" si="41"/>
        <v>2.153744201457866E-3</v>
      </c>
      <c r="T86" s="54">
        <f t="shared" si="42"/>
        <v>0.02</v>
      </c>
      <c r="U86" s="55">
        <f t="shared" si="43"/>
        <v>0</v>
      </c>
      <c r="V86" s="56">
        <f t="shared" si="44"/>
        <v>-2.0000000000006124E-5</v>
      </c>
    </row>
    <row r="87" spans="1:22">
      <c r="A87" s="142">
        <v>76</v>
      </c>
      <c r="B87" s="140" t="s">
        <v>128</v>
      </c>
      <c r="C87" s="141" t="s">
        <v>31</v>
      </c>
      <c r="D87" s="27">
        <v>12075370846.51</v>
      </c>
      <c r="E87" s="28">
        <f t="shared" si="45"/>
        <v>5.7482423359779405E-2</v>
      </c>
      <c r="F87" s="59">
        <v>1720.62</v>
      </c>
      <c r="G87" s="59">
        <v>1720.62</v>
      </c>
      <c r="H87" s="30">
        <v>2083</v>
      </c>
      <c r="I87" s="48">
        <v>8.0000000000000004E-4</v>
      </c>
      <c r="J87" s="48">
        <v>1.6299999999999999E-2</v>
      </c>
      <c r="K87" s="27">
        <v>12003294026.690001</v>
      </c>
      <c r="L87" s="28">
        <f t="shared" si="39"/>
        <v>5.7368968341377294E-2</v>
      </c>
      <c r="M87" s="59">
        <v>1721.98</v>
      </c>
      <c r="N87" s="59">
        <v>1721.98</v>
      </c>
      <c r="O87" s="30">
        <v>2077</v>
      </c>
      <c r="P87" s="48">
        <v>8.0000000000000004E-4</v>
      </c>
      <c r="Q87" s="48">
        <v>1.7100000000000001E-2</v>
      </c>
      <c r="R87" s="54">
        <f t="shared" si="40"/>
        <v>-5.9689114923398975E-3</v>
      </c>
      <c r="S87" s="54">
        <f t="shared" si="41"/>
        <v>7.9041275819188861E-4</v>
      </c>
      <c r="T87" s="54">
        <f t="shared" si="42"/>
        <v>-2.8804608737397984E-3</v>
      </c>
      <c r="U87" s="55">
        <f t="shared" si="43"/>
        <v>0</v>
      </c>
      <c r="V87" s="56">
        <f t="shared" si="44"/>
        <v>8.000000000000021E-4</v>
      </c>
    </row>
    <row r="88" spans="1:22">
      <c r="A88" s="142">
        <v>77</v>
      </c>
      <c r="B88" s="140" t="s">
        <v>129</v>
      </c>
      <c r="C88" s="141" t="s">
        <v>78</v>
      </c>
      <c r="D88" s="27">
        <v>23636899.170000002</v>
      </c>
      <c r="E88" s="28">
        <f t="shared" si="45"/>
        <v>1.12518800645783E-4</v>
      </c>
      <c r="F88" s="58">
        <v>0.7218</v>
      </c>
      <c r="G88" s="58">
        <v>0.7218</v>
      </c>
      <c r="H88" s="30">
        <v>746</v>
      </c>
      <c r="I88" s="48">
        <v>2.2000000000000001E-3</v>
      </c>
      <c r="J88" s="48">
        <v>7.1000000000000004E-3</v>
      </c>
      <c r="K88" s="27">
        <v>23715508.23</v>
      </c>
      <c r="L88" s="28">
        <f t="shared" si="39"/>
        <v>1.1334673947179151E-4</v>
      </c>
      <c r="M88" s="58">
        <v>0.72330000000000005</v>
      </c>
      <c r="N88" s="58">
        <v>0.72330000000000005</v>
      </c>
      <c r="O88" s="30">
        <v>746</v>
      </c>
      <c r="P88" s="48">
        <v>2.3999999999999998E-3</v>
      </c>
      <c r="Q88" s="48">
        <v>9.1999999999999998E-3</v>
      </c>
      <c r="R88" s="54">
        <f t="shared" si="40"/>
        <v>3.3256925722207008E-3</v>
      </c>
      <c r="S88" s="54">
        <f t="shared" si="41"/>
        <v>2.0781379883625059E-3</v>
      </c>
      <c r="T88" s="54">
        <f t="shared" si="42"/>
        <v>0</v>
      </c>
      <c r="U88" s="55">
        <f t="shared" si="43"/>
        <v>1.9999999999999966E-4</v>
      </c>
      <c r="V88" s="56">
        <f t="shared" si="44"/>
        <v>2.0999999999999994E-3</v>
      </c>
    </row>
    <row r="89" spans="1:22">
      <c r="A89" s="142">
        <v>78</v>
      </c>
      <c r="B89" s="140" t="s">
        <v>130</v>
      </c>
      <c r="C89" s="141" t="s">
        <v>37</v>
      </c>
      <c r="D89" s="27">
        <v>10507819645.49</v>
      </c>
      <c r="E89" s="28">
        <f t="shared" si="45"/>
        <v>5.0020404766685449E-2</v>
      </c>
      <c r="F89" s="58">
        <v>1</v>
      </c>
      <c r="G89" s="58">
        <v>1</v>
      </c>
      <c r="H89" s="30">
        <v>4303</v>
      </c>
      <c r="I89" s="48">
        <v>0.06</v>
      </c>
      <c r="J89" s="48">
        <v>0.06</v>
      </c>
      <c r="K89" s="27">
        <v>10544908399.629999</v>
      </c>
      <c r="L89" s="28">
        <f t="shared" si="39"/>
        <v>5.0398708454192274E-2</v>
      </c>
      <c r="M89" s="58">
        <v>1</v>
      </c>
      <c r="N89" s="58">
        <v>1</v>
      </c>
      <c r="O89" s="30">
        <v>4309</v>
      </c>
      <c r="P89" s="48">
        <v>0.06</v>
      </c>
      <c r="Q89" s="48">
        <v>0.06</v>
      </c>
      <c r="R89" s="54">
        <f t="shared" si="40"/>
        <v>3.5296336815143223E-3</v>
      </c>
      <c r="S89" s="54">
        <f t="shared" si="41"/>
        <v>0</v>
      </c>
      <c r="T89" s="54">
        <f t="shared" si="42"/>
        <v>1.3943760167325122E-3</v>
      </c>
      <c r="U89" s="55">
        <f t="shared" si="43"/>
        <v>0</v>
      </c>
      <c r="V89" s="56">
        <f t="shared" si="44"/>
        <v>0</v>
      </c>
    </row>
    <row r="90" spans="1:22">
      <c r="A90" s="142">
        <v>79</v>
      </c>
      <c r="B90" s="140" t="s">
        <v>131</v>
      </c>
      <c r="C90" s="141" t="s">
        <v>132</v>
      </c>
      <c r="D90" s="27">
        <v>1547743915.9000001</v>
      </c>
      <c r="E90" s="28">
        <f t="shared" si="45"/>
        <v>7.3677299154750178E-3</v>
      </c>
      <c r="F90" s="27">
        <v>255.05</v>
      </c>
      <c r="G90" s="27">
        <v>257.05</v>
      </c>
      <c r="H90" s="30">
        <v>531</v>
      </c>
      <c r="I90" s="48">
        <v>3.0000000000000001E-3</v>
      </c>
      <c r="J90" s="48">
        <v>0.18729999999999999</v>
      </c>
      <c r="K90" s="27">
        <v>1553929462.29</v>
      </c>
      <c r="L90" s="28">
        <f t="shared" si="39"/>
        <v>7.4269054751657619E-3</v>
      </c>
      <c r="M90" s="27">
        <v>255.81</v>
      </c>
      <c r="N90" s="27">
        <v>257.07</v>
      </c>
      <c r="O90" s="30">
        <v>531</v>
      </c>
      <c r="P90" s="48">
        <v>3.0000000000000001E-3</v>
      </c>
      <c r="Q90" s="48">
        <v>0.18729999999999999</v>
      </c>
      <c r="R90" s="54">
        <f t="shared" si="40"/>
        <v>3.9964921370102902E-3</v>
      </c>
      <c r="S90" s="54">
        <f t="shared" si="41"/>
        <v>7.7805874343442162E-5</v>
      </c>
      <c r="T90" s="54">
        <f t="shared" si="42"/>
        <v>0</v>
      </c>
      <c r="U90" s="55">
        <f t="shared" si="43"/>
        <v>0</v>
      </c>
      <c r="V90" s="56">
        <f t="shared" si="44"/>
        <v>0</v>
      </c>
    </row>
    <row r="91" spans="1:22">
      <c r="A91" s="142">
        <v>80</v>
      </c>
      <c r="B91" s="140" t="s">
        <v>133</v>
      </c>
      <c r="C91" s="141" t="s">
        <v>41</v>
      </c>
      <c r="D91" s="27">
        <v>1140538442.1099999</v>
      </c>
      <c r="E91" s="28">
        <f t="shared" si="45"/>
        <v>5.4293085008166484E-3</v>
      </c>
      <c r="F91" s="58">
        <v>3.8</v>
      </c>
      <c r="G91" s="58">
        <v>3.8</v>
      </c>
      <c r="H91" s="44">
        <v>770</v>
      </c>
      <c r="I91" s="51">
        <v>1.8E-3</v>
      </c>
      <c r="J91" s="51">
        <v>0.10589999999999999</v>
      </c>
      <c r="K91" s="27">
        <v>1142622151</v>
      </c>
      <c r="L91" s="28">
        <f t="shared" si="39"/>
        <v>5.461088752897243E-3</v>
      </c>
      <c r="M91" s="58">
        <v>3.81</v>
      </c>
      <c r="N91" s="58">
        <v>3.81</v>
      </c>
      <c r="O91" s="44">
        <v>770</v>
      </c>
      <c r="P91" s="51">
        <v>1.8E-3</v>
      </c>
      <c r="Q91" s="51">
        <v>0.1056</v>
      </c>
      <c r="R91" s="54">
        <f t="shared" si="40"/>
        <v>1.8269519141724294E-3</v>
      </c>
      <c r="S91" s="54">
        <f t="shared" si="41"/>
        <v>2.6315789473684821E-3</v>
      </c>
      <c r="T91" s="54">
        <f t="shared" si="42"/>
        <v>0</v>
      </c>
      <c r="U91" s="55">
        <f t="shared" si="43"/>
        <v>0</v>
      </c>
      <c r="V91" s="56">
        <f t="shared" si="44"/>
        <v>-2.9999999999999472E-4</v>
      </c>
    </row>
    <row r="92" spans="1:22">
      <c r="A92" s="142">
        <v>81</v>
      </c>
      <c r="B92" s="140" t="s">
        <v>134</v>
      </c>
      <c r="C92" s="141" t="s">
        <v>43</v>
      </c>
      <c r="D92" s="27">
        <v>597415465.68999994</v>
      </c>
      <c r="E92" s="28">
        <f t="shared" si="45"/>
        <v>2.8438785985937217E-3</v>
      </c>
      <c r="F92" s="58">
        <v>111.72989</v>
      </c>
      <c r="G92" s="58">
        <v>111.72989</v>
      </c>
      <c r="H92" s="44">
        <v>56</v>
      </c>
      <c r="I92" s="51">
        <v>0.14979999999999999</v>
      </c>
      <c r="J92" s="51">
        <v>0.1731</v>
      </c>
      <c r="K92" s="27">
        <v>599050851.67999995</v>
      </c>
      <c r="L92" s="28">
        <f t="shared" si="39"/>
        <v>2.8631248446041742E-3</v>
      </c>
      <c r="M92" s="58">
        <v>112.04</v>
      </c>
      <c r="N92" s="58">
        <v>112.04</v>
      </c>
      <c r="O92" s="44">
        <v>56</v>
      </c>
      <c r="P92" s="51">
        <v>0.1474</v>
      </c>
      <c r="Q92" s="51">
        <v>0.17080000000000001</v>
      </c>
      <c r="R92" s="54">
        <f t="shared" si="40"/>
        <v>2.737434974354371E-3</v>
      </c>
      <c r="S92" s="54">
        <f t="shared" si="41"/>
        <v>2.7755330288073208E-3</v>
      </c>
      <c r="T92" s="54">
        <f t="shared" si="42"/>
        <v>0</v>
      </c>
      <c r="U92" s="55">
        <f t="shared" si="43"/>
        <v>-2.3999999999999855E-3</v>
      </c>
      <c r="V92" s="56">
        <f t="shared" si="44"/>
        <v>-2.2999999999999965E-3</v>
      </c>
    </row>
    <row r="93" spans="1:22">
      <c r="A93" s="142">
        <v>82</v>
      </c>
      <c r="B93" s="141" t="s">
        <v>135</v>
      </c>
      <c r="C93" s="155" t="s">
        <v>47</v>
      </c>
      <c r="D93" s="27">
        <v>940304270.67999995</v>
      </c>
      <c r="E93" s="28">
        <f t="shared" si="45"/>
        <v>4.4761331855789812E-3</v>
      </c>
      <c r="F93" s="58">
        <v>105.3</v>
      </c>
      <c r="G93" s="58">
        <v>105.3</v>
      </c>
      <c r="H93" s="30">
        <v>289</v>
      </c>
      <c r="I93" s="48">
        <v>2.0000000000000001E-4</v>
      </c>
      <c r="J93" s="48">
        <v>0.08</v>
      </c>
      <c r="K93" s="27">
        <v>943204209.36000001</v>
      </c>
      <c r="L93" s="28">
        <f t="shared" si="39"/>
        <v>4.507983583998656E-3</v>
      </c>
      <c r="M93" s="58">
        <v>105.52</v>
      </c>
      <c r="N93" s="58">
        <v>105.52</v>
      </c>
      <c r="O93" s="30">
        <v>289</v>
      </c>
      <c r="P93" s="48">
        <v>2.0000000000000001E-4</v>
      </c>
      <c r="Q93" s="48">
        <v>8.2199999999999995E-2</v>
      </c>
      <c r="R93" s="54">
        <f t="shared" si="40"/>
        <v>3.0840428682759441E-3</v>
      </c>
      <c r="S93" s="54">
        <f t="shared" si="41"/>
        <v>2.089268755935412E-3</v>
      </c>
      <c r="T93" s="54">
        <f t="shared" si="42"/>
        <v>0</v>
      </c>
      <c r="U93" s="55">
        <f t="shared" si="43"/>
        <v>0</v>
      </c>
      <c r="V93" s="56">
        <f t="shared" si="44"/>
        <v>2.1999999999999936E-3</v>
      </c>
    </row>
    <row r="94" spans="1:22">
      <c r="A94" s="142">
        <v>83</v>
      </c>
      <c r="B94" s="140" t="s">
        <v>136</v>
      </c>
      <c r="C94" s="141" t="s">
        <v>19</v>
      </c>
      <c r="D94" s="27">
        <v>1467760712.0799999</v>
      </c>
      <c r="E94" s="28">
        <f t="shared" si="45"/>
        <v>6.9869856350638221E-3</v>
      </c>
      <c r="F94" s="58">
        <v>364.952</v>
      </c>
      <c r="G94" s="58">
        <v>364.952</v>
      </c>
      <c r="H94" s="30">
        <v>90</v>
      </c>
      <c r="I94" s="48">
        <v>2.5000000000000001E-3</v>
      </c>
      <c r="J94" s="48">
        <v>6.3100000000000003E-2</v>
      </c>
      <c r="K94" s="27">
        <v>1471483768.9200001</v>
      </c>
      <c r="L94" s="28">
        <f t="shared" si="39"/>
        <v>7.0328616100142965E-3</v>
      </c>
      <c r="M94" s="58">
        <v>365.91359999999997</v>
      </c>
      <c r="N94" s="58">
        <v>365.91359999999997</v>
      </c>
      <c r="O94" s="30">
        <v>90</v>
      </c>
      <c r="P94" s="48">
        <v>2.5999999999999999E-3</v>
      </c>
      <c r="Q94" s="48">
        <v>6.5799999999999997E-2</v>
      </c>
      <c r="R94" s="54">
        <f t="shared" si="40"/>
        <v>2.5365557269373404E-3</v>
      </c>
      <c r="S94" s="54">
        <f t="shared" si="41"/>
        <v>2.6348670510093816E-3</v>
      </c>
      <c r="T94" s="54">
        <f t="shared" si="42"/>
        <v>0</v>
      </c>
      <c r="U94" s="55">
        <f t="shared" si="43"/>
        <v>9.9999999999999829E-5</v>
      </c>
      <c r="V94" s="56">
        <f t="shared" si="44"/>
        <v>2.6999999999999941E-3</v>
      </c>
    </row>
    <row r="95" spans="1:22">
      <c r="A95" s="142">
        <v>84</v>
      </c>
      <c r="B95" s="140" t="s">
        <v>137</v>
      </c>
      <c r="C95" s="141" t="s">
        <v>87</v>
      </c>
      <c r="D95" s="42">
        <v>1529631846</v>
      </c>
      <c r="E95" s="28">
        <f>(D95/$K$69)</f>
        <v>4.8652843718983036E-4</v>
      </c>
      <c r="F95" s="58">
        <v>104.65</v>
      </c>
      <c r="G95" s="58">
        <v>104.65</v>
      </c>
      <c r="H95" s="30">
        <v>396</v>
      </c>
      <c r="I95" s="48">
        <v>2.5999999999999999E-3</v>
      </c>
      <c r="J95" s="48">
        <v>0.1449</v>
      </c>
      <c r="K95" s="42">
        <v>1533715020</v>
      </c>
      <c r="L95" s="28">
        <f>(K95/$K$69)</f>
        <v>4.878271681689147E-4</v>
      </c>
      <c r="M95" s="58">
        <v>104.94</v>
      </c>
      <c r="N95" s="58">
        <v>104.94</v>
      </c>
      <c r="O95" s="30">
        <v>397</v>
      </c>
      <c r="P95" s="48">
        <v>2.8E-3</v>
      </c>
      <c r="Q95" s="48">
        <v>0.1452</v>
      </c>
      <c r="R95" s="54">
        <f t="shared" si="40"/>
        <v>2.6693834929480149E-3</v>
      </c>
      <c r="S95" s="54">
        <f t="shared" si="41"/>
        <v>2.771141901576608E-3</v>
      </c>
      <c r="T95" s="54">
        <f t="shared" si="42"/>
        <v>2.5252525252525255E-3</v>
      </c>
      <c r="U95" s="55">
        <f t="shared" si="43"/>
        <v>2.0000000000000009E-4</v>
      </c>
      <c r="V95" s="56">
        <f t="shared" si="44"/>
        <v>2.9999999999999472E-4</v>
      </c>
    </row>
    <row r="96" spans="1:22">
      <c r="A96" s="142">
        <v>85</v>
      </c>
      <c r="B96" s="140" t="s">
        <v>138</v>
      </c>
      <c r="C96" s="141" t="s">
        <v>45</v>
      </c>
      <c r="D96" s="27">
        <v>63138990.5</v>
      </c>
      <c r="E96" s="28">
        <f t="shared" ref="E96:E109" si="51">(D96/$D$110)</f>
        <v>3.0056072219753372E-4</v>
      </c>
      <c r="F96" s="27">
        <v>12.699275</v>
      </c>
      <c r="G96" s="27">
        <v>13.157330999999999</v>
      </c>
      <c r="H96" s="30">
        <v>59</v>
      </c>
      <c r="I96" s="48">
        <v>-4.7999999999999996E-3</v>
      </c>
      <c r="J96" s="48">
        <v>3.8899999999999997E-2</v>
      </c>
      <c r="K96" s="27">
        <v>63011870.159999996</v>
      </c>
      <c r="L96" s="28">
        <f t="shared" ref="L96:L109" si="52">(K96/$K$110)</f>
        <v>3.0116116261936306E-4</v>
      </c>
      <c r="M96" s="27">
        <v>12.673707</v>
      </c>
      <c r="N96" s="27">
        <v>13.139276000000001</v>
      </c>
      <c r="O96" s="30">
        <v>59</v>
      </c>
      <c r="P96" s="48">
        <v>-8.0999999999999996E-3</v>
      </c>
      <c r="Q96" s="48">
        <v>3.1699999999999999E-2</v>
      </c>
      <c r="R96" s="54">
        <f t="shared" si="40"/>
        <v>-2.0133413441256014E-3</v>
      </c>
      <c r="S96" s="54">
        <f t="shared" si="41"/>
        <v>-1.3722387921987066E-3</v>
      </c>
      <c r="T96" s="54">
        <f t="shared" si="42"/>
        <v>0</v>
      </c>
      <c r="U96" s="55">
        <f t="shared" si="43"/>
        <v>-3.3E-3</v>
      </c>
      <c r="V96" s="56">
        <f t="shared" si="44"/>
        <v>-7.1999999999999981E-3</v>
      </c>
    </row>
    <row r="97" spans="1:22">
      <c r="A97" s="142">
        <v>86</v>
      </c>
      <c r="B97" s="140" t="s">
        <v>139</v>
      </c>
      <c r="C97" s="141" t="s">
        <v>140</v>
      </c>
      <c r="D97" s="27">
        <v>550698800.32000005</v>
      </c>
      <c r="E97" s="28">
        <f t="shared" si="51"/>
        <v>2.621493119018028E-3</v>
      </c>
      <c r="F97" s="27">
        <v>142.58000000000001</v>
      </c>
      <c r="G97" s="27">
        <v>142.58000000000001</v>
      </c>
      <c r="H97" s="30">
        <v>137</v>
      </c>
      <c r="I97" s="48">
        <v>0.19350000000000001</v>
      </c>
      <c r="J97" s="48">
        <v>0.19650000000000001</v>
      </c>
      <c r="K97" s="27">
        <v>552803262.70000005</v>
      </c>
      <c r="L97" s="28">
        <f t="shared" si="52"/>
        <v>2.6420874808472626E-3</v>
      </c>
      <c r="M97" s="27">
        <v>143.06</v>
      </c>
      <c r="N97" s="27">
        <v>143.06</v>
      </c>
      <c r="O97" s="30">
        <v>142</v>
      </c>
      <c r="P97" s="48">
        <v>0.19209999999999999</v>
      </c>
      <c r="Q97" s="48">
        <v>0.1963</v>
      </c>
      <c r="R97" s="54">
        <f t="shared" si="40"/>
        <v>3.821439921018775E-3</v>
      </c>
      <c r="S97" s="54">
        <f t="shared" si="41"/>
        <v>3.3665310702762638E-3</v>
      </c>
      <c r="T97" s="54">
        <f t="shared" si="42"/>
        <v>3.6496350364963501E-2</v>
      </c>
      <c r="U97" s="55">
        <f t="shared" si="43"/>
        <v>-1.4000000000000123E-3</v>
      </c>
      <c r="V97" s="56">
        <f t="shared" si="44"/>
        <v>-2.0000000000000573E-4</v>
      </c>
    </row>
    <row r="98" spans="1:22">
      <c r="A98" s="142">
        <v>87</v>
      </c>
      <c r="B98" s="140" t="s">
        <v>141</v>
      </c>
      <c r="C98" s="141" t="s">
        <v>142</v>
      </c>
      <c r="D98" s="27">
        <v>9166874183.454319</v>
      </c>
      <c r="E98" s="28">
        <f t="shared" si="51"/>
        <v>4.3637098139428718E-2</v>
      </c>
      <c r="F98" s="27">
        <v>1.0795491935571446</v>
      </c>
      <c r="G98" s="27">
        <v>1.0795491935571446</v>
      </c>
      <c r="H98" s="30">
        <v>4730</v>
      </c>
      <c r="I98" s="48">
        <v>0.19040000000000001</v>
      </c>
      <c r="J98" s="48">
        <v>0.19040000000000001</v>
      </c>
      <c r="K98" s="27">
        <v>9270346372.1267128</v>
      </c>
      <c r="L98" s="28">
        <f t="shared" si="52"/>
        <v>4.430702158537355E-2</v>
      </c>
      <c r="M98" s="27">
        <v>1.0832608601961431</v>
      </c>
      <c r="N98" s="27">
        <v>1.0832608601961431</v>
      </c>
      <c r="O98" s="30">
        <v>4747</v>
      </c>
      <c r="P98" s="48">
        <v>0.19020000000000001</v>
      </c>
      <c r="Q98" s="48">
        <v>0.19020000000000001</v>
      </c>
      <c r="R98" s="54">
        <f t="shared" si="40"/>
        <v>1.1287619596563806E-2</v>
      </c>
      <c r="S98" s="54">
        <f t="shared" si="41"/>
        <v>3.4381635048685672E-3</v>
      </c>
      <c r="T98" s="54">
        <f t="shared" si="42"/>
        <v>3.5940803382663849E-3</v>
      </c>
      <c r="U98" s="55">
        <f t="shared" si="43"/>
        <v>-2.0000000000000573E-4</v>
      </c>
      <c r="V98" s="56">
        <f t="shared" si="44"/>
        <v>-2.0000000000000573E-4</v>
      </c>
    </row>
    <row r="99" spans="1:22" ht="14.25" customHeight="1">
      <c r="A99" s="142">
        <v>88</v>
      </c>
      <c r="B99" s="140" t="s">
        <v>143</v>
      </c>
      <c r="C99" s="141" t="s">
        <v>49</v>
      </c>
      <c r="D99" s="27">
        <v>7828819909.9499998</v>
      </c>
      <c r="E99" s="28">
        <f t="shared" si="51"/>
        <v>3.7267554445442122E-2</v>
      </c>
      <c r="F99" s="27">
        <v>5173.72</v>
      </c>
      <c r="G99" s="27">
        <v>5173.72</v>
      </c>
      <c r="H99" s="30">
        <v>239</v>
      </c>
      <c r="I99" s="48">
        <v>0</v>
      </c>
      <c r="J99" s="48">
        <v>1.1999999999999999E-3</v>
      </c>
      <c r="K99" s="27">
        <v>4804333958.5</v>
      </c>
      <c r="L99" s="28">
        <f t="shared" si="52"/>
        <v>2.2962003776107996E-2</v>
      </c>
      <c r="M99" s="27">
        <v>5173.72</v>
      </c>
      <c r="N99" s="27">
        <v>5173.72</v>
      </c>
      <c r="O99" s="30">
        <v>238</v>
      </c>
      <c r="P99" s="48">
        <v>0</v>
      </c>
      <c r="Q99" s="48">
        <v>1.1999999999999999E-3</v>
      </c>
      <c r="R99" s="54">
        <f t="shared" si="40"/>
        <v>-0.38632718420384715</v>
      </c>
      <c r="S99" s="54">
        <f t="shared" si="41"/>
        <v>0</v>
      </c>
      <c r="T99" s="54">
        <f t="shared" si="42"/>
        <v>-4.1841004184100415E-3</v>
      </c>
      <c r="U99" s="55">
        <f t="shared" si="43"/>
        <v>0</v>
      </c>
      <c r="V99" s="56">
        <f t="shared" si="44"/>
        <v>0</v>
      </c>
    </row>
    <row r="100" spans="1:22" ht="13.5" customHeight="1">
      <c r="A100" s="142">
        <v>89</v>
      </c>
      <c r="B100" s="140" t="s">
        <v>144</v>
      </c>
      <c r="C100" s="141" t="s">
        <v>49</v>
      </c>
      <c r="D100" s="27">
        <v>17662691409.349998</v>
      </c>
      <c r="E100" s="28">
        <f t="shared" si="51"/>
        <v>8.4079761869908426E-2</v>
      </c>
      <c r="F100" s="58">
        <v>259.11</v>
      </c>
      <c r="G100" s="58">
        <v>259.11</v>
      </c>
      <c r="H100" s="30">
        <v>6190</v>
      </c>
      <c r="I100" s="48">
        <v>0</v>
      </c>
      <c r="J100" s="48">
        <v>1E-3</v>
      </c>
      <c r="K100" s="27">
        <v>17299335207.119999</v>
      </c>
      <c r="L100" s="28">
        <f t="shared" si="52"/>
        <v>8.2681055018512709E-2</v>
      </c>
      <c r="M100" s="58">
        <v>259.11</v>
      </c>
      <c r="N100" s="58">
        <v>259.11</v>
      </c>
      <c r="O100" s="30">
        <v>6182</v>
      </c>
      <c r="P100" s="48">
        <v>0</v>
      </c>
      <c r="Q100" s="48">
        <v>1E-3</v>
      </c>
      <c r="R100" s="54">
        <f t="shared" si="40"/>
        <v>-2.0571961192598978E-2</v>
      </c>
      <c r="S100" s="54">
        <f t="shared" si="41"/>
        <v>0</v>
      </c>
      <c r="T100" s="54">
        <f t="shared" si="42"/>
        <v>-1.2924071082390954E-3</v>
      </c>
      <c r="U100" s="55">
        <f t="shared" si="43"/>
        <v>0</v>
      </c>
      <c r="V100" s="56">
        <f t="shared" si="44"/>
        <v>0</v>
      </c>
    </row>
    <row r="101" spans="1:22" ht="13.5" customHeight="1">
      <c r="A101" s="142">
        <v>90</v>
      </c>
      <c r="B101" s="140" t="s">
        <v>145</v>
      </c>
      <c r="C101" s="141" t="s">
        <v>49</v>
      </c>
      <c r="D101" s="27">
        <v>483464384.95999998</v>
      </c>
      <c r="E101" s="28">
        <f t="shared" si="51"/>
        <v>2.3014369338129354E-3</v>
      </c>
      <c r="F101" s="33">
        <v>7983.84</v>
      </c>
      <c r="G101" s="33">
        <v>8020.36</v>
      </c>
      <c r="H101" s="30">
        <v>15</v>
      </c>
      <c r="I101" s="48">
        <v>1.37E-2</v>
      </c>
      <c r="J101" s="48">
        <v>0.17549999999999999</v>
      </c>
      <c r="K101" s="27">
        <v>491839142.91000003</v>
      </c>
      <c r="L101" s="28">
        <f t="shared" si="52"/>
        <v>2.350713408828726E-3</v>
      </c>
      <c r="M101" s="33">
        <v>8121.3</v>
      </c>
      <c r="N101" s="33">
        <v>8159.87</v>
      </c>
      <c r="O101" s="30">
        <v>15</v>
      </c>
      <c r="P101" s="48">
        <v>1.7399999999999999E-2</v>
      </c>
      <c r="Q101" s="48">
        <v>0.19589999999999999</v>
      </c>
      <c r="R101" s="54">
        <f t="shared" si="40"/>
        <v>1.7322388598889127E-2</v>
      </c>
      <c r="S101" s="54">
        <f t="shared" si="41"/>
        <v>1.7394481045738625E-2</v>
      </c>
      <c r="T101" s="54">
        <f t="shared" si="42"/>
        <v>0</v>
      </c>
      <c r="U101" s="55">
        <f t="shared" si="43"/>
        <v>3.6999999999999984E-3</v>
      </c>
      <c r="V101" s="56">
        <f t="shared" si="44"/>
        <v>2.0400000000000001E-2</v>
      </c>
    </row>
    <row r="102" spans="1:22" ht="15" customHeight="1">
      <c r="A102" s="142">
        <v>91</v>
      </c>
      <c r="B102" s="140" t="s">
        <v>146</v>
      </c>
      <c r="C102" s="141" t="s">
        <v>49</v>
      </c>
      <c r="D102" s="27">
        <v>6145578599.54</v>
      </c>
      <c r="E102" s="28">
        <f t="shared" si="51"/>
        <v>2.9254815884321914E-2</v>
      </c>
      <c r="F102" s="58">
        <v>148.76</v>
      </c>
      <c r="G102" s="58">
        <v>148.76</v>
      </c>
      <c r="H102" s="30">
        <v>4662</v>
      </c>
      <c r="I102" s="48">
        <v>3.0000000000000001E-3</v>
      </c>
      <c r="J102" s="48">
        <v>7.8899999999999998E-2</v>
      </c>
      <c r="K102" s="27">
        <v>6104500835.21</v>
      </c>
      <c r="L102" s="28">
        <f t="shared" si="52"/>
        <v>2.9176067367537986E-2</v>
      </c>
      <c r="M102" s="58">
        <v>149.19999999999999</v>
      </c>
      <c r="N102" s="58">
        <v>149.19999999999999</v>
      </c>
      <c r="O102" s="30">
        <v>4681</v>
      </c>
      <c r="P102" s="48">
        <v>3.0000000000000001E-3</v>
      </c>
      <c r="Q102" s="48">
        <v>8.2100000000000006E-2</v>
      </c>
      <c r="R102" s="54">
        <f t="shared" si="40"/>
        <v>-6.6841166644707167E-3</v>
      </c>
      <c r="S102" s="54">
        <f t="shared" si="41"/>
        <v>2.9577843506318753E-3</v>
      </c>
      <c r="T102" s="54">
        <f t="shared" si="42"/>
        <v>4.0755040755040758E-3</v>
      </c>
      <c r="U102" s="55">
        <f t="shared" si="43"/>
        <v>0</v>
      </c>
      <c r="V102" s="56">
        <f t="shared" si="44"/>
        <v>3.2000000000000084E-3</v>
      </c>
    </row>
    <row r="103" spans="1:22" ht="15" customHeight="1">
      <c r="A103" s="142">
        <v>92</v>
      </c>
      <c r="B103" s="140" t="s">
        <v>147</v>
      </c>
      <c r="C103" s="141" t="s">
        <v>49</v>
      </c>
      <c r="D103" s="27">
        <v>7460905002.3699999</v>
      </c>
      <c r="E103" s="28">
        <f t="shared" si="51"/>
        <v>3.5516168028684576E-2</v>
      </c>
      <c r="F103" s="58">
        <v>369.9</v>
      </c>
      <c r="G103" s="58">
        <v>370.5</v>
      </c>
      <c r="H103" s="30">
        <v>10272</v>
      </c>
      <c r="I103" s="48">
        <v>8.9999999999999998E-4</v>
      </c>
      <c r="J103" s="48">
        <v>4.5900000000000003E-2</v>
      </c>
      <c r="K103" s="27">
        <v>7452830772.3500004</v>
      </c>
      <c r="L103" s="28">
        <f t="shared" si="52"/>
        <v>3.5620323194773304E-2</v>
      </c>
      <c r="M103" s="58">
        <v>373.23</v>
      </c>
      <c r="N103" s="58">
        <v>373.89</v>
      </c>
      <c r="O103" s="30">
        <v>10295</v>
      </c>
      <c r="P103" s="48">
        <v>9.1000000000000004E-3</v>
      </c>
      <c r="Q103" s="48">
        <v>5.5399999999999998E-2</v>
      </c>
      <c r="R103" s="54">
        <f t="shared" si="40"/>
        <v>-1.0822051771781946E-3</v>
      </c>
      <c r="S103" s="54">
        <f t="shared" si="41"/>
        <v>9.1497975708501652E-3</v>
      </c>
      <c r="T103" s="54">
        <f t="shared" si="42"/>
        <v>2.2390965732087226E-3</v>
      </c>
      <c r="U103" s="55">
        <f t="shared" si="43"/>
        <v>8.2000000000000007E-3</v>
      </c>
      <c r="V103" s="56">
        <f t="shared" si="44"/>
        <v>9.4999999999999946E-3</v>
      </c>
    </row>
    <row r="104" spans="1:22" ht="15" customHeight="1">
      <c r="A104" s="142">
        <v>93</v>
      </c>
      <c r="B104" s="140" t="s">
        <v>316</v>
      </c>
      <c r="C104" s="141" t="s">
        <v>101</v>
      </c>
      <c r="D104" s="27">
        <v>81891610.530000001</v>
      </c>
      <c r="E104" s="28">
        <f t="shared" si="51"/>
        <v>3.8982887448629636E-4</v>
      </c>
      <c r="F104" s="58">
        <v>100.45</v>
      </c>
      <c r="G104" s="58">
        <v>100.45</v>
      </c>
      <c r="H104" s="30">
        <v>20</v>
      </c>
      <c r="I104" s="48">
        <v>0.17522599999999999</v>
      </c>
      <c r="J104" s="48">
        <v>0.1651</v>
      </c>
      <c r="K104" s="27">
        <v>82468176.519999996</v>
      </c>
      <c r="L104" s="28">
        <f t="shared" si="52"/>
        <v>3.9415132191439241E-4</v>
      </c>
      <c r="M104" s="58">
        <v>100.791</v>
      </c>
      <c r="N104" s="58">
        <v>100.791</v>
      </c>
      <c r="O104" s="30">
        <v>21</v>
      </c>
      <c r="P104" s="48">
        <v>0.1764</v>
      </c>
      <c r="Q104" s="48">
        <v>0.16980000000000001</v>
      </c>
      <c r="R104" s="54">
        <f t="shared" ref="R104" si="53">((K104-D104)/D104)</f>
        <v>7.0405989852742809E-3</v>
      </c>
      <c r="S104" s="54">
        <f t="shared" ref="S104" si="54">((N104-G104)/G104)</f>
        <v>3.3947237431557389E-3</v>
      </c>
      <c r="T104" s="54">
        <f t="shared" ref="T104" si="55">((O104-H104)/H104)</f>
        <v>0.05</v>
      </c>
      <c r="U104" s="55">
        <f t="shared" ref="U104" si="56">P104-I104</f>
        <v>1.1740000000000084E-3</v>
      </c>
      <c r="V104" s="56">
        <f t="shared" ref="V104" si="57">Q104-J104</f>
        <v>4.7000000000000097E-3</v>
      </c>
    </row>
    <row r="105" spans="1:22">
      <c r="A105" s="142">
        <v>94</v>
      </c>
      <c r="B105" s="140" t="s">
        <v>148</v>
      </c>
      <c r="C105" s="141" t="s">
        <v>52</v>
      </c>
      <c r="D105" s="27">
        <v>86945789271.979996</v>
      </c>
      <c r="E105" s="28">
        <f t="shared" si="51"/>
        <v>0.41388829641837382</v>
      </c>
      <c r="F105" s="27">
        <v>1.8885000000000001</v>
      </c>
      <c r="G105" s="27">
        <v>1.8885000000000001</v>
      </c>
      <c r="H105" s="30">
        <v>6499</v>
      </c>
      <c r="I105" s="48">
        <v>8.0399999999999999E-2</v>
      </c>
      <c r="J105" s="48">
        <v>8.2100000000000006E-2</v>
      </c>
      <c r="K105" s="27">
        <v>87222107923.550003</v>
      </c>
      <c r="L105" s="28">
        <f t="shared" si="52"/>
        <v>0.41687242993531681</v>
      </c>
      <c r="M105" s="27">
        <v>1.8996</v>
      </c>
      <c r="N105" s="27">
        <v>1.8996</v>
      </c>
      <c r="O105" s="30">
        <v>6506</v>
      </c>
      <c r="P105" s="48">
        <v>0.3574</v>
      </c>
      <c r="Q105" s="48">
        <v>9.0800000000000006E-2</v>
      </c>
      <c r="R105" s="54">
        <f t="shared" si="40"/>
        <v>3.178056739535016E-3</v>
      </c>
      <c r="S105" s="54">
        <f t="shared" si="41"/>
        <v>5.877680698967375E-3</v>
      </c>
      <c r="T105" s="54">
        <f t="shared" si="42"/>
        <v>1.0770887828896753E-3</v>
      </c>
      <c r="U105" s="55">
        <f t="shared" si="43"/>
        <v>0.27700000000000002</v>
      </c>
      <c r="V105" s="56">
        <f t="shared" si="44"/>
        <v>8.6999999999999994E-3</v>
      </c>
    </row>
    <row r="106" spans="1:22">
      <c r="A106" s="142">
        <v>95</v>
      </c>
      <c r="B106" s="140" t="s">
        <v>149</v>
      </c>
      <c r="C106" s="141" t="s">
        <v>52</v>
      </c>
      <c r="D106" s="27">
        <v>30649113600.639999</v>
      </c>
      <c r="E106" s="28">
        <f t="shared" si="51"/>
        <v>0.14589906562605895</v>
      </c>
      <c r="F106" s="27">
        <v>117.8163</v>
      </c>
      <c r="G106" s="27">
        <v>117.8163</v>
      </c>
      <c r="H106" s="30">
        <v>693</v>
      </c>
      <c r="I106" s="48">
        <v>0.20419999999999999</v>
      </c>
      <c r="J106" s="48">
        <v>0.21429999999999999</v>
      </c>
      <c r="K106" s="27">
        <v>32852762649.02</v>
      </c>
      <c r="L106" s="28">
        <f t="shared" si="52"/>
        <v>0.1570176566655461</v>
      </c>
      <c r="M106" s="27">
        <v>118.23739999999999</v>
      </c>
      <c r="N106" s="27">
        <v>118.23739999999999</v>
      </c>
      <c r="O106" s="30">
        <v>710</v>
      </c>
      <c r="P106" s="48">
        <v>0.20449999999999999</v>
      </c>
      <c r="Q106" s="48">
        <v>0.21379999999999999</v>
      </c>
      <c r="R106" s="54">
        <f t="shared" ref="R106:R108" si="58">((K106-D106)/D106)</f>
        <v>7.1899275035934004E-2</v>
      </c>
      <c r="S106" s="54">
        <f t="shared" ref="S106:S108" si="59">((N106-G106)/G106)</f>
        <v>3.5742083226174611E-3</v>
      </c>
      <c r="T106" s="54">
        <f t="shared" ref="T106:T108" si="60">((O106-H106)/H106)</f>
        <v>2.4531024531024532E-2</v>
      </c>
      <c r="U106" s="55">
        <f t="shared" ref="U106:U108" si="61">P106-I106</f>
        <v>2.9999999999999472E-4</v>
      </c>
      <c r="V106" s="56">
        <f t="shared" ref="V106:V108" si="62">Q106-J106</f>
        <v>-5.0000000000000044E-4</v>
      </c>
    </row>
    <row r="107" spans="1:22">
      <c r="A107" s="142">
        <v>96</v>
      </c>
      <c r="B107" s="140" t="s">
        <v>150</v>
      </c>
      <c r="C107" s="140" t="s">
        <v>151</v>
      </c>
      <c r="D107" s="27">
        <v>104972669.76000001</v>
      </c>
      <c r="E107" s="28">
        <f t="shared" si="51"/>
        <v>4.9970170863072026E-4</v>
      </c>
      <c r="F107" s="27">
        <v>116.00767604938275</v>
      </c>
      <c r="G107" s="27">
        <v>116.00767604938275</v>
      </c>
      <c r="H107" s="60">
        <v>73</v>
      </c>
      <c r="I107" s="61">
        <v>-1.9848930271751733E-3</v>
      </c>
      <c r="J107" s="61">
        <v>5.0761806696014267E-2</v>
      </c>
      <c r="K107" s="27">
        <v>105857798.76000001</v>
      </c>
      <c r="L107" s="62">
        <f t="shared" si="52"/>
        <v>5.0594051035047355E-4</v>
      </c>
      <c r="M107" s="27">
        <v>116.70919440723996</v>
      </c>
      <c r="N107" s="27">
        <v>116.70919440723996</v>
      </c>
      <c r="O107" s="60">
        <v>75</v>
      </c>
      <c r="P107" s="61">
        <v>6.0000000000000001E-3</v>
      </c>
      <c r="Q107" s="61">
        <v>5.7099999999999998E-2</v>
      </c>
      <c r="R107" s="54">
        <f t="shared" si="58"/>
        <v>8.4319947470487197E-3</v>
      </c>
      <c r="S107" s="54">
        <f t="shared" si="59"/>
        <v>6.0471718919581207E-3</v>
      </c>
      <c r="T107" s="54">
        <f t="shared" si="60"/>
        <v>2.7397260273972601E-2</v>
      </c>
      <c r="U107" s="55">
        <f t="shared" si="61"/>
        <v>7.9848930271751734E-3</v>
      </c>
      <c r="V107" s="56">
        <f t="shared" si="62"/>
        <v>6.3381933039857313E-3</v>
      </c>
    </row>
    <row r="108" spans="1:22">
      <c r="A108" s="142">
        <v>97</v>
      </c>
      <c r="B108" s="140" t="s">
        <v>152</v>
      </c>
      <c r="C108" s="141" t="s">
        <v>107</v>
      </c>
      <c r="D108" s="27">
        <v>296032913.97000003</v>
      </c>
      <c r="E108" s="28">
        <f t="shared" si="51"/>
        <v>1.4092063511383442E-3</v>
      </c>
      <c r="F108" s="27">
        <v>1.23</v>
      </c>
      <c r="G108" s="27">
        <v>1.23</v>
      </c>
      <c r="H108" s="30">
        <v>511</v>
      </c>
      <c r="I108" s="48">
        <v>4.9480000000000001E-3</v>
      </c>
      <c r="J108" s="48">
        <v>0.14094200000000001</v>
      </c>
      <c r="K108" s="27">
        <v>301947070.45999998</v>
      </c>
      <c r="L108" s="28">
        <f t="shared" si="52"/>
        <v>1.4431365163157749E-3</v>
      </c>
      <c r="M108" s="27">
        <v>1.25</v>
      </c>
      <c r="N108" s="27">
        <v>1.25</v>
      </c>
      <c r="O108" s="30">
        <v>516</v>
      </c>
      <c r="P108" s="48">
        <v>1.8397E-2</v>
      </c>
      <c r="Q108" s="48">
        <v>0.15795699999999999</v>
      </c>
      <c r="R108" s="54">
        <f t="shared" si="58"/>
        <v>1.9978036937471386E-2</v>
      </c>
      <c r="S108" s="54">
        <f t="shared" si="59"/>
        <v>1.6260162601626032E-2</v>
      </c>
      <c r="T108" s="54">
        <f t="shared" si="60"/>
        <v>9.7847358121330719E-3</v>
      </c>
      <c r="U108" s="55">
        <f t="shared" si="61"/>
        <v>1.3448999999999999E-2</v>
      </c>
      <c r="V108" s="56">
        <f t="shared" si="62"/>
        <v>1.7014999999999975E-2</v>
      </c>
    </row>
    <row r="109" spans="1:22">
      <c r="A109" s="142">
        <v>98</v>
      </c>
      <c r="B109" s="140" t="s">
        <v>153</v>
      </c>
      <c r="C109" s="141" t="s">
        <v>109</v>
      </c>
      <c r="D109" s="27">
        <v>1957214075.73</v>
      </c>
      <c r="E109" s="28">
        <f t="shared" si="51"/>
        <v>9.3169319217510666E-3</v>
      </c>
      <c r="F109" s="58">
        <v>28.689800000000002</v>
      </c>
      <c r="G109" s="58">
        <v>28.689800000000002</v>
      </c>
      <c r="H109" s="30">
        <v>1302</v>
      </c>
      <c r="I109" s="48">
        <v>0</v>
      </c>
      <c r="J109" s="48">
        <v>0.11409999999999999</v>
      </c>
      <c r="K109" s="27">
        <v>1959841656.9100001</v>
      </c>
      <c r="L109" s="28">
        <f t="shared" si="52"/>
        <v>9.3669365858554052E-3</v>
      </c>
      <c r="M109" s="58">
        <v>28.7423</v>
      </c>
      <c r="N109" s="58">
        <v>28.7423</v>
      </c>
      <c r="O109" s="30">
        <v>1300</v>
      </c>
      <c r="P109" s="48">
        <v>0</v>
      </c>
      <c r="Q109" s="48">
        <v>0.114</v>
      </c>
      <c r="R109" s="54">
        <f t="shared" si="40"/>
        <v>1.3425108742997538E-3</v>
      </c>
      <c r="S109" s="54">
        <f t="shared" si="41"/>
        <v>1.8299186470452367E-3</v>
      </c>
      <c r="T109" s="54">
        <f t="shared" si="42"/>
        <v>-1.5360983102918587E-3</v>
      </c>
      <c r="U109" s="55">
        <f t="shared" si="43"/>
        <v>0</v>
      </c>
      <c r="V109" s="56">
        <f t="shared" si="44"/>
        <v>-9.9999999999988987E-5</v>
      </c>
    </row>
    <row r="110" spans="1:22">
      <c r="A110" s="34"/>
      <c r="B110" s="35"/>
      <c r="C110" s="36" t="s">
        <v>53</v>
      </c>
      <c r="D110" s="46">
        <f>SUM(D72:D109)</f>
        <v>210070664052.05121</v>
      </c>
      <c r="E110" s="38">
        <f>(D110/$D$222)</f>
        <v>3.6354024080103485E-2</v>
      </c>
      <c r="F110" s="39"/>
      <c r="G110" s="43"/>
      <c r="H110" s="41">
        <f>SUM(H72:H109)</f>
        <v>51387</v>
      </c>
      <c r="I110" s="51"/>
      <c r="J110" s="51"/>
      <c r="K110" s="46">
        <f>SUM(K72:K109)</f>
        <v>209229734710.64914</v>
      </c>
      <c r="L110" s="38">
        <f>(K110/$K$222)</f>
        <v>3.5997934307442997E-2</v>
      </c>
      <c r="M110" s="39"/>
      <c r="N110" s="43"/>
      <c r="O110" s="41">
        <f>SUM(O72:O109)</f>
        <v>51465</v>
      </c>
      <c r="P110" s="51"/>
      <c r="Q110" s="51"/>
      <c r="R110" s="54">
        <f t="shared" si="40"/>
        <v>-4.0030784174305461E-3</v>
      </c>
      <c r="S110" s="54" t="e">
        <f t="shared" si="41"/>
        <v>#DIV/0!</v>
      </c>
      <c r="T110" s="54">
        <f t="shared" si="42"/>
        <v>1.5178936306848036E-3</v>
      </c>
      <c r="U110" s="55">
        <f t="shared" si="43"/>
        <v>0</v>
      </c>
      <c r="V110" s="56">
        <f t="shared" si="44"/>
        <v>0</v>
      </c>
    </row>
    <row r="111" spans="1:22" ht="3.75" customHeight="1">
      <c r="A111" s="34"/>
      <c r="B111" s="162"/>
      <c r="C111" s="162"/>
      <c r="D111" s="162"/>
      <c r="E111" s="162"/>
      <c r="F111" s="162"/>
      <c r="G111" s="162"/>
      <c r="H111" s="162"/>
      <c r="I111" s="162"/>
      <c r="J111" s="162"/>
      <c r="K111" s="162"/>
      <c r="L111" s="162"/>
      <c r="M111" s="162"/>
      <c r="N111" s="162"/>
      <c r="O111" s="162"/>
      <c r="P111" s="162"/>
      <c r="Q111" s="162"/>
      <c r="R111" s="162"/>
      <c r="S111" s="162"/>
      <c r="T111" s="162"/>
      <c r="U111" s="162"/>
      <c r="V111" s="162"/>
    </row>
    <row r="112" spans="1:22" ht="15" customHeight="1">
      <c r="A112" s="161" t="s">
        <v>154</v>
      </c>
      <c r="B112" s="161"/>
      <c r="C112" s="161"/>
      <c r="D112" s="161"/>
      <c r="E112" s="161"/>
      <c r="F112" s="161"/>
      <c r="G112" s="161"/>
      <c r="H112" s="161"/>
      <c r="I112" s="161"/>
      <c r="J112" s="161"/>
      <c r="K112" s="161"/>
      <c r="L112" s="161"/>
      <c r="M112" s="161"/>
      <c r="N112" s="161"/>
      <c r="O112" s="161"/>
      <c r="P112" s="161"/>
      <c r="Q112" s="161"/>
      <c r="R112" s="161"/>
      <c r="S112" s="161"/>
      <c r="T112" s="161"/>
      <c r="U112" s="161"/>
      <c r="V112" s="161"/>
    </row>
    <row r="113" spans="1:28">
      <c r="A113" s="163" t="s">
        <v>155</v>
      </c>
      <c r="B113" s="163"/>
      <c r="C113" s="163"/>
      <c r="D113" s="163"/>
      <c r="E113" s="163"/>
      <c r="F113" s="163"/>
      <c r="G113" s="163"/>
      <c r="H113" s="163"/>
      <c r="I113" s="163"/>
      <c r="J113" s="163"/>
      <c r="K113" s="163"/>
      <c r="L113" s="163"/>
      <c r="M113" s="163"/>
      <c r="N113" s="163"/>
      <c r="O113" s="163"/>
      <c r="P113" s="163"/>
      <c r="Q113" s="163"/>
      <c r="R113" s="163"/>
      <c r="S113" s="163"/>
      <c r="T113" s="163"/>
      <c r="U113" s="163"/>
      <c r="V113" s="163"/>
      <c r="Z113" s="63"/>
      <c r="AB113" s="66"/>
    </row>
    <row r="114" spans="1:28" ht="16.5" customHeight="1">
      <c r="A114" s="142">
        <v>99</v>
      </c>
      <c r="B114" s="140" t="s">
        <v>156</v>
      </c>
      <c r="C114" s="141" t="s">
        <v>19</v>
      </c>
      <c r="D114" s="27">
        <v>2993540405.6842918</v>
      </c>
      <c r="E114" s="28">
        <f t="shared" ref="E114:E119" si="63">(D114/$D$150)</f>
        <v>1.5583593733006916E-3</v>
      </c>
      <c r="F114" s="27">
        <v>175702.20836183999</v>
      </c>
      <c r="G114" s="27">
        <v>175702.20836183999</v>
      </c>
      <c r="H114" s="30">
        <v>166</v>
      </c>
      <c r="I114" s="48">
        <v>1.1000000000000001E-3</v>
      </c>
      <c r="J114" s="48">
        <v>3.1099999999999999E-2</v>
      </c>
      <c r="K114" s="27">
        <f>1937833.61*W133</f>
        <v>2982783060.7385988</v>
      </c>
      <c r="L114" s="28">
        <f t="shared" ref="L114:L130" si="64">(K114/$K$150)</f>
        <v>1.5536112780551972E-3</v>
      </c>
      <c r="M114" s="27">
        <f>113.6785*W133</f>
        <v>174978.02825814998</v>
      </c>
      <c r="N114" s="27">
        <f>113.6785*W133</f>
        <v>174978.02825814998</v>
      </c>
      <c r="O114" s="30">
        <v>166</v>
      </c>
      <c r="P114" s="48">
        <v>1.1000000000000001E-3</v>
      </c>
      <c r="Q114" s="48">
        <v>3.2300000000000002E-2</v>
      </c>
      <c r="R114" s="55">
        <f>((K114-D114)/D114)</f>
        <v>-3.5935192073126535E-3</v>
      </c>
      <c r="S114" s="55">
        <f>((N114-G114)/G114)</f>
        <v>-4.1216334754236124E-3</v>
      </c>
      <c r="T114" s="55">
        <f>((O114-H114)/H114)</f>
        <v>0</v>
      </c>
      <c r="U114" s="55">
        <f>P114-I114</f>
        <v>0</v>
      </c>
      <c r="V114" s="56">
        <f>Q114-J114</f>
        <v>1.2000000000000031E-3</v>
      </c>
      <c r="X114" s="63"/>
      <c r="Y114" s="67"/>
      <c r="Z114" s="63"/>
      <c r="AA114" s="68"/>
    </row>
    <row r="115" spans="1:28" ht="16.5" customHeight="1">
      <c r="A115" s="142">
        <v>100</v>
      </c>
      <c r="B115" s="140" t="s">
        <v>157</v>
      </c>
      <c r="C115" s="141" t="s">
        <v>57</v>
      </c>
      <c r="D115" s="27">
        <v>4614098017.6369314</v>
      </c>
      <c r="E115" s="28">
        <f t="shared" si="63"/>
        <v>2.4019795695622145E-3</v>
      </c>
      <c r="F115" s="27">
        <v>154736.35999999999</v>
      </c>
      <c r="G115" s="27">
        <v>154736.35999999999</v>
      </c>
      <c r="H115" s="30">
        <v>73</v>
      </c>
      <c r="I115" s="48">
        <v>-1.1559999999999999E-3</v>
      </c>
      <c r="J115" s="48">
        <v>7.4107999999999993E-2</v>
      </c>
      <c r="K115" s="27">
        <f>3068575.1*W133</f>
        <v>4723260955.7660894</v>
      </c>
      <c r="L115" s="28">
        <f t="shared" si="64"/>
        <v>2.4601559485385098E-3</v>
      </c>
      <c r="M115" s="27">
        <f>100*W133</f>
        <v>153923.59</v>
      </c>
      <c r="N115" s="27">
        <f>100*W133</f>
        <v>153923.59</v>
      </c>
      <c r="O115" s="30">
        <v>75</v>
      </c>
      <c r="P115" s="48">
        <v>-2.2179999999999999E-3</v>
      </c>
      <c r="Q115" s="48">
        <v>7.1890999999999997E-2</v>
      </c>
      <c r="R115" s="55">
        <f>((K115-D115)/D115)</f>
        <v>2.365856505689596E-2</v>
      </c>
      <c r="S115" s="55">
        <f>((N115-G115)/G115)</f>
        <v>-5.2526116033748604E-3</v>
      </c>
      <c r="T115" s="55">
        <f>((O115-H115)/H115)</f>
        <v>2.7397260273972601E-2</v>
      </c>
      <c r="U115" s="55">
        <f>P115-I115</f>
        <v>-1.062E-3</v>
      </c>
      <c r="V115" s="56">
        <f>Q115-J115</f>
        <v>-2.2169999999999968E-3</v>
      </c>
      <c r="X115" s="63"/>
      <c r="Y115" s="67"/>
      <c r="Z115" s="63"/>
      <c r="AA115" s="68"/>
    </row>
    <row r="116" spans="1:28">
      <c r="A116" s="142">
        <v>101</v>
      </c>
      <c r="B116" s="140" t="s">
        <v>158</v>
      </c>
      <c r="C116" s="141" t="s">
        <v>23</v>
      </c>
      <c r="D116" s="27">
        <v>16395412216.572014</v>
      </c>
      <c r="E116" s="28">
        <f t="shared" si="63"/>
        <v>8.5350257034473593E-3</v>
      </c>
      <c r="F116" s="27">
        <v>1821.3380487600002</v>
      </c>
      <c r="G116" s="27">
        <v>1821.3380487600002</v>
      </c>
      <c r="H116" s="30">
        <v>309</v>
      </c>
      <c r="I116" s="48">
        <v>5.7799999999999997E-2</v>
      </c>
      <c r="J116" s="48">
        <v>7.2900000000000006E-2</v>
      </c>
      <c r="K116" s="27">
        <f>10601598.35*1543.537</f>
        <v>16363959312.363951</v>
      </c>
      <c r="L116" s="28">
        <f t="shared" si="64"/>
        <v>8.5233257744965485E-3</v>
      </c>
      <c r="M116" s="27">
        <f>1.1802*1543.537</f>
        <v>1821.6823674</v>
      </c>
      <c r="N116" s="27">
        <f>1.1802*1543.537</f>
        <v>1821.6823674</v>
      </c>
      <c r="O116" s="30">
        <v>314</v>
      </c>
      <c r="P116" s="48">
        <v>0.24410000000000001</v>
      </c>
      <c r="Q116" s="48">
        <v>0.08</v>
      </c>
      <c r="R116" s="55">
        <f t="shared" ref="R116:R128" si="65">((K116-D116)/D116)</f>
        <v>-1.918396670519295E-3</v>
      </c>
      <c r="S116" s="55">
        <f t="shared" ref="S116:S128" si="66">((N116-G116)/G116)</f>
        <v>1.8904708010364913E-4</v>
      </c>
      <c r="T116" s="55">
        <f t="shared" ref="T116:T128" si="67">((O116-H116)/H116)</f>
        <v>1.6181229773462782E-2</v>
      </c>
      <c r="U116" s="55">
        <f t="shared" ref="U116:U128" si="68">P116-I116</f>
        <v>0.18630000000000002</v>
      </c>
      <c r="V116" s="56">
        <f t="shared" ref="V116:V128" si="69">Q116-J116</f>
        <v>7.0999999999999952E-3</v>
      </c>
    </row>
    <row r="117" spans="1:28">
      <c r="A117" s="142">
        <v>102</v>
      </c>
      <c r="B117" s="140" t="s">
        <v>288</v>
      </c>
      <c r="C117" s="141" t="s">
        <v>23</v>
      </c>
      <c r="D117" s="27">
        <v>3227238780.6015482</v>
      </c>
      <c r="E117" s="28">
        <f t="shared" si="63"/>
        <v>1.6800166766014622E-3</v>
      </c>
      <c r="F117" s="27">
        <v>1586.9068638000001</v>
      </c>
      <c r="G117" s="27">
        <v>1586.9068638000001</v>
      </c>
      <c r="H117" s="30">
        <v>77</v>
      </c>
      <c r="I117" s="48">
        <v>6.1199999999999997E-2</v>
      </c>
      <c r="J117" s="48">
        <v>5.0200000000000002E-2</v>
      </c>
      <c r="K117" s="27">
        <f>2104561.05*1543.537</f>
        <v>3248467849.4338498</v>
      </c>
      <c r="L117" s="28">
        <f t="shared" si="64"/>
        <v>1.6919957584948988E-3</v>
      </c>
      <c r="M117" s="27">
        <f>1.0245*1543.537</f>
        <v>1581.3536564999999</v>
      </c>
      <c r="N117" s="27">
        <f>1.0245*1543.537</f>
        <v>1581.3536564999999</v>
      </c>
      <c r="O117" s="30">
        <v>79</v>
      </c>
      <c r="P117" s="48">
        <v>5.0200000000000002E-2</v>
      </c>
      <c r="Q117" s="48">
        <v>5.0900000000000001E-2</v>
      </c>
      <c r="R117" s="55">
        <f t="shared" si="65"/>
        <v>6.5780905211930358E-3</v>
      </c>
      <c r="S117" s="55">
        <f t="shared" ref="S117" si="70">((N117-G117)/G117)</f>
        <v>-3.499390812830995E-3</v>
      </c>
      <c r="T117" s="55">
        <f t="shared" ref="T117" si="71">((O117-H117)/H117)</f>
        <v>2.5974025974025976E-2</v>
      </c>
      <c r="U117" s="55">
        <f t="shared" ref="U117" si="72">P117-I117</f>
        <v>-1.0999999999999996E-2</v>
      </c>
      <c r="V117" s="56">
        <f t="shared" ref="V117" si="73">Q117-J117</f>
        <v>6.9999999999999923E-4</v>
      </c>
    </row>
    <row r="118" spans="1:28">
      <c r="A118" s="142">
        <v>103</v>
      </c>
      <c r="B118" s="140" t="s">
        <v>159</v>
      </c>
      <c r="C118" s="141" t="s">
        <v>27</v>
      </c>
      <c r="D118" s="27">
        <v>17923162048.014294</v>
      </c>
      <c r="E118" s="28">
        <f t="shared" si="63"/>
        <v>9.3303325800025826E-3</v>
      </c>
      <c r="F118" s="27">
        <v>1672.8547879599998</v>
      </c>
      <c r="G118" s="27">
        <v>1672.8547879599998</v>
      </c>
      <c r="H118" s="30">
        <v>453</v>
      </c>
      <c r="I118" s="48">
        <v>1.8E-3</v>
      </c>
      <c r="J118" s="48">
        <v>0.04</v>
      </c>
      <c r="K118" s="27">
        <f>11703906.11*W133</f>
        <v>18015072454.741348</v>
      </c>
      <c r="L118" s="28">
        <f t="shared" si="64"/>
        <v>9.3833239530793002E-3</v>
      </c>
      <c r="M118" s="27">
        <f>1.0831*W133</f>
        <v>1667.1464032899999</v>
      </c>
      <c r="N118" s="27">
        <f>1.0831*W133</f>
        <v>1667.1464032899999</v>
      </c>
      <c r="O118" s="30">
        <v>457</v>
      </c>
      <c r="P118" s="48">
        <v>1.8E-3</v>
      </c>
      <c r="Q118" s="48">
        <v>4.19E-2</v>
      </c>
      <c r="R118" s="55">
        <f t="shared" si="65"/>
        <v>5.1280240886533383E-3</v>
      </c>
      <c r="S118" s="55">
        <f t="shared" ref="S118:T121" si="74">((N118-G118)/G118)</f>
        <v>-3.4123611392242862E-3</v>
      </c>
      <c r="T118" s="55">
        <f t="shared" si="74"/>
        <v>8.8300220750551876E-3</v>
      </c>
      <c r="U118" s="55">
        <f t="shared" si="68"/>
        <v>0</v>
      </c>
      <c r="V118" s="56">
        <f t="shared" si="69"/>
        <v>1.8999999999999989E-3</v>
      </c>
    </row>
    <row r="119" spans="1:28">
      <c r="A119" s="142">
        <v>104</v>
      </c>
      <c r="B119" s="140" t="s">
        <v>160</v>
      </c>
      <c r="C119" s="141" t="s">
        <v>63</v>
      </c>
      <c r="D119" s="27">
        <v>776966156.60917997</v>
      </c>
      <c r="E119" s="28">
        <f t="shared" si="63"/>
        <v>4.0446839821844808E-4</v>
      </c>
      <c r="F119" s="27">
        <v>1717.573596</v>
      </c>
      <c r="G119" s="27">
        <v>1733.0472320000001</v>
      </c>
      <c r="H119" s="30">
        <v>31</v>
      </c>
      <c r="I119" s="48">
        <v>-0.35099999999999998</v>
      </c>
      <c r="J119" s="48">
        <v>0.13400000000000001</v>
      </c>
      <c r="K119" s="27">
        <f>520110.19*W133</f>
        <v>800572276.40382099</v>
      </c>
      <c r="L119" s="28">
        <f t="shared" si="64"/>
        <v>4.1698577878181788E-4</v>
      </c>
      <c r="M119" s="27">
        <f>1.12*W133</f>
        <v>1723.9442080000001</v>
      </c>
      <c r="N119" s="27">
        <f>1.12*W133</f>
        <v>1723.9442080000001</v>
      </c>
      <c r="O119" s="30">
        <v>31</v>
      </c>
      <c r="P119" s="48">
        <v>-0.37</v>
      </c>
      <c r="Q119" s="48">
        <v>0.13700000000000001</v>
      </c>
      <c r="R119" s="55">
        <f t="shared" si="65"/>
        <v>3.0382429908739357E-2</v>
      </c>
      <c r="S119" s="55">
        <f t="shared" si="74"/>
        <v>-5.2526116033749298E-3</v>
      </c>
      <c r="T119" s="55">
        <f t="shared" si="74"/>
        <v>0</v>
      </c>
      <c r="U119" s="55">
        <f t="shared" si="68"/>
        <v>-1.9000000000000017E-2</v>
      </c>
      <c r="V119" s="56">
        <f t="shared" si="69"/>
        <v>3.0000000000000027E-3</v>
      </c>
    </row>
    <row r="120" spans="1:28">
      <c r="A120" s="142">
        <v>105</v>
      </c>
      <c r="B120" s="140" t="s">
        <v>161</v>
      </c>
      <c r="C120" s="141" t="s">
        <v>29</v>
      </c>
      <c r="D120" s="27">
        <v>439318978.28583598</v>
      </c>
      <c r="E120" s="28">
        <v>0</v>
      </c>
      <c r="F120" s="27">
        <v>2019.4642343599999</v>
      </c>
      <c r="G120" s="27">
        <v>2019.4642343599999</v>
      </c>
      <c r="H120" s="30">
        <v>44</v>
      </c>
      <c r="I120" s="48">
        <v>9.859999999999999E-4</v>
      </c>
      <c r="J120" s="48">
        <v>7.2499999999999995E-2</v>
      </c>
      <c r="K120" s="27">
        <f>294858.42*W133</f>
        <v>453856665.48127794</v>
      </c>
      <c r="L120" s="28">
        <f t="shared" si="64"/>
        <v>2.3639561434871394E-4</v>
      </c>
      <c r="M120" s="27">
        <f>1.3414*W133</f>
        <v>2064.7310362599997</v>
      </c>
      <c r="N120" s="27">
        <f>1.3414*W133</f>
        <v>2064.7310362599997</v>
      </c>
      <c r="O120" s="30">
        <v>46</v>
      </c>
      <c r="P120" s="48">
        <v>5.4625999999999997E-3</v>
      </c>
      <c r="Q120" s="48">
        <v>0.1167</v>
      </c>
      <c r="R120" s="55">
        <f t="shared" si="65"/>
        <v>3.3091416292021066E-2</v>
      </c>
      <c r="S120" s="55">
        <f t="shared" si="74"/>
        <v>2.2415253080402067E-2</v>
      </c>
      <c r="T120" s="55">
        <f t="shared" si="74"/>
        <v>4.5454545454545456E-2</v>
      </c>
      <c r="U120" s="55">
        <f t="shared" si="68"/>
        <v>4.4765999999999999E-3</v>
      </c>
      <c r="V120" s="56">
        <f t="shared" si="69"/>
        <v>4.4200000000000003E-2</v>
      </c>
    </row>
    <row r="121" spans="1:28">
      <c r="A121" s="142">
        <v>106</v>
      </c>
      <c r="B121" s="140" t="s">
        <v>162</v>
      </c>
      <c r="C121" s="141" t="s">
        <v>70</v>
      </c>
      <c r="D121" s="27">
        <v>817172728.60249186</v>
      </c>
      <c r="E121" s="28">
        <f t="shared" ref="E121:E130" si="75">(D121/$D$150)</f>
        <v>4.2539889516951361E-4</v>
      </c>
      <c r="F121" s="27">
        <v>164747.80249199999</v>
      </c>
      <c r="G121" s="27">
        <v>166527.270632</v>
      </c>
      <c r="H121" s="30">
        <v>52</v>
      </c>
      <c r="I121" s="48">
        <v>1.4E-3</v>
      </c>
      <c r="J121" s="48">
        <v>1.7299999999999999E-2</v>
      </c>
      <c r="K121" s="27">
        <f>535762.17*W133</f>
        <v>824664365.92590296</v>
      </c>
      <c r="L121" s="28">
        <f t="shared" si="64"/>
        <v>4.2953437558930865E-4</v>
      </c>
      <c r="M121" s="27">
        <f>106.64*W133</f>
        <v>164144.11637599999</v>
      </c>
      <c r="N121" s="27">
        <f>107.82*W133</f>
        <v>165960.41473799999</v>
      </c>
      <c r="O121" s="30">
        <v>52</v>
      </c>
      <c r="P121" s="48">
        <v>3.2000000000000002E-3</v>
      </c>
      <c r="Q121" s="48">
        <v>1.9099999999999999E-2</v>
      </c>
      <c r="R121" s="55">
        <f t="shared" si="65"/>
        <v>9.1677524973491423E-3</v>
      </c>
      <c r="S121" s="55">
        <f t="shared" si="74"/>
        <v>-3.4039823738700016E-3</v>
      </c>
      <c r="T121" s="55">
        <f t="shared" si="74"/>
        <v>0</v>
      </c>
      <c r="U121" s="55">
        <f t="shared" si="68"/>
        <v>1.8000000000000002E-3</v>
      </c>
      <c r="V121" s="56">
        <f t="shared" si="69"/>
        <v>1.7999999999999995E-3</v>
      </c>
    </row>
    <row r="122" spans="1:28">
      <c r="A122" s="142">
        <v>107</v>
      </c>
      <c r="B122" s="140" t="s">
        <v>163</v>
      </c>
      <c r="C122" s="141" t="s">
        <v>73</v>
      </c>
      <c r="D122" s="27">
        <v>5291687129.9760551</v>
      </c>
      <c r="E122" s="28">
        <f t="shared" si="75"/>
        <v>2.7547148600079751E-3</v>
      </c>
      <c r="F122" s="27">
        <v>177680.35798807998</v>
      </c>
      <c r="G122" s="27">
        <v>177680.35798807998</v>
      </c>
      <c r="H122" s="30">
        <v>61</v>
      </c>
      <c r="I122" s="48">
        <v>8.9999999999999993E-3</v>
      </c>
      <c r="J122" s="48">
        <v>7.0999999999999994E-2</v>
      </c>
      <c r="K122" s="27">
        <v>5355135409.5226326</v>
      </c>
      <c r="L122" s="28">
        <f t="shared" si="64"/>
        <v>2.7892738420228743E-3</v>
      </c>
      <c r="M122" s="27">
        <v>170788.38206193998</v>
      </c>
      <c r="N122" s="27">
        <v>170788.38206193998</v>
      </c>
      <c r="O122" s="30">
        <v>61</v>
      </c>
      <c r="P122" s="48" t="s">
        <v>323</v>
      </c>
      <c r="Q122" s="48">
        <v>7.0499999999999993E-2</v>
      </c>
      <c r="R122" s="55">
        <f t="shared" si="65"/>
        <v>1.1990179689037012E-2</v>
      </c>
      <c r="S122" s="55">
        <f t="shared" si="66"/>
        <v>-3.8788620217674055E-2</v>
      </c>
      <c r="T122" s="55">
        <f t="shared" si="67"/>
        <v>0</v>
      </c>
      <c r="U122" s="55">
        <f t="shared" si="68"/>
        <v>0</v>
      </c>
      <c r="V122" s="56">
        <f t="shared" si="69"/>
        <v>-5.0000000000000044E-4</v>
      </c>
      <c r="X122" s="64"/>
    </row>
    <row r="123" spans="1:28">
      <c r="A123" s="142">
        <v>108</v>
      </c>
      <c r="B123" s="140" t="s">
        <v>164</v>
      </c>
      <c r="C123" s="141" t="s">
        <v>31</v>
      </c>
      <c r="D123" s="27">
        <v>55665729223.632004</v>
      </c>
      <c r="E123" s="28">
        <f t="shared" si="75"/>
        <v>2.8978132629359204E-2</v>
      </c>
      <c r="F123" s="27">
        <v>202782.52470000001</v>
      </c>
      <c r="G123" s="27">
        <v>202782.52470000001</v>
      </c>
      <c r="H123" s="30">
        <v>2430</v>
      </c>
      <c r="I123" s="48">
        <v>1.4E-3</v>
      </c>
      <c r="J123" s="48">
        <v>3.4000000000000002E-2</v>
      </c>
      <c r="K123" s="27">
        <f>36540080.02*1545.2</f>
        <v>56461731646.904007</v>
      </c>
      <c r="L123" s="28">
        <f t="shared" si="64"/>
        <v>2.9408636591705374E-2</v>
      </c>
      <c r="M123" s="27">
        <f>130.86*1545.2</f>
        <v>202204.87200000003</v>
      </c>
      <c r="N123" s="27">
        <f>130.86*1545.2</f>
        <v>202204.87200000003</v>
      </c>
      <c r="O123" s="30">
        <v>2432</v>
      </c>
      <c r="P123" s="48">
        <v>1.2999999999999999E-3</v>
      </c>
      <c r="Q123" s="48">
        <v>3.5400000000000001E-2</v>
      </c>
      <c r="R123" s="55">
        <f t="shared" si="65"/>
        <v>1.4299685540346302E-2</v>
      </c>
      <c r="S123" s="55">
        <f t="shared" si="66"/>
        <v>-2.8486315615932211E-3</v>
      </c>
      <c r="T123" s="55">
        <f t="shared" si="67"/>
        <v>8.2304526748971192E-4</v>
      </c>
      <c r="U123" s="55">
        <f t="shared" si="68"/>
        <v>-1.0000000000000005E-4</v>
      </c>
      <c r="V123" s="56">
        <f t="shared" si="69"/>
        <v>1.3999999999999985E-3</v>
      </c>
    </row>
    <row r="124" spans="1:28">
      <c r="A124" s="142">
        <v>109</v>
      </c>
      <c r="B124" s="154" t="s">
        <v>165</v>
      </c>
      <c r="C124" s="154" t="s">
        <v>31</v>
      </c>
      <c r="D124" s="27">
        <v>151481941336.28009</v>
      </c>
      <c r="E124" s="28">
        <f t="shared" si="75"/>
        <v>7.8857563679089873E-2</v>
      </c>
      <c r="F124" s="27">
        <v>191300.46270000003</v>
      </c>
      <c r="G124" s="27">
        <v>191300.46270000003</v>
      </c>
      <c r="H124" s="30">
        <v>873</v>
      </c>
      <c r="I124" s="48">
        <v>1.5E-3</v>
      </c>
      <c r="J124" s="48">
        <v>3.8399999999999997E-2</v>
      </c>
      <c r="K124" s="27">
        <f>97965489.48*1545.2</f>
        <v>151376274344.496</v>
      </c>
      <c r="L124" s="28">
        <f t="shared" si="64"/>
        <v>7.8845790076785272E-2</v>
      </c>
      <c r="M124" s="27">
        <f>123.48*1545.2</f>
        <v>190801.296</v>
      </c>
      <c r="N124" s="27">
        <f>123.48*1545.2</f>
        <v>190801.296</v>
      </c>
      <c r="O124" s="30">
        <v>876</v>
      </c>
      <c r="P124" s="48">
        <v>1.5E-3</v>
      </c>
      <c r="Q124" s="48">
        <v>0.04</v>
      </c>
      <c r="R124" s="55">
        <f t="shared" si="65"/>
        <v>-6.9755504089767542E-4</v>
      </c>
      <c r="S124" s="55">
        <f t="shared" si="66"/>
        <v>-2.6093334692181619E-3</v>
      </c>
      <c r="T124" s="55">
        <f t="shared" si="67"/>
        <v>3.4364261168384879E-3</v>
      </c>
      <c r="U124" s="55">
        <f t="shared" si="68"/>
        <v>0</v>
      </c>
      <c r="V124" s="56">
        <f t="shared" si="69"/>
        <v>1.6000000000000042E-3</v>
      </c>
      <c r="X124" s="63"/>
    </row>
    <row r="125" spans="1:28">
      <c r="A125" s="142">
        <v>110</v>
      </c>
      <c r="B125" s="140" t="s">
        <v>300</v>
      </c>
      <c r="C125" s="141" t="s">
        <v>299</v>
      </c>
      <c r="D125" s="27">
        <v>1005010445.4700519</v>
      </c>
      <c r="E125" s="28">
        <f t="shared" si="75"/>
        <v>5.2318233119200196E-4</v>
      </c>
      <c r="F125" s="27">
        <v>1547.3635999999999</v>
      </c>
      <c r="G125" s="27">
        <v>1547.3635999999999</v>
      </c>
      <c r="H125" s="30">
        <v>8</v>
      </c>
      <c r="I125" s="48">
        <v>7.9000000000000001E-2</v>
      </c>
      <c r="J125" s="48">
        <v>8.6699999999999999E-2</v>
      </c>
      <c r="K125" s="27">
        <f>650906.25*W133</f>
        <v>1001898267.534375</v>
      </c>
      <c r="L125" s="28">
        <f t="shared" si="64"/>
        <v>5.2184835980660681E-4</v>
      </c>
      <c r="M125" s="27">
        <f>1*W133</f>
        <v>1539.2358999999999</v>
      </c>
      <c r="N125" s="27">
        <f>1*W133</f>
        <v>1539.2358999999999</v>
      </c>
      <c r="O125" s="30">
        <v>8</v>
      </c>
      <c r="P125" s="48">
        <v>9.35E-2</v>
      </c>
      <c r="Q125" s="48">
        <v>8.6999999999999994E-2</v>
      </c>
      <c r="R125" s="55">
        <f t="shared" ref="R125" si="76">((K125-D125)/D125)</f>
        <v>-3.0966622781928802E-3</v>
      </c>
      <c r="S125" s="55">
        <f t="shared" ref="S125" si="77">((N125-G125)/G125)</f>
        <v>-5.2526116033749307E-3</v>
      </c>
      <c r="T125" s="55">
        <f t="shared" si="67"/>
        <v>0</v>
      </c>
      <c r="U125" s="55">
        <f t="shared" si="68"/>
        <v>1.4499999999999999E-2</v>
      </c>
      <c r="V125" s="56">
        <f t="shared" si="69"/>
        <v>2.9999999999999472E-4</v>
      </c>
    </row>
    <row r="126" spans="1:28">
      <c r="A126" s="142">
        <v>111</v>
      </c>
      <c r="B126" s="140" t="s">
        <v>166</v>
      </c>
      <c r="C126" s="141" t="s">
        <v>35</v>
      </c>
      <c r="D126" s="27">
        <v>252638472.76017198</v>
      </c>
      <c r="E126" s="28">
        <f t="shared" si="75"/>
        <v>1.3151702623909946E-4</v>
      </c>
      <c r="F126" s="27">
        <v>197876.85716799999</v>
      </c>
      <c r="G126" s="27">
        <v>197876.85716799999</v>
      </c>
      <c r="H126" s="30">
        <v>9</v>
      </c>
      <c r="I126" s="48">
        <v>2E-3</v>
      </c>
      <c r="J126" s="48">
        <v>0.12790000000000001</v>
      </c>
      <c r="K126" s="27">
        <f>163603.42*W133</f>
        <v>251824257.42677802</v>
      </c>
      <c r="L126" s="28">
        <f t="shared" si="64"/>
        <v>1.3116508926708175E-4</v>
      </c>
      <c r="M126" s="27">
        <f>128.14*W133</f>
        <v>197237.68822599997</v>
      </c>
      <c r="N126" s="27">
        <f>128.14*W133</f>
        <v>197237.68822599997</v>
      </c>
      <c r="O126" s="30">
        <v>9</v>
      </c>
      <c r="P126" s="48">
        <v>2E-3</v>
      </c>
      <c r="Q126" s="48">
        <v>0.13020000000000001</v>
      </c>
      <c r="R126" s="55">
        <f t="shared" si="65"/>
        <v>-3.2228477495859879E-3</v>
      </c>
      <c r="S126" s="55">
        <f t="shared" si="66"/>
        <v>-3.2301348987838221E-3</v>
      </c>
      <c r="T126" s="55">
        <f t="shared" si="67"/>
        <v>0</v>
      </c>
      <c r="U126" s="55">
        <f t="shared" si="68"/>
        <v>0</v>
      </c>
      <c r="V126" s="56">
        <f t="shared" si="69"/>
        <v>2.2999999999999965E-3</v>
      </c>
    </row>
    <row r="127" spans="1:28">
      <c r="A127" s="142">
        <v>112</v>
      </c>
      <c r="B127" s="140" t="s">
        <v>167</v>
      </c>
      <c r="C127" s="141" t="s">
        <v>41</v>
      </c>
      <c r="D127" s="27">
        <v>17082636616.276051</v>
      </c>
      <c r="E127" s="28">
        <f t="shared" si="75"/>
        <v>8.892776874203619E-3</v>
      </c>
      <c r="F127" s="27">
        <v>2197.256312</v>
      </c>
      <c r="G127" s="27">
        <v>2197.256312</v>
      </c>
      <c r="H127" s="44">
        <v>118</v>
      </c>
      <c r="I127" s="51">
        <v>8.9999999999999998E-4</v>
      </c>
      <c r="J127" s="51">
        <v>4.9099999999999998E-2</v>
      </c>
      <c r="K127" s="27">
        <f>11142145.49*W133</f>
        <v>17150390341.231091</v>
      </c>
      <c r="L127" s="28">
        <f t="shared" si="64"/>
        <v>8.9329459483344659E-3</v>
      </c>
      <c r="M127" s="27">
        <f>1.42*W133</f>
        <v>2185.714978</v>
      </c>
      <c r="N127" s="27">
        <f>1.42*W133</f>
        <v>2185.714978</v>
      </c>
      <c r="O127" s="44">
        <v>119</v>
      </c>
      <c r="P127" s="51">
        <v>8.9999999999999998E-4</v>
      </c>
      <c r="Q127" s="51">
        <v>4.9099999999999998E-2</v>
      </c>
      <c r="R127" s="55">
        <f t="shared" si="65"/>
        <v>3.966233461319745E-3</v>
      </c>
      <c r="S127" s="55">
        <f t="shared" si="66"/>
        <v>-5.2526116033749307E-3</v>
      </c>
      <c r="T127" s="55">
        <f t="shared" si="67"/>
        <v>8.4745762711864406E-3</v>
      </c>
      <c r="U127" s="55">
        <f t="shared" si="68"/>
        <v>0</v>
      </c>
      <c r="V127" s="56">
        <f t="shared" si="69"/>
        <v>0</v>
      </c>
    </row>
    <row r="128" spans="1:28">
      <c r="A128" s="142">
        <v>113</v>
      </c>
      <c r="B128" s="140" t="s">
        <v>168</v>
      </c>
      <c r="C128" s="141" t="s">
        <v>87</v>
      </c>
      <c r="D128" s="27">
        <v>31156274633.556538</v>
      </c>
      <c r="E128" s="28">
        <f t="shared" si="75"/>
        <v>1.6219147241219471E-2</v>
      </c>
      <c r="F128" s="27">
        <v>162860.0189</v>
      </c>
      <c r="G128" s="27">
        <v>162860.0189</v>
      </c>
      <c r="H128" s="30">
        <v>665</v>
      </c>
      <c r="I128" s="51">
        <v>1.6000000000000001E-3</v>
      </c>
      <c r="J128" s="48">
        <v>9.3899999999999997E-2</v>
      </c>
      <c r="K128" s="27">
        <f>20218717.69*W133</f>
        <v>31121376120.413071</v>
      </c>
      <c r="L128" s="28">
        <f t="shared" si="64"/>
        <v>1.62098684164107E-2</v>
      </c>
      <c r="M128" s="27">
        <f>105.52*W133</f>
        <v>162420.17216799999</v>
      </c>
      <c r="N128" s="27">
        <f>105.52*W133</f>
        <v>162420.17216799999</v>
      </c>
      <c r="O128" s="30">
        <v>673</v>
      </c>
      <c r="P128" s="51">
        <v>2.5999999999999999E-3</v>
      </c>
      <c r="Q128" s="48">
        <v>9.5600000000000004E-2</v>
      </c>
      <c r="R128" s="55">
        <f t="shared" si="65"/>
        <v>-1.120111873255857E-3</v>
      </c>
      <c r="S128" s="55">
        <f t="shared" si="66"/>
        <v>-2.7007655713836187E-3</v>
      </c>
      <c r="T128" s="55">
        <f t="shared" si="67"/>
        <v>1.2030075187969926E-2</v>
      </c>
      <c r="U128" s="55">
        <f t="shared" si="68"/>
        <v>9.999999999999998E-4</v>
      </c>
      <c r="V128" s="56">
        <f t="shared" si="69"/>
        <v>1.7000000000000071E-3</v>
      </c>
    </row>
    <row r="129" spans="1:24">
      <c r="A129" s="142">
        <v>114</v>
      </c>
      <c r="B129" s="140" t="s">
        <v>169</v>
      </c>
      <c r="C129" s="141" t="s">
        <v>45</v>
      </c>
      <c r="D129" s="27">
        <v>2692319296.0803757</v>
      </c>
      <c r="E129" s="28">
        <f t="shared" si="75"/>
        <v>1.401551488330789E-3</v>
      </c>
      <c r="F129" s="27">
        <v>217062.30587695277</v>
      </c>
      <c r="G129" s="27">
        <v>224921.79422107001</v>
      </c>
      <c r="H129" s="30">
        <v>51</v>
      </c>
      <c r="I129" s="48">
        <v>6.1999999999999998E-3</v>
      </c>
      <c r="J129" s="48">
        <v>2.4E-2</v>
      </c>
      <c r="K129" s="27">
        <f>1741740.74*W133</f>
        <v>2680949875.500566</v>
      </c>
      <c r="L129" s="28">
        <f t="shared" si="64"/>
        <v>1.396398557207502E-3</v>
      </c>
      <c r="M129" s="27">
        <f>140.424007*W133</f>
        <v>216145.67279625128</v>
      </c>
      <c r="N129" s="27">
        <f>145.545431*W133</f>
        <v>224028.7524761729</v>
      </c>
      <c r="O129" s="30">
        <v>51</v>
      </c>
      <c r="P129" s="48">
        <v>8.9999999999999998E-4</v>
      </c>
      <c r="Q129" s="48">
        <v>2.52E-2</v>
      </c>
      <c r="R129" s="55">
        <f t="shared" ref="R129:R130" si="78">((K129-D129)/D129)</f>
        <v>-4.2229094433048429E-3</v>
      </c>
      <c r="S129" s="55">
        <f t="shared" ref="S129:S130" si="79">((N129-G129)/G129)</f>
        <v>-3.9704544772542786E-3</v>
      </c>
      <c r="T129" s="55">
        <f t="shared" ref="T129:T130" si="80">((O129-H129)/H129)</f>
        <v>0</v>
      </c>
      <c r="U129" s="55">
        <f t="shared" ref="U129:U130" si="81">P129-I129</f>
        <v>-5.3E-3</v>
      </c>
      <c r="V129" s="56">
        <f t="shared" ref="V129:V130" si="82">Q129-J129</f>
        <v>1.1999999999999997E-3</v>
      </c>
    </row>
    <row r="130" spans="1:24">
      <c r="A130" s="142">
        <v>115</v>
      </c>
      <c r="B130" s="140" t="s">
        <v>170</v>
      </c>
      <c r="C130" s="141" t="s">
        <v>52</v>
      </c>
      <c r="D130" s="31">
        <v>175334901655.09952</v>
      </c>
      <c r="E130" s="28">
        <f t="shared" si="75"/>
        <v>9.127479520308017E-2</v>
      </c>
      <c r="F130" s="27">
        <v>184658.86564800004</v>
      </c>
      <c r="G130" s="27">
        <v>184658.86564800004</v>
      </c>
      <c r="H130" s="30">
        <v>3751</v>
      </c>
      <c r="I130" s="48">
        <v>0.1046</v>
      </c>
      <c r="J130" s="48">
        <v>6.6000000000000003E-2</v>
      </c>
      <c r="K130" s="31">
        <f>114514859.3*1550.29</f>
        <v>177531241224.19699</v>
      </c>
      <c r="L130" s="28">
        <f t="shared" si="64"/>
        <v>9.2468856419196915E-2</v>
      </c>
      <c r="M130" s="27">
        <f>120.9713*1550.29</f>
        <v>187540.59667699999</v>
      </c>
      <c r="N130" s="27">
        <f>120.9713*1550.29</f>
        <v>187540.59667699999</v>
      </c>
      <c r="O130" s="30">
        <v>3772</v>
      </c>
      <c r="P130" s="48">
        <v>0.13553999999999999</v>
      </c>
      <c r="Q130" s="48">
        <v>9.7000000000000003E-2</v>
      </c>
      <c r="R130" s="55">
        <f t="shared" si="78"/>
        <v>1.2526539487374182E-2</v>
      </c>
      <c r="S130" s="55">
        <f t="shared" si="79"/>
        <v>1.5605700917134219E-2</v>
      </c>
      <c r="T130" s="55">
        <f t="shared" si="80"/>
        <v>5.5985070647827243E-3</v>
      </c>
      <c r="U130" s="55">
        <f t="shared" si="81"/>
        <v>3.0939999999999995E-2</v>
      </c>
      <c r="V130" s="56">
        <f t="shared" si="82"/>
        <v>3.1E-2</v>
      </c>
    </row>
    <row r="131" spans="1:24" ht="6" customHeight="1">
      <c r="A131" s="34"/>
      <c r="B131" s="162"/>
      <c r="C131" s="162"/>
      <c r="D131" s="162"/>
      <c r="E131" s="162"/>
      <c r="F131" s="162"/>
      <c r="G131" s="162"/>
      <c r="H131" s="162"/>
      <c r="I131" s="162"/>
      <c r="J131" s="162"/>
      <c r="K131" s="162"/>
      <c r="L131" s="162"/>
      <c r="M131" s="162"/>
      <c r="N131" s="162"/>
      <c r="O131" s="162"/>
      <c r="P131" s="162"/>
      <c r="Q131" s="162"/>
      <c r="R131" s="162"/>
      <c r="S131" s="162"/>
      <c r="T131" s="162"/>
      <c r="U131" s="162"/>
      <c r="V131" s="162"/>
    </row>
    <row r="132" spans="1:24">
      <c r="A132" s="163" t="s">
        <v>171</v>
      </c>
      <c r="B132" s="163"/>
      <c r="C132" s="163"/>
      <c r="D132" s="163"/>
      <c r="E132" s="163"/>
      <c r="F132" s="163"/>
      <c r="G132" s="163"/>
      <c r="H132" s="163"/>
      <c r="I132" s="163"/>
      <c r="J132" s="163"/>
      <c r="K132" s="163"/>
      <c r="L132" s="163"/>
      <c r="M132" s="163"/>
      <c r="N132" s="163"/>
      <c r="O132" s="163"/>
      <c r="P132" s="163"/>
      <c r="Q132" s="163"/>
      <c r="R132" s="163"/>
      <c r="S132" s="163"/>
      <c r="T132" s="163"/>
      <c r="U132" s="163"/>
      <c r="V132" s="163"/>
    </row>
    <row r="133" spans="1:24">
      <c r="A133" s="142">
        <v>116</v>
      </c>
      <c r="B133" s="140" t="s">
        <v>172</v>
      </c>
      <c r="C133" s="141" t="s">
        <v>115</v>
      </c>
      <c r="D133" s="31">
        <v>1871538858.2972119</v>
      </c>
      <c r="E133" s="28">
        <f t="shared" ref="E133:E146" si="83">(D133/$D$150)</f>
        <v>9.7427451347771165E-4</v>
      </c>
      <c r="F133" s="27">
        <v>168492.42240399998</v>
      </c>
      <c r="G133" s="27">
        <v>168492.42240399998</v>
      </c>
      <c r="H133" s="30">
        <v>23</v>
      </c>
      <c r="I133" s="48">
        <v>7.1000000000000004E-3</v>
      </c>
      <c r="J133" s="48">
        <v>0.1129</v>
      </c>
      <c r="K133" s="31">
        <f>1219095.37*W133</f>
        <v>1876475359.0277832</v>
      </c>
      <c r="L133" s="28">
        <f t="shared" ref="L133:L149" si="84">(K133/$K$150)</f>
        <v>9.7738025911155179E-4</v>
      </c>
      <c r="M133" s="27">
        <f>109.75*W133</f>
        <v>168931.140025</v>
      </c>
      <c r="N133" s="27">
        <f>109.75*W133</f>
        <v>168931.140025</v>
      </c>
      <c r="O133" s="30">
        <v>23</v>
      </c>
      <c r="P133" s="48">
        <v>7.1000000000000004E-3</v>
      </c>
      <c r="Q133" s="48">
        <v>0.12590000000000001</v>
      </c>
      <c r="R133" s="55">
        <f>((K133-D133)/D133)</f>
        <v>2.6376693749563191E-3</v>
      </c>
      <c r="S133" s="55">
        <f>((N133-G133)/G133)</f>
        <v>2.603782500960725E-3</v>
      </c>
      <c r="T133" s="55">
        <f>((O133-H133)/H133)</f>
        <v>0</v>
      </c>
      <c r="U133" s="55">
        <f>P133-I133</f>
        <v>0</v>
      </c>
      <c r="V133" s="56">
        <f>Q133-J133</f>
        <v>1.3000000000000012E-2</v>
      </c>
      <c r="W133" s="136">
        <v>1539.2358999999999</v>
      </c>
    </row>
    <row r="134" spans="1:24">
      <c r="A134" s="142">
        <v>117</v>
      </c>
      <c r="B134" s="141" t="s">
        <v>173</v>
      </c>
      <c r="C134" s="141" t="s">
        <v>25</v>
      </c>
      <c r="D134" s="27">
        <v>19276704802.209156</v>
      </c>
      <c r="E134" s="28">
        <f t="shared" si="83"/>
        <v>1.0034951777444359E-2</v>
      </c>
      <c r="F134" s="31">
        <v>212437.54864399997</v>
      </c>
      <c r="G134" s="31">
        <v>212437.54864399997</v>
      </c>
      <c r="H134" s="30">
        <v>584</v>
      </c>
      <c r="I134" s="48">
        <v>5.0000000000000001E-4</v>
      </c>
      <c r="J134" s="48">
        <v>2.6499999999999999E-2</v>
      </c>
      <c r="K134" s="27">
        <f>12149328.25*W133</f>
        <v>18700682203.284172</v>
      </c>
      <c r="L134" s="28">
        <f t="shared" si="84"/>
        <v>9.7404303922639726E-3</v>
      </c>
      <c r="M134" s="31">
        <f>137.45*W133</f>
        <v>211567.97445499996</v>
      </c>
      <c r="N134" s="31">
        <f>137.45*W133</f>
        <v>211567.97445499996</v>
      </c>
      <c r="O134" s="30">
        <v>586</v>
      </c>
      <c r="P134" s="48">
        <v>5.0000000000000001E-4</v>
      </c>
      <c r="Q134" s="48">
        <v>2.7699999999999999E-2</v>
      </c>
      <c r="R134" s="55">
        <f t="shared" ref="R134:R150" si="85">((K134-D134)/D134)</f>
        <v>-2.9881797995836425E-2</v>
      </c>
      <c r="S134" s="55">
        <f t="shared" ref="S134:S150" si="86">((N134-G134)/G134)</f>
        <v>-4.0933168102839828E-3</v>
      </c>
      <c r="T134" s="55">
        <f t="shared" ref="T134:T150" si="87">((O134-H134)/H134)</f>
        <v>3.4246575342465752E-3</v>
      </c>
      <c r="U134" s="55">
        <f t="shared" ref="U134:U150" si="88">P134-I134</f>
        <v>0</v>
      </c>
      <c r="V134" s="56">
        <f t="shared" ref="V134:V150" si="89">Q134-J134</f>
        <v>1.1999999999999997E-3</v>
      </c>
    </row>
    <row r="135" spans="1:24">
      <c r="A135" s="142">
        <v>118</v>
      </c>
      <c r="B135" s="140" t="s">
        <v>174</v>
      </c>
      <c r="C135" s="141" t="s">
        <v>67</v>
      </c>
      <c r="D135" s="31">
        <v>16472226852.98</v>
      </c>
      <c r="E135" s="28">
        <f t="shared" si="83"/>
        <v>8.5750134077809195E-3</v>
      </c>
      <c r="F135" s="31">
        <v>172007.2</v>
      </c>
      <c r="G135" s="31">
        <v>172007.2</v>
      </c>
      <c r="H135" s="30">
        <v>703</v>
      </c>
      <c r="I135" s="48">
        <v>1.1999999999999999E-3</v>
      </c>
      <c r="J135" s="48">
        <v>6.3500000000000001E-2</v>
      </c>
      <c r="K135" s="31">
        <v>16498598049.84</v>
      </c>
      <c r="L135" s="28">
        <f t="shared" si="84"/>
        <v>8.5934536573316171E-3</v>
      </c>
      <c r="M135" s="31">
        <v>172232.22</v>
      </c>
      <c r="N135" s="31">
        <v>172232.22</v>
      </c>
      <c r="O135" s="30">
        <v>434</v>
      </c>
      <c r="P135" s="48">
        <v>1.2999999999999999E-3</v>
      </c>
      <c r="Q135" s="48">
        <v>6.3500000000000001E-2</v>
      </c>
      <c r="R135" s="55">
        <f t="shared" si="85"/>
        <v>1.6009491063577589E-3</v>
      </c>
      <c r="S135" s="55">
        <f t="shared" si="86"/>
        <v>1.3082010520489231E-3</v>
      </c>
      <c r="T135" s="55">
        <f t="shared" si="87"/>
        <v>-0.38264580369843526</v>
      </c>
      <c r="U135" s="55">
        <f t="shared" si="88"/>
        <v>1.0000000000000005E-4</v>
      </c>
      <c r="V135" s="56">
        <f t="shared" si="89"/>
        <v>0</v>
      </c>
    </row>
    <row r="136" spans="1:24">
      <c r="A136" s="142">
        <v>119</v>
      </c>
      <c r="B136" s="140" t="s">
        <v>295</v>
      </c>
      <c r="C136" s="141" t="s">
        <v>296</v>
      </c>
      <c r="D136" s="27">
        <v>191959382.86797199</v>
      </c>
      <c r="E136" s="28">
        <f t="shared" ref="E136" si="90">(D136/$D$110)</f>
        <v>9.1378481490594226E-4</v>
      </c>
      <c r="F136" s="33">
        <v>1501.2521647199999</v>
      </c>
      <c r="G136" s="33">
        <v>1501.2521647199999</v>
      </c>
      <c r="H136" s="30">
        <v>3</v>
      </c>
      <c r="I136" s="48">
        <v>8.2525273364963958E-4</v>
      </c>
      <c r="J136" s="48">
        <v>2.6664785465944862E-2</v>
      </c>
      <c r="K136" s="27">
        <f>124150.12*W133</f>
        <v>191096321.69330797</v>
      </c>
      <c r="L136" s="28">
        <f t="shared" ref="L136" si="91">(K136/$K$110)</f>
        <v>9.1333252397218551E-4</v>
      </c>
      <c r="M136" s="33">
        <f>0.9706*W133</f>
        <v>1493.9823645399999</v>
      </c>
      <c r="N136" s="33">
        <f>0.9706*W133</f>
        <v>1493.9823645399999</v>
      </c>
      <c r="O136" s="30">
        <v>3</v>
      </c>
      <c r="P136" s="48">
        <v>4.0000000000000002E-4</v>
      </c>
      <c r="Q136" s="48">
        <v>2.7099999999999999E-2</v>
      </c>
      <c r="R136" s="54">
        <f t="shared" si="85"/>
        <v>-4.4960614155424043E-3</v>
      </c>
      <c r="S136" s="54">
        <f t="shared" si="86"/>
        <v>-4.8424910556953936E-3</v>
      </c>
      <c r="T136" s="54">
        <f t="shared" si="87"/>
        <v>0</v>
      </c>
      <c r="U136" s="55">
        <f t="shared" si="88"/>
        <v>-4.2525273364963956E-4</v>
      </c>
      <c r="V136" s="56">
        <f t="shared" si="89"/>
        <v>4.3521453405513666E-4</v>
      </c>
    </row>
    <row r="137" spans="1:24">
      <c r="A137" s="142">
        <v>120</v>
      </c>
      <c r="B137" s="140" t="s">
        <v>175</v>
      </c>
      <c r="C137" s="141" t="s">
        <v>65</v>
      </c>
      <c r="D137" s="31">
        <v>9683293357.0861645</v>
      </c>
      <c r="E137" s="28">
        <f t="shared" si="83"/>
        <v>5.0408709829945046E-3</v>
      </c>
      <c r="F137" s="31">
        <v>2017.6537024090417</v>
      </c>
      <c r="G137" s="31">
        <v>2017.6537024090417</v>
      </c>
      <c r="H137" s="30">
        <v>266</v>
      </c>
      <c r="I137" s="48">
        <v>8.9582560362429592E-2</v>
      </c>
      <c r="J137" s="48">
        <v>6.5716634207799843E-2</v>
      </c>
      <c r="K137" s="31">
        <v>9293590432.709631</v>
      </c>
      <c r="L137" s="28">
        <f t="shared" si="84"/>
        <v>4.8406560637729587E-3</v>
      </c>
      <c r="M137" s="31">
        <v>2011.8115455790153</v>
      </c>
      <c r="N137" s="31">
        <v>2011.8115455790153</v>
      </c>
      <c r="O137" s="30">
        <v>269</v>
      </c>
      <c r="P137" s="48">
        <v>6.5371733607698074E-2</v>
      </c>
      <c r="Q137" s="48">
        <v>6.5782219913538609E-2</v>
      </c>
      <c r="R137" s="55">
        <f t="shared" si="85"/>
        <v>-4.0244874342400427E-2</v>
      </c>
      <c r="S137" s="55">
        <f t="shared" si="86"/>
        <v>-2.8955200900189011E-3</v>
      </c>
      <c r="T137" s="54">
        <f t="shared" si="87"/>
        <v>1.1278195488721804E-2</v>
      </c>
      <c r="U137" s="55">
        <f t="shared" si="88"/>
        <v>-2.4210826754731518E-2</v>
      </c>
      <c r="V137" s="56">
        <f t="shared" si="89"/>
        <v>6.5585705738765987E-5</v>
      </c>
    </row>
    <row r="138" spans="1:24">
      <c r="A138" s="142">
        <v>121</v>
      </c>
      <c r="B138" s="140" t="s">
        <v>302</v>
      </c>
      <c r="C138" s="141" t="s">
        <v>37</v>
      </c>
      <c r="D138" s="31">
        <v>96916822118.623322</v>
      </c>
      <c r="E138" s="28">
        <f t="shared" si="83"/>
        <v>5.0452380028773419E-2</v>
      </c>
      <c r="F138" s="31">
        <v>158615.24</v>
      </c>
      <c r="G138" s="31">
        <v>158615.24</v>
      </c>
      <c r="H138" s="30">
        <v>1858</v>
      </c>
      <c r="I138" s="48">
        <v>5.8200000000000002E-2</v>
      </c>
      <c r="J138" s="48">
        <v>4.8228699999999999E-2</v>
      </c>
      <c r="K138" s="31">
        <v>93311605645.030502</v>
      </c>
      <c r="L138" s="28">
        <f t="shared" si="84"/>
        <v>4.8602248286759693E-2</v>
      </c>
      <c r="M138" s="31">
        <f>100*1529.71</f>
        <v>152971</v>
      </c>
      <c r="N138" s="31">
        <f>100*1529.71</f>
        <v>152971</v>
      </c>
      <c r="O138" s="30">
        <v>1863</v>
      </c>
      <c r="P138" s="48">
        <v>5.1400000000000001E-2</v>
      </c>
      <c r="Q138" s="48">
        <v>4.9988499999999998E-2</v>
      </c>
      <c r="R138" s="55">
        <f t="shared" si="85"/>
        <v>-3.7199078496198947E-2</v>
      </c>
      <c r="S138" s="55">
        <f t="shared" si="86"/>
        <v>-3.5584474732692717E-2</v>
      </c>
      <c r="T138" s="55">
        <f t="shared" si="87"/>
        <v>2.691065662002153E-3</v>
      </c>
      <c r="U138" s="55">
        <f t="shared" si="88"/>
        <v>-6.8000000000000005E-3</v>
      </c>
      <c r="V138" s="56">
        <f t="shared" si="89"/>
        <v>1.7597999999999989E-3</v>
      </c>
    </row>
    <row r="139" spans="1:24" ht="15.6">
      <c r="A139" s="142">
        <v>122</v>
      </c>
      <c r="B139" s="140" t="s">
        <v>176</v>
      </c>
      <c r="C139" s="141" t="s">
        <v>132</v>
      </c>
      <c r="D139" s="31">
        <v>1569839396.7099919</v>
      </c>
      <c r="E139" s="28">
        <f t="shared" si="83"/>
        <v>8.1721761089124283E-4</v>
      </c>
      <c r="F139" s="31">
        <v>1717.573596</v>
      </c>
      <c r="G139" s="31">
        <v>1794.9417759999997</v>
      </c>
      <c r="H139" s="30">
        <v>53</v>
      </c>
      <c r="I139" s="48">
        <v>1.9E-3</v>
      </c>
      <c r="J139" s="48">
        <v>9.2299999999999993E-2</v>
      </c>
      <c r="K139" s="31">
        <f>1019838.04*W133</f>
        <v>1569771323.353636</v>
      </c>
      <c r="L139" s="28">
        <f t="shared" si="84"/>
        <v>8.1763050891335684E-4</v>
      </c>
      <c r="M139" s="31">
        <f>1.12*W133</f>
        <v>1723.9442080000001</v>
      </c>
      <c r="N139" s="31">
        <f>1.16*W133</f>
        <v>1785.5136439999997</v>
      </c>
      <c r="O139" s="30">
        <v>53</v>
      </c>
      <c r="P139" s="48">
        <v>1.9E-3</v>
      </c>
      <c r="Q139" s="48">
        <v>9.2299999999999993E-2</v>
      </c>
      <c r="R139" s="55">
        <f t="shared" si="85"/>
        <v>-4.3363261553106015E-5</v>
      </c>
      <c r="S139" s="55">
        <f t="shared" si="86"/>
        <v>-5.2526116033749315E-3</v>
      </c>
      <c r="T139" s="55">
        <f t="shared" si="87"/>
        <v>0</v>
      </c>
      <c r="U139" s="55">
        <f t="shared" si="88"/>
        <v>0</v>
      </c>
      <c r="V139" s="56">
        <f t="shared" si="89"/>
        <v>0</v>
      </c>
      <c r="X139" s="65"/>
    </row>
    <row r="140" spans="1:24" ht="15.6">
      <c r="A140" s="142">
        <v>123</v>
      </c>
      <c r="B140" s="140" t="s">
        <v>177</v>
      </c>
      <c r="C140" s="141" t="s">
        <v>43</v>
      </c>
      <c r="D140" s="27">
        <v>5208227025.9037638</v>
      </c>
      <c r="E140" s="28">
        <f t="shared" si="83"/>
        <v>2.7112676978348037E-3</v>
      </c>
      <c r="F140" s="31">
        <v>16577.030035887998</v>
      </c>
      <c r="G140" s="31">
        <v>16577.030035887998</v>
      </c>
      <c r="H140" s="30">
        <v>139</v>
      </c>
      <c r="I140" s="48">
        <v>7.6499999999999999E-2</v>
      </c>
      <c r="J140" s="48">
        <v>9.6500000000000002E-2</v>
      </c>
      <c r="K140" s="27">
        <f>3446563.1*W133</f>
        <v>5305073655.1352901</v>
      </c>
      <c r="L140" s="28">
        <f t="shared" si="84"/>
        <v>2.7631986952114445E-3</v>
      </c>
      <c r="M140" s="31">
        <f>10.73*W133</f>
        <v>16516.001207000001</v>
      </c>
      <c r="N140" s="31">
        <f>10.73*W133</f>
        <v>16516.001207000001</v>
      </c>
      <c r="O140" s="30">
        <v>134</v>
      </c>
      <c r="P140" s="48">
        <v>7.6799999999999993E-2</v>
      </c>
      <c r="Q140" s="48">
        <v>9.6699999999999994E-2</v>
      </c>
      <c r="R140" s="55">
        <f t="shared" si="85"/>
        <v>1.8594932354109688E-2</v>
      </c>
      <c r="S140" s="55">
        <f t="shared" si="86"/>
        <v>-3.6815297285384516E-3</v>
      </c>
      <c r="T140" s="55">
        <f t="shared" si="87"/>
        <v>-3.5971223021582732E-2</v>
      </c>
      <c r="U140" s="55">
        <f t="shared" si="88"/>
        <v>2.9999999999999472E-4</v>
      </c>
      <c r="V140" s="56">
        <f t="shared" si="89"/>
        <v>1.9999999999999185E-4</v>
      </c>
      <c r="X140" s="65"/>
    </row>
    <row r="141" spans="1:24" ht="15.6">
      <c r="A141" s="142">
        <v>124</v>
      </c>
      <c r="B141" s="141" t="s">
        <v>178</v>
      </c>
      <c r="C141" s="155" t="s">
        <v>47</v>
      </c>
      <c r="D141" s="31">
        <v>25374891004.709999</v>
      </c>
      <c r="E141" s="28">
        <f t="shared" si="83"/>
        <v>1.3209509104532722E-2</v>
      </c>
      <c r="F141" s="31">
        <v>1655.679052</v>
      </c>
      <c r="G141" s="31">
        <v>1655.679052</v>
      </c>
      <c r="H141" s="30">
        <v>460</v>
      </c>
      <c r="I141" s="48">
        <v>3.5000000000000001E-3</v>
      </c>
      <c r="J141" s="48">
        <v>3.0499999999999999E-2</v>
      </c>
      <c r="K141" s="31">
        <v>25532407324.040001</v>
      </c>
      <c r="L141" s="28">
        <f t="shared" si="84"/>
        <v>1.3298800203292421E-2</v>
      </c>
      <c r="M141" s="31">
        <f>1.09*W133</f>
        <v>1677.7671310000001</v>
      </c>
      <c r="N141" s="31">
        <f>1.09*W133</f>
        <v>1677.7671310000001</v>
      </c>
      <c r="O141" s="30">
        <v>460</v>
      </c>
      <c r="P141" s="48">
        <v>1.1900000000000001E-2</v>
      </c>
      <c r="Q141" s="48">
        <v>4.24E-2</v>
      </c>
      <c r="R141" s="55">
        <f t="shared" si="85"/>
        <v>6.2075663418914469E-3</v>
      </c>
      <c r="S141" s="55">
        <f t="shared" si="86"/>
        <v>1.3340797525534017E-2</v>
      </c>
      <c r="T141" s="55">
        <f t="shared" si="87"/>
        <v>0</v>
      </c>
      <c r="U141" s="55">
        <f t="shared" si="88"/>
        <v>8.4000000000000012E-3</v>
      </c>
      <c r="V141" s="56">
        <f t="shared" si="89"/>
        <v>1.1900000000000001E-2</v>
      </c>
      <c r="X141" s="65"/>
    </row>
    <row r="142" spans="1:24">
      <c r="A142" s="142">
        <v>125</v>
      </c>
      <c r="B142" s="140" t="s">
        <v>179</v>
      </c>
      <c r="C142" s="141" t="s">
        <v>89</v>
      </c>
      <c r="D142" s="27">
        <v>435148395.94739997</v>
      </c>
      <c r="E142" s="28">
        <f t="shared" si="83"/>
        <v>2.2652695126938862E-4</v>
      </c>
      <c r="F142" s="31">
        <v>1815.4071000000001</v>
      </c>
      <c r="G142" s="31">
        <v>1815.4071000000001</v>
      </c>
      <c r="H142" s="30">
        <v>2</v>
      </c>
      <c r="I142" s="48">
        <v>6.6610000000000003E-3</v>
      </c>
      <c r="J142" s="48">
        <v>5.2474E-2</v>
      </c>
      <c r="K142" s="27">
        <f>285042.19*1551.63</f>
        <v>442280013.26970005</v>
      </c>
      <c r="L142" s="28">
        <f t="shared" si="84"/>
        <v>2.3036580357408239E-4</v>
      </c>
      <c r="M142" s="31">
        <f>1.19*1545.2</f>
        <v>1838.788</v>
      </c>
      <c r="N142" s="31">
        <f>1.19*1545.2</f>
        <v>1838.788</v>
      </c>
      <c r="O142" s="30">
        <v>2</v>
      </c>
      <c r="P142" s="48">
        <v>1.6389000000000001E-2</v>
      </c>
      <c r="Q142" s="48">
        <v>6.9722999999999993E-2</v>
      </c>
      <c r="R142" s="55">
        <f t="shared" si="85"/>
        <v>1.6388931658068515E-2</v>
      </c>
      <c r="S142" s="55">
        <f t="shared" si="86"/>
        <v>1.287914980612331E-2</v>
      </c>
      <c r="T142" s="55">
        <f t="shared" si="87"/>
        <v>0</v>
      </c>
      <c r="U142" s="55">
        <f t="shared" ref="U142" si="92">P142-I142</f>
        <v>9.7280000000000005E-3</v>
      </c>
      <c r="V142" s="56">
        <f t="shared" ref="V142" si="93">Q142-J142</f>
        <v>1.7248999999999994E-2</v>
      </c>
    </row>
    <row r="143" spans="1:24">
      <c r="A143" s="142">
        <v>126</v>
      </c>
      <c r="B143" s="140" t="s">
        <v>305</v>
      </c>
      <c r="C143" s="141" t="s">
        <v>303</v>
      </c>
      <c r="D143" s="27">
        <v>651622756.26346147</v>
      </c>
      <c r="E143" s="28">
        <f t="shared" si="83"/>
        <v>3.3921787998952136E-4</v>
      </c>
      <c r="F143" s="31">
        <v>1574.1329902800001</v>
      </c>
      <c r="G143" s="31">
        <v>1574.1329902800001</v>
      </c>
      <c r="H143" s="30">
        <v>5</v>
      </c>
      <c r="I143" s="48">
        <v>8.2400000000000001E-2</v>
      </c>
      <c r="J143" s="48">
        <v>6.2600000000000003E-2</v>
      </c>
      <c r="K143" s="27">
        <f>426172.38*W133</f>
        <v>655979826.88444197</v>
      </c>
      <c r="L143" s="28">
        <f t="shared" si="84"/>
        <v>3.4167340918585118E-4</v>
      </c>
      <c r="M143" s="31">
        <f>1.0189*W133</f>
        <v>1568.3274585099998</v>
      </c>
      <c r="N143" s="31">
        <f>1.0189*W133</f>
        <v>1568.3274585099998</v>
      </c>
      <c r="O143" s="30">
        <v>6</v>
      </c>
      <c r="P143" s="48">
        <v>8.1900000000000001E-2</v>
      </c>
      <c r="Q143" s="48">
        <v>6.3899999999999998E-2</v>
      </c>
      <c r="R143" s="55">
        <f t="shared" ref="R143" si="94">((K143-D143)/D143)</f>
        <v>6.6864924208062315E-3</v>
      </c>
      <c r="S143" s="55">
        <f t="shared" ref="S143" si="95">((N143-G143)/G143)</f>
        <v>-3.6880821416286945E-3</v>
      </c>
      <c r="T143" s="55">
        <f t="shared" si="87"/>
        <v>0.2</v>
      </c>
      <c r="U143" s="55">
        <f t="shared" si="88"/>
        <v>-5.0000000000000044E-4</v>
      </c>
      <c r="V143" s="56">
        <f t="shared" si="89"/>
        <v>1.2999999999999956E-3</v>
      </c>
    </row>
    <row r="144" spans="1:24">
      <c r="A144" s="142">
        <v>127</v>
      </c>
      <c r="B144" s="140" t="s">
        <v>180</v>
      </c>
      <c r="C144" s="141" t="s">
        <v>49</v>
      </c>
      <c r="D144" s="27">
        <v>1068469131537.71</v>
      </c>
      <c r="E144" s="28">
        <f t="shared" si="83"/>
        <v>0.55621727472010685</v>
      </c>
      <c r="F144" s="31">
        <v>2521.86</v>
      </c>
      <c r="G144" s="31">
        <v>2521.86</v>
      </c>
      <c r="H144" s="30">
        <v>11183</v>
      </c>
      <c r="I144" s="48">
        <v>1.2999999999999999E-3</v>
      </c>
      <c r="J144" s="48">
        <v>3.2199999999999999E-2</v>
      </c>
      <c r="K144" s="27">
        <v>1068224377452.3101</v>
      </c>
      <c r="L144" s="28">
        <f t="shared" si="84"/>
        <v>0.55639495280372431</v>
      </c>
      <c r="M144" s="31">
        <v>2514.66</v>
      </c>
      <c r="N144" s="31">
        <v>2514.66</v>
      </c>
      <c r="O144" s="30">
        <v>11240</v>
      </c>
      <c r="P144" s="48">
        <v>1.2999999999999999E-3</v>
      </c>
      <c r="Q144" s="48">
        <v>3.3500000000000002E-2</v>
      </c>
      <c r="R144" s="55">
        <f t="shared" si="85"/>
        <v>-2.2906987031778758E-4</v>
      </c>
      <c r="S144" s="55">
        <f t="shared" si="86"/>
        <v>-2.8550355689849049E-3</v>
      </c>
      <c r="T144" s="55">
        <f t="shared" si="87"/>
        <v>5.0970222659393726E-3</v>
      </c>
      <c r="U144" s="55">
        <f t="shared" si="88"/>
        <v>0</v>
      </c>
      <c r="V144" s="56">
        <f t="shared" si="89"/>
        <v>1.3000000000000025E-3</v>
      </c>
    </row>
    <row r="145" spans="1:22">
      <c r="A145" s="142">
        <v>128</v>
      </c>
      <c r="B145" s="140" t="s">
        <v>287</v>
      </c>
      <c r="C145" s="140" t="s">
        <v>99</v>
      </c>
      <c r="D145" s="27">
        <v>487967331.661672</v>
      </c>
      <c r="E145" s="28">
        <f t="shared" si="83"/>
        <v>2.5402311714769322E-4</v>
      </c>
      <c r="F145" s="31">
        <v>159734.34442799998</v>
      </c>
      <c r="G145" s="31">
        <v>159734.34442799998</v>
      </c>
      <c r="H145" s="30">
        <v>24</v>
      </c>
      <c r="I145" s="48">
        <v>0</v>
      </c>
      <c r="J145" s="48">
        <v>7.3499999999999996E-2</v>
      </c>
      <c r="K145" s="27">
        <f>315819.67*W133</f>
        <v>486120973.99015296</v>
      </c>
      <c r="L145" s="28">
        <f t="shared" si="84"/>
        <v>2.5320079010481743E-4</v>
      </c>
      <c r="M145" s="31">
        <f>103.35*W133</f>
        <v>159080.03026499998</v>
      </c>
      <c r="N145" s="31">
        <f>103.35*W133</f>
        <v>159080.03026499998</v>
      </c>
      <c r="O145" s="30">
        <v>24</v>
      </c>
      <c r="P145" s="48">
        <v>0</v>
      </c>
      <c r="Q145" s="48">
        <v>7.4300000000000005E-2</v>
      </c>
      <c r="R145" s="55">
        <f t="shared" ref="R145" si="96">((K145-D145)/D145)</f>
        <v>-3.7837731170069339E-3</v>
      </c>
      <c r="S145" s="55">
        <f t="shared" ref="S145" si="97">((N145-G145)/G145)</f>
        <v>-4.0962647409551545E-3</v>
      </c>
      <c r="T145" s="55">
        <f t="shared" ref="T145" si="98">((O145-H145)/H145)</f>
        <v>0</v>
      </c>
      <c r="U145" s="55">
        <f t="shared" ref="U145" si="99">P145-I145</f>
        <v>0</v>
      </c>
      <c r="V145" s="56">
        <f t="shared" ref="V145" si="100">Q145-J145</f>
        <v>8.0000000000000904E-4</v>
      </c>
    </row>
    <row r="146" spans="1:22" ht="16.5" customHeight="1">
      <c r="A146" s="142">
        <v>129</v>
      </c>
      <c r="B146" s="140" t="s">
        <v>181</v>
      </c>
      <c r="C146" s="141" t="s">
        <v>52</v>
      </c>
      <c r="D146" s="27">
        <v>183469848724.00079</v>
      </c>
      <c r="E146" s="28">
        <f t="shared" si="83"/>
        <v>9.5509637329164468E-2</v>
      </c>
      <c r="F146" s="31">
        <v>1850.7842640000003</v>
      </c>
      <c r="G146" s="31">
        <v>1850.7842640000003</v>
      </c>
      <c r="H146" s="30">
        <v>726</v>
      </c>
      <c r="I146" s="48">
        <v>6.7799999999999999E-2</v>
      </c>
      <c r="J146" s="48">
        <v>8.9499999999999996E-2</v>
      </c>
      <c r="K146" s="27">
        <f>118453286.27*1550.29</f>
        <v>183636945171.51828</v>
      </c>
      <c r="L146" s="28">
        <f t="shared" si="84"/>
        <v>9.5649071111268955E-2</v>
      </c>
      <c r="M146" s="31">
        <f>1.196*1550.29</f>
        <v>1854.1468399999999</v>
      </c>
      <c r="N146" s="31">
        <f>1.196*1550.29</f>
        <v>1854.1468399999999</v>
      </c>
      <c r="O146" s="30">
        <v>735</v>
      </c>
      <c r="P146" s="48">
        <v>0.14990000000000001</v>
      </c>
      <c r="Q146" s="48">
        <v>9.1899999999999996E-2</v>
      </c>
      <c r="R146" s="55">
        <f t="shared" si="85"/>
        <v>9.10756991841503E-4</v>
      </c>
      <c r="S146" s="55">
        <f t="shared" si="86"/>
        <v>1.816838442710865E-3</v>
      </c>
      <c r="T146" s="55">
        <f t="shared" si="87"/>
        <v>1.2396694214876033E-2</v>
      </c>
      <c r="U146" s="55">
        <f t="shared" si="88"/>
        <v>8.2100000000000006E-2</v>
      </c>
      <c r="V146" s="56">
        <f t="shared" si="89"/>
        <v>2.3999999999999994E-3</v>
      </c>
    </row>
    <row r="147" spans="1:22" ht="16.5" customHeight="1">
      <c r="A147" s="142">
        <v>130</v>
      </c>
      <c r="B147" s="140" t="s">
        <v>182</v>
      </c>
      <c r="C147" s="141" t="s">
        <v>94</v>
      </c>
      <c r="D147" s="31">
        <v>1181223690.1731386</v>
      </c>
      <c r="E147" s="28">
        <v>0</v>
      </c>
      <c r="F147" s="31">
        <v>164550.3615</v>
      </c>
      <c r="G147" s="31">
        <v>164550.3615</v>
      </c>
      <c r="H147" s="30">
        <v>25</v>
      </c>
      <c r="I147" s="48">
        <v>1.1999999999999999E-3</v>
      </c>
      <c r="J147" s="48">
        <v>6.3399999999999998E-2</v>
      </c>
      <c r="K147" s="31">
        <v>1173303330.1835785</v>
      </c>
      <c r="L147" s="28">
        <f t="shared" si="84"/>
        <v>6.1112633712676089E-4</v>
      </c>
      <c r="M147" s="31">
        <v>164100.24000000002</v>
      </c>
      <c r="N147" s="31">
        <v>164100.24000000002</v>
      </c>
      <c r="O147" s="30">
        <v>26</v>
      </c>
      <c r="P147" s="48">
        <v>1.4E-3</v>
      </c>
      <c r="Q147" s="48">
        <v>6.3899999999999998E-2</v>
      </c>
      <c r="R147" s="55">
        <f t="shared" si="85"/>
        <v>-6.7052160022283295E-3</v>
      </c>
      <c r="S147" s="55">
        <f t="shared" si="86"/>
        <v>-2.7354634526280228E-3</v>
      </c>
      <c r="T147" s="55">
        <f t="shared" si="87"/>
        <v>0.04</v>
      </c>
      <c r="U147" s="55">
        <f t="shared" si="88"/>
        <v>2.0000000000000009E-4</v>
      </c>
      <c r="V147" s="56">
        <f t="shared" si="89"/>
        <v>5.0000000000000044E-4</v>
      </c>
    </row>
    <row r="148" spans="1:22" ht="16.5" customHeight="1">
      <c r="A148" s="142">
        <v>131</v>
      </c>
      <c r="B148" s="140" t="s">
        <v>307</v>
      </c>
      <c r="C148" s="141" t="s">
        <v>105</v>
      </c>
      <c r="D148" s="31">
        <v>814434328.29229999</v>
      </c>
      <c r="E148" s="28"/>
      <c r="F148" s="31">
        <v>1593.784508</v>
      </c>
      <c r="G148" s="31">
        <v>1593.784508</v>
      </c>
      <c r="H148" s="30">
        <v>17</v>
      </c>
      <c r="I148" s="48">
        <v>7.8899999999999998E-2</v>
      </c>
      <c r="J148" s="48">
        <v>7.9100000000000004E-2</v>
      </c>
      <c r="K148" s="31">
        <f>534371.9*W133</f>
        <v>822524412.43121004</v>
      </c>
      <c r="L148" s="28">
        <f t="shared" si="84"/>
        <v>4.2841976020623572E-4</v>
      </c>
      <c r="M148" s="31">
        <f>1.04*W133</f>
        <v>1600.8053359999999</v>
      </c>
      <c r="N148" s="31">
        <f>1.04*W133</f>
        <v>1600.8053359999999</v>
      </c>
      <c r="O148" s="30">
        <v>19</v>
      </c>
      <c r="P148" s="48">
        <v>7.5200000000000003E-2</v>
      </c>
      <c r="Q148" s="48">
        <v>7.0099999999999996E-2</v>
      </c>
      <c r="R148" s="55">
        <f t="shared" ref="R148" si="101">((K148-D148)/D148)</f>
        <v>9.9333781225470746E-3</v>
      </c>
      <c r="S148" s="55">
        <f t="shared" ref="S148" si="102">((N148-G148)/G148)</f>
        <v>4.4051300315437235E-3</v>
      </c>
      <c r="T148" s="55">
        <f t="shared" si="87"/>
        <v>0.11764705882352941</v>
      </c>
      <c r="U148" s="55">
        <f t="shared" si="88"/>
        <v>-3.699999999999995E-3</v>
      </c>
      <c r="V148" s="56">
        <f t="shared" si="89"/>
        <v>-9.000000000000008E-3</v>
      </c>
    </row>
    <row r="149" spans="1:22">
      <c r="A149" s="142">
        <v>132</v>
      </c>
      <c r="B149" s="140" t="s">
        <v>183</v>
      </c>
      <c r="C149" s="141" t="s">
        <v>107</v>
      </c>
      <c r="D149" s="31">
        <v>1731468472.392556</v>
      </c>
      <c r="E149" s="28">
        <f>(D149/$D$150)</f>
        <v>9.0135750912330773E-4</v>
      </c>
      <c r="F149" s="31">
        <v>1965.1517719999999</v>
      </c>
      <c r="G149" s="31">
        <v>1965.1517719999999</v>
      </c>
      <c r="H149" s="30">
        <v>99</v>
      </c>
      <c r="I149" s="48">
        <v>-1.4841E-2</v>
      </c>
      <c r="J149" s="48">
        <v>1.9505999999999999E-2</v>
      </c>
      <c r="K149" s="31">
        <f>1194605.1*W133</f>
        <v>1838779056.2430899</v>
      </c>
      <c r="L149" s="28">
        <f t="shared" si="84"/>
        <v>9.5774577683285041E-4</v>
      </c>
      <c r="M149" s="31">
        <f>1.31*W133</f>
        <v>2016.3990289999999</v>
      </c>
      <c r="N149" s="31">
        <f>1.31*W133</f>
        <v>2016.3990289999999</v>
      </c>
      <c r="O149" s="30">
        <v>99</v>
      </c>
      <c r="P149" s="48">
        <v>2.9687000000000002E-2</v>
      </c>
      <c r="Q149" s="48">
        <v>5.1007999999999998E-2</v>
      </c>
      <c r="R149" s="55">
        <f t="shared" si="85"/>
        <v>6.1976631721310758E-2</v>
      </c>
      <c r="S149" s="55">
        <f t="shared" si="86"/>
        <v>2.6078014802817986E-2</v>
      </c>
      <c r="T149" s="55">
        <f t="shared" si="87"/>
        <v>0</v>
      </c>
      <c r="U149" s="55">
        <f t="shared" si="88"/>
        <v>4.4527999999999998E-2</v>
      </c>
      <c r="V149" s="56">
        <f t="shared" si="89"/>
        <v>3.1502000000000002E-2</v>
      </c>
    </row>
    <row r="150" spans="1:22">
      <c r="A150" s="34"/>
      <c r="B150" s="35"/>
      <c r="C150" s="69" t="s">
        <v>53</v>
      </c>
      <c r="D150" s="46">
        <f>SUM(D114:D149)</f>
        <v>1920956396176.9661</v>
      </c>
      <c r="E150" s="38">
        <f>(D150/$D$222)</f>
        <v>0.33243335236062604</v>
      </c>
      <c r="F150" s="39"/>
      <c r="G150" s="43"/>
      <c r="H150" s="41">
        <f>SUM(H114:H149)</f>
        <v>25341</v>
      </c>
      <c r="I150" s="78"/>
      <c r="J150" s="78"/>
      <c r="K150" s="46">
        <f>SUM(K114:K149)</f>
        <v>1919903068979.0251</v>
      </c>
      <c r="L150" s="38">
        <f>(K150/$K$222)</f>
        <v>0.33031894175721827</v>
      </c>
      <c r="M150" s="39"/>
      <c r="N150" s="43"/>
      <c r="O150" s="41">
        <f>SUM(O114:O149)</f>
        <v>25197</v>
      </c>
      <c r="P150" s="78"/>
      <c r="Q150" s="78"/>
      <c r="R150" s="55">
        <f t="shared" si="85"/>
        <v>-5.4833477742504745E-4</v>
      </c>
      <c r="S150" s="55" t="e">
        <f t="shared" si="86"/>
        <v>#DIV/0!</v>
      </c>
      <c r="T150" s="55">
        <f t="shared" si="87"/>
        <v>-5.6824908251450219E-3</v>
      </c>
      <c r="U150" s="55">
        <f t="shared" si="88"/>
        <v>0</v>
      </c>
      <c r="V150" s="56">
        <f t="shared" si="89"/>
        <v>0</v>
      </c>
    </row>
    <row r="151" spans="1:22" ht="6" customHeight="1">
      <c r="A151" s="34"/>
      <c r="B151" s="162"/>
      <c r="C151" s="162"/>
      <c r="D151" s="162"/>
      <c r="E151" s="162"/>
      <c r="F151" s="162"/>
      <c r="G151" s="162"/>
      <c r="H151" s="162"/>
      <c r="I151" s="162"/>
      <c r="J151" s="162"/>
      <c r="K151" s="162"/>
      <c r="L151" s="162"/>
      <c r="M151" s="162"/>
      <c r="N151" s="162"/>
      <c r="O151" s="162"/>
      <c r="P151" s="162"/>
      <c r="Q151" s="162"/>
      <c r="R151" s="162"/>
      <c r="S151" s="162"/>
      <c r="T151" s="162"/>
      <c r="U151" s="162"/>
      <c r="V151" s="162"/>
    </row>
    <row r="152" spans="1:22">
      <c r="A152" s="164" t="s">
        <v>184</v>
      </c>
      <c r="B152" s="164"/>
      <c r="C152" s="164"/>
      <c r="D152" s="164"/>
      <c r="E152" s="164"/>
      <c r="F152" s="164"/>
      <c r="G152" s="164"/>
      <c r="H152" s="164"/>
      <c r="I152" s="164"/>
      <c r="J152" s="164"/>
      <c r="K152" s="164"/>
      <c r="L152" s="164"/>
      <c r="M152" s="164"/>
      <c r="N152" s="164"/>
      <c r="O152" s="164"/>
      <c r="P152" s="164"/>
      <c r="Q152" s="164"/>
      <c r="R152" s="164"/>
      <c r="S152" s="164"/>
      <c r="T152" s="164"/>
      <c r="U152" s="164"/>
      <c r="V152" s="164"/>
    </row>
    <row r="153" spans="1:22">
      <c r="A153" s="142">
        <v>133</v>
      </c>
      <c r="B153" s="140" t="s">
        <v>185</v>
      </c>
      <c r="C153" s="141" t="s">
        <v>186</v>
      </c>
      <c r="D153" s="70">
        <v>2436074546.3708405</v>
      </c>
      <c r="E153" s="28">
        <f>(D153/$D$159)</f>
        <v>6.7945089084632225E-3</v>
      </c>
      <c r="F153" s="58">
        <v>114.8008740042809</v>
      </c>
      <c r="G153" s="58">
        <v>114.8008740042809</v>
      </c>
      <c r="H153" s="30">
        <v>8</v>
      </c>
      <c r="I153" s="48">
        <v>2.5999999999999999E-3</v>
      </c>
      <c r="J153" s="48">
        <v>8.8800517252209943E-2</v>
      </c>
      <c r="K153" s="70">
        <v>2442408340.1914043</v>
      </c>
      <c r="L153" s="28">
        <f>(K153/$K$159)</f>
        <v>6.8150410886106847E-3</v>
      </c>
      <c r="M153" s="58">
        <v>115.09935627669201</v>
      </c>
      <c r="N153" s="58">
        <v>115.09935627669201</v>
      </c>
      <c r="O153" s="30">
        <v>8</v>
      </c>
      <c r="P153" s="48">
        <v>2.5999999999999999E-3</v>
      </c>
      <c r="Q153" s="48">
        <v>9.1600000000000001E-2</v>
      </c>
      <c r="R153" s="55">
        <f t="shared" ref="R153:R159" si="103">((K153-D153)/D153)</f>
        <v>2.599999999999839E-3</v>
      </c>
      <c r="S153" s="55">
        <f t="shared" ref="S153:T159" si="104">((N153-G153)/G153)</f>
        <v>2.5999999999997961E-3</v>
      </c>
      <c r="T153" s="55">
        <f t="shared" si="104"/>
        <v>0</v>
      </c>
      <c r="U153" s="55">
        <f t="shared" ref="U153:V159" si="105">P153-I153</f>
        <v>0</v>
      </c>
      <c r="V153" s="56">
        <f t="shared" si="105"/>
        <v>2.799482747790058E-3</v>
      </c>
    </row>
    <row r="154" spans="1:22">
      <c r="A154" s="142">
        <v>134</v>
      </c>
      <c r="B154" s="140" t="s">
        <v>314</v>
      </c>
      <c r="C154" s="141" t="s">
        <v>23</v>
      </c>
      <c r="D154" s="70">
        <v>256995505487.69</v>
      </c>
      <c r="E154" s="28">
        <v>0</v>
      </c>
      <c r="F154" s="58">
        <v>102.79819999999999</v>
      </c>
      <c r="G154" s="58">
        <v>102.79819999999999</v>
      </c>
      <c r="H154" s="30">
        <v>45</v>
      </c>
      <c r="I154" s="48">
        <v>0.17899999999999999</v>
      </c>
      <c r="J154" s="48">
        <v>0.1075</v>
      </c>
      <c r="K154" s="70">
        <v>257777523299.63</v>
      </c>
      <c r="L154" s="28">
        <f t="shared" ref="L154:L155" si="106">(K154/$K$159)</f>
        <v>0.71927547253200264</v>
      </c>
      <c r="M154" s="58">
        <v>103.111</v>
      </c>
      <c r="N154" s="58">
        <v>103.111</v>
      </c>
      <c r="O154" s="30">
        <v>45</v>
      </c>
      <c r="P154" s="48">
        <v>0.15870000000000001</v>
      </c>
      <c r="Q154" s="48">
        <v>0.1113</v>
      </c>
      <c r="R154" s="55">
        <f t="shared" ref="R154" si="107">((K154-D154)/D154)</f>
        <v>3.0429240793764033E-3</v>
      </c>
      <c r="S154" s="55">
        <f t="shared" ref="S154" si="108">((N154-G154)/G154)</f>
        <v>3.0428548359797154E-3</v>
      </c>
      <c r="T154" s="55">
        <f t="shared" ref="T154" si="109">((O154-H154)/H154)</f>
        <v>0</v>
      </c>
      <c r="U154" s="55">
        <f t="shared" ref="U154" si="110">P154-I154</f>
        <v>-2.0299999999999985E-2</v>
      </c>
      <c r="V154" s="56">
        <f t="shared" ref="V154" si="111">Q154-J154</f>
        <v>3.7999999999999978E-3</v>
      </c>
    </row>
    <row r="155" spans="1:22">
      <c r="A155" s="142">
        <v>135</v>
      </c>
      <c r="B155" s="140" t="s">
        <v>187</v>
      </c>
      <c r="C155" s="141" t="s">
        <v>47</v>
      </c>
      <c r="D155" s="27">
        <v>54160728474</v>
      </c>
      <c r="E155" s="28">
        <f>(D155/$D$159)</f>
        <v>0.15106087482161609</v>
      </c>
      <c r="F155" s="58">
        <v>102.07</v>
      </c>
      <c r="G155" s="58">
        <v>102.07</v>
      </c>
      <c r="H155" s="30">
        <v>645</v>
      </c>
      <c r="I155" s="48">
        <v>8.3900000000000002E-2</v>
      </c>
      <c r="J155" s="48">
        <v>8.3900000000000002E-2</v>
      </c>
      <c r="K155" s="27">
        <v>54160728474</v>
      </c>
      <c r="L155" s="28">
        <f t="shared" si="106"/>
        <v>0.1511244388849699</v>
      </c>
      <c r="M155" s="58">
        <v>102.07</v>
      </c>
      <c r="N155" s="58">
        <v>102.07</v>
      </c>
      <c r="O155" s="30">
        <v>645</v>
      </c>
      <c r="P155" s="48">
        <v>8.3900000000000002E-2</v>
      </c>
      <c r="Q155" s="48">
        <v>8.3900000000000002E-2</v>
      </c>
      <c r="R155" s="55">
        <f t="shared" si="103"/>
        <v>0</v>
      </c>
      <c r="S155" s="55">
        <f t="shared" si="104"/>
        <v>0</v>
      </c>
      <c r="T155" s="55">
        <f t="shared" si="104"/>
        <v>0</v>
      </c>
      <c r="U155" s="55">
        <f t="shared" si="105"/>
        <v>0</v>
      </c>
      <c r="V155" s="56">
        <f t="shared" si="105"/>
        <v>0</v>
      </c>
    </row>
    <row r="156" spans="1:22" ht="15.75" customHeight="1">
      <c r="A156" s="142">
        <v>136</v>
      </c>
      <c r="B156" s="140" t="s">
        <v>188</v>
      </c>
      <c r="C156" s="141" t="s">
        <v>142</v>
      </c>
      <c r="D156" s="27">
        <v>2504049111.8193231</v>
      </c>
      <c r="E156" s="28">
        <f>(D156/$D$159)</f>
        <v>6.9840982587467274E-3</v>
      </c>
      <c r="F156" s="58">
        <v>226.6</v>
      </c>
      <c r="G156" s="58">
        <v>226.6</v>
      </c>
      <c r="H156" s="30">
        <v>3250</v>
      </c>
      <c r="I156" s="48">
        <v>0.15152729462106534</v>
      </c>
      <c r="J156" s="48">
        <v>5.5161349728447773E-2</v>
      </c>
      <c r="K156" s="27">
        <v>2510926838.9709167</v>
      </c>
      <c r="L156" s="28">
        <f>(K156/$K$159)</f>
        <v>7.006227949885366E-3</v>
      </c>
      <c r="M156" s="58">
        <v>249.25</v>
      </c>
      <c r="N156" s="58">
        <v>249.25</v>
      </c>
      <c r="O156" s="30">
        <v>3250</v>
      </c>
      <c r="P156" s="48">
        <v>5.7661072219455045E-2</v>
      </c>
      <c r="Q156" s="48">
        <v>0.17294013080605133</v>
      </c>
      <c r="R156" s="55">
        <f t="shared" si="103"/>
        <v>2.7466422759562631E-3</v>
      </c>
      <c r="S156" s="55">
        <f t="shared" si="104"/>
        <v>9.9955869373345135E-2</v>
      </c>
      <c r="T156" s="55">
        <f t="shared" si="104"/>
        <v>0</v>
      </c>
      <c r="U156" s="55">
        <f t="shared" si="105"/>
        <v>-9.38662224016103E-2</v>
      </c>
      <c r="V156" s="56">
        <f t="shared" si="105"/>
        <v>0.11777878107760356</v>
      </c>
    </row>
    <row r="157" spans="1:22">
      <c r="A157" s="142">
        <v>137</v>
      </c>
      <c r="B157" s="140" t="s">
        <v>189</v>
      </c>
      <c r="C157" s="141" t="s">
        <v>142</v>
      </c>
      <c r="D157" s="27">
        <v>11077523985.57</v>
      </c>
      <c r="E157" s="28">
        <f>(D157/$D$159)</f>
        <v>3.0896564933039078E-2</v>
      </c>
      <c r="F157" s="58">
        <v>50.25</v>
      </c>
      <c r="G157" s="58">
        <v>50.25</v>
      </c>
      <c r="H157" s="30">
        <v>5344</v>
      </c>
      <c r="I157" s="48">
        <v>5.0485257843658982E-2</v>
      </c>
      <c r="J157" s="48">
        <v>0.13786860311473229</v>
      </c>
      <c r="K157" s="27">
        <v>10146871522.49</v>
      </c>
      <c r="L157" s="28">
        <f>(K157/$K$159)</f>
        <v>2.8312770313093438E-2</v>
      </c>
      <c r="M157" s="58">
        <v>50.25</v>
      </c>
      <c r="N157" s="58">
        <v>50.25</v>
      </c>
      <c r="O157" s="30">
        <v>5344</v>
      </c>
      <c r="P157" s="48">
        <v>0.15584587100133171</v>
      </c>
      <c r="Q157" s="48">
        <v>5.0485257843658982E-2</v>
      </c>
      <c r="R157" s="55">
        <f t="shared" si="103"/>
        <v>-8.4012678671903845E-2</v>
      </c>
      <c r="S157" s="55">
        <f t="shared" si="104"/>
        <v>0</v>
      </c>
      <c r="T157" s="55">
        <f t="shared" si="104"/>
        <v>0</v>
      </c>
      <c r="U157" s="55">
        <f t="shared" si="105"/>
        <v>0.10536061315767273</v>
      </c>
      <c r="V157" s="56">
        <f t="shared" si="105"/>
        <v>-8.7383345271073304E-2</v>
      </c>
    </row>
    <row r="158" spans="1:22">
      <c r="A158" s="142">
        <v>138</v>
      </c>
      <c r="B158" s="140" t="s">
        <v>190</v>
      </c>
      <c r="C158" s="141" t="s">
        <v>49</v>
      </c>
      <c r="D158" s="27">
        <v>31361897681.919998</v>
      </c>
      <c r="E158" s="28">
        <f>(D158/$D$159)</f>
        <v>8.7472156179936256E-2</v>
      </c>
      <c r="F158" s="58">
        <v>6</v>
      </c>
      <c r="G158" s="58">
        <v>6</v>
      </c>
      <c r="H158" s="30">
        <v>208345</v>
      </c>
      <c r="I158" s="48">
        <v>0</v>
      </c>
      <c r="J158" s="48">
        <v>0.2</v>
      </c>
      <c r="K158" s="27">
        <v>31346517995.830002</v>
      </c>
      <c r="L158" s="28">
        <f>(K158/$K$159)</f>
        <v>8.7466049231437831E-2</v>
      </c>
      <c r="M158" s="58">
        <v>6.3</v>
      </c>
      <c r="N158" s="58">
        <v>6.3</v>
      </c>
      <c r="O158" s="30">
        <v>208345</v>
      </c>
      <c r="P158" s="48">
        <v>0.05</v>
      </c>
      <c r="Q158" s="48">
        <v>0.26</v>
      </c>
      <c r="R158" s="55">
        <f t="shared" si="103"/>
        <v>-4.9039398846271543E-4</v>
      </c>
      <c r="S158" s="55">
        <f t="shared" si="104"/>
        <v>4.9999999999999968E-2</v>
      </c>
      <c r="T158" s="55">
        <f t="shared" si="104"/>
        <v>0</v>
      </c>
      <c r="U158" s="55">
        <f t="shared" si="105"/>
        <v>0.05</v>
      </c>
      <c r="V158" s="56">
        <f t="shared" si="105"/>
        <v>0.06</v>
      </c>
    </row>
    <row r="159" spans="1:22">
      <c r="A159" s="34"/>
      <c r="B159" s="71"/>
      <c r="C159" s="36" t="s">
        <v>53</v>
      </c>
      <c r="D159" s="37">
        <f>SUM(D153:D158)</f>
        <v>358535779287.37018</v>
      </c>
      <c r="E159" s="38">
        <f>(D159/$D$222)</f>
        <v>6.2046827969097634E-2</v>
      </c>
      <c r="F159" s="39"/>
      <c r="G159" s="72"/>
      <c r="H159" s="41">
        <f>SUM(H153:H158)</f>
        <v>217637</v>
      </c>
      <c r="I159" s="79"/>
      <c r="J159" s="79"/>
      <c r="K159" s="37">
        <f>SUM(K153:K158)</f>
        <v>358384976471.11237</v>
      </c>
      <c r="L159" s="38">
        <f>(K159/$K$222)</f>
        <v>6.1660064032595552E-2</v>
      </c>
      <c r="M159" s="39"/>
      <c r="N159" s="72"/>
      <c r="O159" s="41">
        <f>SUM(O153:O158)</f>
        <v>217637</v>
      </c>
      <c r="P159" s="79"/>
      <c r="Q159" s="79"/>
      <c r="R159" s="55">
        <f t="shared" si="103"/>
        <v>-4.2060743995355192E-4</v>
      </c>
      <c r="S159" s="55" t="e">
        <f t="shared" si="104"/>
        <v>#DIV/0!</v>
      </c>
      <c r="T159" s="55">
        <f t="shared" si="104"/>
        <v>0</v>
      </c>
      <c r="U159" s="55">
        <f t="shared" si="105"/>
        <v>0</v>
      </c>
      <c r="V159" s="56">
        <f t="shared" si="105"/>
        <v>0</v>
      </c>
    </row>
    <row r="160" spans="1:22" ht="5.25" customHeight="1">
      <c r="A160" s="34"/>
      <c r="B160" s="162"/>
      <c r="C160" s="162"/>
      <c r="D160" s="162"/>
      <c r="E160" s="162"/>
      <c r="F160" s="162"/>
      <c r="G160" s="162"/>
      <c r="H160" s="162"/>
      <c r="I160" s="162"/>
      <c r="J160" s="162"/>
      <c r="K160" s="162"/>
      <c r="L160" s="162"/>
      <c r="M160" s="162"/>
      <c r="N160" s="162"/>
      <c r="O160" s="162"/>
      <c r="P160" s="162"/>
      <c r="Q160" s="162"/>
      <c r="R160" s="162"/>
      <c r="S160" s="162"/>
      <c r="T160" s="162"/>
      <c r="U160" s="162"/>
      <c r="V160" s="162"/>
    </row>
    <row r="161" spans="1:22" ht="15" customHeight="1">
      <c r="A161" s="164" t="s">
        <v>191</v>
      </c>
      <c r="B161" s="164"/>
      <c r="C161" s="164"/>
      <c r="D161" s="164"/>
      <c r="E161" s="164"/>
      <c r="F161" s="164"/>
      <c r="G161" s="164"/>
      <c r="H161" s="164"/>
      <c r="I161" s="164"/>
      <c r="J161" s="164"/>
      <c r="K161" s="164"/>
      <c r="L161" s="164"/>
      <c r="M161" s="164"/>
      <c r="N161" s="164"/>
      <c r="O161" s="164"/>
      <c r="P161" s="164"/>
      <c r="Q161" s="164"/>
      <c r="R161" s="164"/>
      <c r="S161" s="164"/>
      <c r="T161" s="164"/>
      <c r="U161" s="164"/>
      <c r="V161" s="164"/>
    </row>
    <row r="162" spans="1:22">
      <c r="A162" s="143">
        <v>139</v>
      </c>
      <c r="B162" s="140" t="s">
        <v>192</v>
      </c>
      <c r="C162" s="141" t="s">
        <v>57</v>
      </c>
      <c r="D162" s="31">
        <v>309553316.79000002</v>
      </c>
      <c r="E162" s="28">
        <f t="shared" ref="E162:E189" si="112">(D162/$D$190)</f>
        <v>4.8633050721526927E-3</v>
      </c>
      <c r="F162" s="31">
        <v>6.5633999999999997</v>
      </c>
      <c r="G162" s="31">
        <v>6.6448</v>
      </c>
      <c r="H162" s="32">
        <v>11844</v>
      </c>
      <c r="I162" s="49">
        <v>7.4390000000000003E-3</v>
      </c>
      <c r="J162" s="49">
        <v>0.14860699999999999</v>
      </c>
      <c r="K162" s="31">
        <v>316584440.38</v>
      </c>
      <c r="L162" s="52">
        <f t="shared" ref="L162:L189" si="113">(K162/$K$190)</f>
        <v>4.8155956251420273E-3</v>
      </c>
      <c r="M162" s="31">
        <v>6.7027999999999999</v>
      </c>
      <c r="N162" s="31">
        <v>6.8002000000000002</v>
      </c>
      <c r="O162" s="32">
        <v>11844</v>
      </c>
      <c r="P162" s="49">
        <v>2.4399000000000001E-2</v>
      </c>
      <c r="Q162" s="49">
        <v>0.17300599999999999</v>
      </c>
      <c r="R162" s="55">
        <f>((K162-D162)/D162)</f>
        <v>2.2713772421859933E-2</v>
      </c>
      <c r="S162" s="55">
        <f>((N162-G162)/G162)</f>
        <v>2.338670840356372E-2</v>
      </c>
      <c r="T162" s="55">
        <f>((O162-H162)/H162)</f>
        <v>0</v>
      </c>
      <c r="U162" s="55">
        <f>P162-I162</f>
        <v>1.6959999999999999E-2</v>
      </c>
      <c r="V162" s="56">
        <f>Q162-J162</f>
        <v>2.4399000000000004E-2</v>
      </c>
    </row>
    <row r="163" spans="1:22">
      <c r="A163" s="143">
        <v>140</v>
      </c>
      <c r="B163" s="140" t="s">
        <v>193</v>
      </c>
      <c r="C163" s="140" t="s">
        <v>194</v>
      </c>
      <c r="D163" s="31">
        <v>779561651.99902213</v>
      </c>
      <c r="E163" s="28">
        <f t="shared" si="112"/>
        <v>1.2247473797202263E-2</v>
      </c>
      <c r="F163" s="31">
        <v>1802.8645816477913</v>
      </c>
      <c r="G163" s="31">
        <v>1824.6394206753941</v>
      </c>
      <c r="H163" s="32">
        <v>156</v>
      </c>
      <c r="I163" s="49">
        <v>3.7322321388745194E-2</v>
      </c>
      <c r="J163" s="49">
        <v>0.61183524004086098</v>
      </c>
      <c r="K163" s="31">
        <v>811843111.2532388</v>
      </c>
      <c r="L163" s="52">
        <f t="shared" si="113"/>
        <v>1.2349021733854515E-2</v>
      </c>
      <c r="M163" s="31">
        <v>1877.3584729347378</v>
      </c>
      <c r="N163" s="31">
        <v>1899.9100703992804</v>
      </c>
      <c r="O163" s="32">
        <v>156</v>
      </c>
      <c r="P163" s="49">
        <v>4.1278768684514515E-2</v>
      </c>
      <c r="Q163" s="49">
        <v>0.67836981407205654</v>
      </c>
      <c r="R163" s="55">
        <f>((K163-D163)/D163)</f>
        <v>4.1409757870256504E-2</v>
      </c>
      <c r="S163" s="55">
        <f>((N163-G163)/G163)</f>
        <v>4.1252342172912508E-2</v>
      </c>
      <c r="T163" s="55">
        <f>((O163-H163)/H163)</f>
        <v>0</v>
      </c>
      <c r="U163" s="55">
        <f>P163-I163</f>
        <v>3.9564472957693206E-3</v>
      </c>
      <c r="V163" s="56">
        <f>Q163-J163</f>
        <v>6.6534574031195559E-2</v>
      </c>
    </row>
    <row r="164" spans="1:22">
      <c r="A164" s="143">
        <v>141</v>
      </c>
      <c r="B164" s="140" t="s">
        <v>195</v>
      </c>
      <c r="C164" s="141" t="s">
        <v>23</v>
      </c>
      <c r="D164" s="31">
        <v>7687942912.2600002</v>
      </c>
      <c r="E164" s="28">
        <f t="shared" si="112"/>
        <v>0.12078310821324151</v>
      </c>
      <c r="F164" s="31">
        <v>877.91210000000001</v>
      </c>
      <c r="G164" s="31">
        <v>904.3818</v>
      </c>
      <c r="H164" s="32">
        <v>21503</v>
      </c>
      <c r="I164" s="49">
        <v>0.91869999999999996</v>
      </c>
      <c r="J164" s="49">
        <v>0.223</v>
      </c>
      <c r="K164" s="31">
        <v>7803564385.6000004</v>
      </c>
      <c r="L164" s="52">
        <f t="shared" si="113"/>
        <v>0.11870075001381372</v>
      </c>
      <c r="M164" s="31">
        <v>890.15930000000003</v>
      </c>
      <c r="N164" s="31">
        <v>916.99829999999997</v>
      </c>
      <c r="O164" s="32">
        <v>21512</v>
      </c>
      <c r="P164" s="49">
        <v>0.72740000000000005</v>
      </c>
      <c r="Q164" s="49">
        <v>0.24579999999999999</v>
      </c>
      <c r="R164" s="55">
        <f t="shared" ref="R164:R189" si="114">((K164-D164)/D164)</f>
        <v>1.5039325169235847E-2</v>
      </c>
      <c r="S164" s="55">
        <f t="shared" ref="S164:T189" si="115">((N164-G164)/G164)</f>
        <v>1.3950413420526567E-2</v>
      </c>
      <c r="T164" s="55">
        <f t="shared" si="115"/>
        <v>4.1854624936055434E-4</v>
      </c>
      <c r="U164" s="55">
        <f t="shared" ref="U164:V189" si="116">P164-I164</f>
        <v>-0.19129999999999991</v>
      </c>
      <c r="V164" s="56">
        <f t="shared" si="116"/>
        <v>2.2799999999999987E-2</v>
      </c>
    </row>
    <row r="165" spans="1:22">
      <c r="A165" s="143">
        <v>142</v>
      </c>
      <c r="B165" s="140" t="s">
        <v>196</v>
      </c>
      <c r="C165" s="141" t="s">
        <v>109</v>
      </c>
      <c r="D165" s="31">
        <v>4707411354.6199999</v>
      </c>
      <c r="E165" s="28">
        <f t="shared" si="112"/>
        <v>7.395681543662333E-2</v>
      </c>
      <c r="F165" s="31">
        <v>26.9663</v>
      </c>
      <c r="G165" s="31">
        <v>27.3127</v>
      </c>
      <c r="H165" s="30">
        <v>6156</v>
      </c>
      <c r="I165" s="48">
        <v>4.6899999999999997E-2</v>
      </c>
      <c r="J165" s="48">
        <v>0.26850000000000002</v>
      </c>
      <c r="K165" s="31">
        <v>4936956586.2799997</v>
      </c>
      <c r="L165" s="52">
        <f t="shared" si="113"/>
        <v>7.5096509828055394E-2</v>
      </c>
      <c r="M165" s="31">
        <v>28.9696</v>
      </c>
      <c r="N165" s="31">
        <v>29.358699999999999</v>
      </c>
      <c r="O165" s="30">
        <v>6153</v>
      </c>
      <c r="P165" s="48">
        <v>5.6099999999999997E-2</v>
      </c>
      <c r="Q165" s="48">
        <v>0.36320000000000002</v>
      </c>
      <c r="R165" s="55">
        <f t="shared" si="114"/>
        <v>4.8762518158672712E-2</v>
      </c>
      <c r="S165" s="55">
        <f t="shared" si="115"/>
        <v>7.4910206607182714E-2</v>
      </c>
      <c r="T165" s="55">
        <f t="shared" si="115"/>
        <v>-4.8732943469785572E-4</v>
      </c>
      <c r="U165" s="55">
        <f t="shared" si="116"/>
        <v>9.1999999999999998E-3</v>
      </c>
      <c r="V165" s="56">
        <f t="shared" si="116"/>
        <v>9.4700000000000006E-2</v>
      </c>
    </row>
    <row r="166" spans="1:22">
      <c r="A166" s="143">
        <v>143</v>
      </c>
      <c r="B166" s="140" t="s">
        <v>197</v>
      </c>
      <c r="C166" s="141" t="s">
        <v>118</v>
      </c>
      <c r="D166" s="27">
        <v>2191691925.0602536</v>
      </c>
      <c r="E166" s="28">
        <f t="shared" si="112"/>
        <v>3.4433055236725414E-2</v>
      </c>
      <c r="F166" s="31">
        <v>5.2328999999999999</v>
      </c>
      <c r="G166" s="31">
        <v>5.3525999999999998</v>
      </c>
      <c r="H166" s="30">
        <v>2739</v>
      </c>
      <c r="I166" s="48">
        <v>0.50760000000000005</v>
      </c>
      <c r="J166" s="48">
        <v>0.31469999999999998</v>
      </c>
      <c r="K166" s="27">
        <v>2245775239.6091371</v>
      </c>
      <c r="L166" s="52">
        <f t="shared" si="113"/>
        <v>3.4160697872368535E-2</v>
      </c>
      <c r="M166" s="31">
        <v>5.3654999999999999</v>
      </c>
      <c r="N166" s="31">
        <v>5.4808000000000003</v>
      </c>
      <c r="O166" s="30">
        <v>2739</v>
      </c>
      <c r="P166" s="48">
        <v>0.10580000000000001</v>
      </c>
      <c r="Q166" s="48">
        <v>0.34510000000000002</v>
      </c>
      <c r="R166" s="55">
        <f t="shared" si="114"/>
        <v>2.467651312234341E-2</v>
      </c>
      <c r="S166" s="55">
        <f t="shared" si="115"/>
        <v>2.3950977095243534E-2</v>
      </c>
      <c r="T166" s="55">
        <f t="shared" si="115"/>
        <v>0</v>
      </c>
      <c r="U166" s="55">
        <f t="shared" si="116"/>
        <v>-0.40180000000000005</v>
      </c>
      <c r="V166" s="56">
        <f t="shared" si="116"/>
        <v>3.0400000000000038E-2</v>
      </c>
    </row>
    <row r="167" spans="1:22">
      <c r="A167" s="143">
        <v>144</v>
      </c>
      <c r="B167" s="140" t="s">
        <v>306</v>
      </c>
      <c r="C167" s="141" t="s">
        <v>27</v>
      </c>
      <c r="D167" s="27">
        <v>871893622.59000003</v>
      </c>
      <c r="E167" s="28">
        <f t="shared" si="112"/>
        <v>1.3698075411015958E-2</v>
      </c>
      <c r="F167" s="31">
        <v>1.0625</v>
      </c>
      <c r="G167" s="31">
        <v>1.0625</v>
      </c>
      <c r="H167" s="30">
        <v>201</v>
      </c>
      <c r="I167" s="48">
        <v>6.7999999999999996E-3</v>
      </c>
      <c r="J167" s="48">
        <v>6.25E-2</v>
      </c>
      <c r="K167" s="27">
        <v>865096063.99000001</v>
      </c>
      <c r="L167" s="52">
        <f t="shared" si="113"/>
        <v>1.3159057394221237E-2</v>
      </c>
      <c r="M167" s="31">
        <v>1.0673999999999999</v>
      </c>
      <c r="N167" s="31">
        <v>1.0673999999999999</v>
      </c>
      <c r="O167" s="30">
        <v>200</v>
      </c>
      <c r="P167" s="48">
        <v>4.5999999999999999E-3</v>
      </c>
      <c r="Q167" s="48">
        <v>6.7400000000000002E-2</v>
      </c>
      <c r="R167" s="55">
        <f t="shared" ref="R167" si="117">((K167-D167)/D167)</f>
        <v>-7.7963164586610512E-3</v>
      </c>
      <c r="S167" s="55">
        <f t="shared" ref="S167" si="118">((N167-G167)/G167)</f>
        <v>4.6117647058822632E-3</v>
      </c>
      <c r="T167" s="55">
        <f t="shared" ref="T167" si="119">((O167-H167)/H167)</f>
        <v>-4.9751243781094526E-3</v>
      </c>
      <c r="U167" s="55">
        <f t="shared" ref="U167" si="120">P167-I167</f>
        <v>-2.1999999999999997E-3</v>
      </c>
      <c r="V167" s="56">
        <f t="shared" ref="V167" si="121">Q167-J167</f>
        <v>4.9000000000000016E-3</v>
      </c>
    </row>
    <row r="168" spans="1:22">
      <c r="A168" s="143">
        <v>145</v>
      </c>
      <c r="B168" s="140" t="s">
        <v>198</v>
      </c>
      <c r="C168" s="141" t="s">
        <v>65</v>
      </c>
      <c r="D168" s="31">
        <v>4409529934.4664602</v>
      </c>
      <c r="E168" s="28">
        <f t="shared" si="112"/>
        <v>6.9276884248822349E-2</v>
      </c>
      <c r="F168" s="31">
        <v>9639.0487469715608</v>
      </c>
      <c r="G168" s="31">
        <v>9724.9447370308899</v>
      </c>
      <c r="H168" s="30">
        <v>1072</v>
      </c>
      <c r="I168" s="48">
        <v>0.14829255543427899</v>
      </c>
      <c r="J168" s="48">
        <v>0.55798678416867331</v>
      </c>
      <c r="K168" s="31">
        <v>4673471005.0029697</v>
      </c>
      <c r="L168" s="52">
        <f t="shared" si="113"/>
        <v>7.1088605930559143E-2</v>
      </c>
      <c r="M168" s="31">
        <v>10164.369559888901</v>
      </c>
      <c r="N168" s="31">
        <v>10250.298942647099</v>
      </c>
      <c r="O168" s="30">
        <v>1097</v>
      </c>
      <c r="P168" s="48">
        <v>0.28417459877173601</v>
      </c>
      <c r="Q168" s="48">
        <v>0.67701150082381134</v>
      </c>
      <c r="R168" s="55">
        <f t="shared" si="114"/>
        <v>5.985696309111134E-2</v>
      </c>
      <c r="S168" s="55">
        <f t="shared" si="115"/>
        <v>5.4021304986521169E-2</v>
      </c>
      <c r="T168" s="55">
        <f t="shared" si="115"/>
        <v>2.3320895522388061E-2</v>
      </c>
      <c r="U168" s="55">
        <f t="shared" si="116"/>
        <v>0.13588204333745701</v>
      </c>
      <c r="V168" s="56">
        <f t="shared" si="116"/>
        <v>0.11902471665513803</v>
      </c>
    </row>
    <row r="169" spans="1:22">
      <c r="A169" s="143">
        <v>146</v>
      </c>
      <c r="B169" s="140" t="s">
        <v>199</v>
      </c>
      <c r="C169" s="141" t="s">
        <v>67</v>
      </c>
      <c r="D169" s="31">
        <v>932654014.91999996</v>
      </c>
      <c r="E169" s="28">
        <f t="shared" si="112"/>
        <v>1.4652664840936169E-2</v>
      </c>
      <c r="F169" s="31">
        <v>206.72</v>
      </c>
      <c r="G169" s="31">
        <v>208.24</v>
      </c>
      <c r="H169" s="30">
        <v>701</v>
      </c>
      <c r="I169" s="48">
        <v>2.9000000000000001E-2</v>
      </c>
      <c r="J169" s="48">
        <v>0.13420000000000001</v>
      </c>
      <c r="K169" s="31">
        <v>950403895.22000003</v>
      </c>
      <c r="L169" s="52">
        <f t="shared" si="113"/>
        <v>1.4456682818794994E-2</v>
      </c>
      <c r="M169" s="31">
        <v>210.64</v>
      </c>
      <c r="N169" s="31">
        <v>212.22</v>
      </c>
      <c r="O169" s="30">
        <v>493</v>
      </c>
      <c r="P169" s="48">
        <v>1.9E-2</v>
      </c>
      <c r="Q169" s="48">
        <v>0.1535</v>
      </c>
      <c r="R169" s="55">
        <f t="shared" si="114"/>
        <v>1.9031580860693124E-2</v>
      </c>
      <c r="S169" s="55">
        <f t="shared" si="115"/>
        <v>1.9112562427967678E-2</v>
      </c>
      <c r="T169" s="55">
        <f t="shared" si="115"/>
        <v>-0.29671897289586308</v>
      </c>
      <c r="U169" s="55">
        <f t="shared" si="116"/>
        <v>-1.0000000000000002E-2</v>
      </c>
      <c r="V169" s="56">
        <f t="shared" si="116"/>
        <v>1.9299999999999984E-2</v>
      </c>
    </row>
    <row r="170" spans="1:22">
      <c r="A170" s="143">
        <v>147</v>
      </c>
      <c r="B170" s="140" t="s">
        <v>200</v>
      </c>
      <c r="C170" s="141" t="s">
        <v>123</v>
      </c>
      <c r="D170" s="31">
        <v>262502419.03</v>
      </c>
      <c r="E170" s="28">
        <f t="shared" si="112"/>
        <v>4.1241016544720527E-3</v>
      </c>
      <c r="F170" s="31">
        <v>1.6903999999999999</v>
      </c>
      <c r="G170" s="31">
        <v>1.7075</v>
      </c>
      <c r="H170" s="30">
        <v>417</v>
      </c>
      <c r="I170" s="48">
        <v>1.8006624510689351E-2</v>
      </c>
      <c r="J170" s="48">
        <v>0.15472368331170161</v>
      </c>
      <c r="K170" s="31">
        <v>272944960.33999997</v>
      </c>
      <c r="L170" s="52">
        <f t="shared" si="113"/>
        <v>4.1517913999190468E-3</v>
      </c>
      <c r="M170" s="31">
        <v>1.7524999999999999</v>
      </c>
      <c r="N170" s="31">
        <v>1.7701</v>
      </c>
      <c r="O170" s="30">
        <v>431</v>
      </c>
      <c r="P170" s="48">
        <v>3.6736867013724694E-2</v>
      </c>
      <c r="Q170" s="48">
        <v>0.19714461370312186</v>
      </c>
      <c r="R170" s="55">
        <f t="shared" si="114"/>
        <v>3.9780743158814663E-2</v>
      </c>
      <c r="S170" s="55">
        <f t="shared" si="115"/>
        <v>3.6661786237188868E-2</v>
      </c>
      <c r="T170" s="55">
        <f t="shared" si="115"/>
        <v>3.3573141486810551E-2</v>
      </c>
      <c r="U170" s="55">
        <f t="shared" si="116"/>
        <v>1.8730242503035344E-2</v>
      </c>
      <c r="V170" s="56">
        <f t="shared" si="116"/>
        <v>4.2420930391420253E-2</v>
      </c>
    </row>
    <row r="171" spans="1:22">
      <c r="A171" s="143">
        <v>148</v>
      </c>
      <c r="B171" s="140" t="s">
        <v>201</v>
      </c>
      <c r="C171" s="141" t="s">
        <v>29</v>
      </c>
      <c r="D171" s="42">
        <v>140370212.69999999</v>
      </c>
      <c r="E171" s="28">
        <f t="shared" si="112"/>
        <v>2.2053169207880874E-3</v>
      </c>
      <c r="F171" s="31">
        <v>168.2141</v>
      </c>
      <c r="G171" s="31">
        <v>169.1337</v>
      </c>
      <c r="H171" s="30">
        <v>116</v>
      </c>
      <c r="I171" s="48">
        <v>9.7859999999999996E-3</v>
      </c>
      <c r="J171" s="48">
        <v>0.1148</v>
      </c>
      <c r="K171" s="42">
        <v>141435275.53</v>
      </c>
      <c r="L171" s="52">
        <f t="shared" si="113"/>
        <v>2.1513852457988739E-3</v>
      </c>
      <c r="M171" s="31">
        <v>169.52520000000001</v>
      </c>
      <c r="N171" s="31">
        <v>170.47559999999999</v>
      </c>
      <c r="O171" s="30">
        <v>122</v>
      </c>
      <c r="P171" s="48">
        <v>7.8530000000000006E-3</v>
      </c>
      <c r="Q171" s="48">
        <v>0.1208</v>
      </c>
      <c r="R171" s="55">
        <f t="shared" si="114"/>
        <v>7.5875273643438252E-3</v>
      </c>
      <c r="S171" s="55">
        <f t="shared" si="115"/>
        <v>7.9339599382026241E-3</v>
      </c>
      <c r="T171" s="55">
        <f t="shared" si="115"/>
        <v>5.1724137931034482E-2</v>
      </c>
      <c r="U171" s="55">
        <f t="shared" si="116"/>
        <v>-1.932999999999999E-3</v>
      </c>
      <c r="V171" s="56">
        <f t="shared" si="116"/>
        <v>6.0000000000000053E-3</v>
      </c>
    </row>
    <row r="172" spans="1:22">
      <c r="A172" s="143">
        <v>149</v>
      </c>
      <c r="B172" s="140" t="s">
        <v>202</v>
      </c>
      <c r="C172" s="141" t="s">
        <v>70</v>
      </c>
      <c r="D172" s="42">
        <v>285745432.43000001</v>
      </c>
      <c r="E172" s="28">
        <f t="shared" si="112"/>
        <v>4.4892660989448527E-3</v>
      </c>
      <c r="F172" s="31">
        <v>141.66999999999999</v>
      </c>
      <c r="G172" s="31">
        <v>142.85</v>
      </c>
      <c r="H172" s="30">
        <v>47</v>
      </c>
      <c r="I172" s="48">
        <v>3.1899999999999998E-2</v>
      </c>
      <c r="J172" s="48">
        <v>0.1968</v>
      </c>
      <c r="K172" s="42">
        <v>295295794.49000001</v>
      </c>
      <c r="L172" s="52">
        <f t="shared" si="113"/>
        <v>4.4917720351701738E-3</v>
      </c>
      <c r="M172" s="31">
        <v>146.4</v>
      </c>
      <c r="N172" s="31">
        <v>147.66</v>
      </c>
      <c r="O172" s="30">
        <v>47</v>
      </c>
      <c r="P172" s="48">
        <v>7.1999999999999995E-2</v>
      </c>
      <c r="Q172" s="48">
        <v>0.2369</v>
      </c>
      <c r="R172" s="55">
        <f t="shared" si="114"/>
        <v>3.3422623692644975E-2</v>
      </c>
      <c r="S172" s="55">
        <f t="shared" si="115"/>
        <v>3.3671683584179227E-2</v>
      </c>
      <c r="T172" s="55">
        <f t="shared" si="115"/>
        <v>0</v>
      </c>
      <c r="U172" s="55">
        <f t="shared" si="116"/>
        <v>4.0099999999999997E-2</v>
      </c>
      <c r="V172" s="56">
        <f t="shared" si="116"/>
        <v>4.0099999999999997E-2</v>
      </c>
    </row>
    <row r="173" spans="1:22" ht="15.75" customHeight="1">
      <c r="A173" s="143">
        <v>150</v>
      </c>
      <c r="B173" s="140" t="s">
        <v>203</v>
      </c>
      <c r="C173" s="141" t="s">
        <v>73</v>
      </c>
      <c r="D173" s="27">
        <v>387558461.52999997</v>
      </c>
      <c r="E173" s="28">
        <f t="shared" si="112"/>
        <v>6.0888219556477748E-3</v>
      </c>
      <c r="F173" s="31">
        <v>1.5556000000000001</v>
      </c>
      <c r="G173" s="31">
        <v>1.5729</v>
      </c>
      <c r="H173" s="30">
        <v>96</v>
      </c>
      <c r="I173" s="48">
        <v>3.6999999999999998E-2</v>
      </c>
      <c r="J173" s="48">
        <v>0.22059999999999999</v>
      </c>
      <c r="K173" s="27">
        <v>399617522.69999999</v>
      </c>
      <c r="L173" s="52">
        <f t="shared" si="113"/>
        <v>6.0786196306247377E-3</v>
      </c>
      <c r="M173" s="31">
        <v>1.5703</v>
      </c>
      <c r="N173" s="31">
        <v>1.5879000000000001</v>
      </c>
      <c r="O173" s="30">
        <v>96</v>
      </c>
      <c r="P173" s="48">
        <v>3.6999999999999998E-2</v>
      </c>
      <c r="Q173" s="48">
        <v>0.2321</v>
      </c>
      <c r="R173" s="55">
        <f t="shared" si="114"/>
        <v>3.1115463515861214E-2</v>
      </c>
      <c r="S173" s="55">
        <f t="shared" si="115"/>
        <v>9.5365248903300434E-3</v>
      </c>
      <c r="T173" s="55">
        <f t="shared" si="115"/>
        <v>0</v>
      </c>
      <c r="U173" s="55">
        <f t="shared" si="116"/>
        <v>0</v>
      </c>
      <c r="V173" s="56">
        <f t="shared" si="116"/>
        <v>1.150000000000001E-2</v>
      </c>
    </row>
    <row r="174" spans="1:22">
      <c r="A174" s="143">
        <v>151</v>
      </c>
      <c r="B174" s="140" t="s">
        <v>204</v>
      </c>
      <c r="C174" s="141" t="s">
        <v>31</v>
      </c>
      <c r="D174" s="31">
        <v>11223783012.42</v>
      </c>
      <c r="E174" s="28">
        <f t="shared" si="112"/>
        <v>0.17633369727410639</v>
      </c>
      <c r="F174" s="31">
        <v>385.39</v>
      </c>
      <c r="G174" s="31">
        <v>388.75</v>
      </c>
      <c r="H174" s="30">
        <v>5486</v>
      </c>
      <c r="I174" s="48">
        <v>2.7400000000000001E-2</v>
      </c>
      <c r="J174" s="48">
        <v>0.18909999999999999</v>
      </c>
      <c r="K174" s="31">
        <v>11488608009.42</v>
      </c>
      <c r="L174" s="52">
        <f t="shared" si="113"/>
        <v>0.17475429431316328</v>
      </c>
      <c r="M174" s="31">
        <v>394.44</v>
      </c>
      <c r="N174" s="31">
        <v>397.97</v>
      </c>
      <c r="O174" s="30">
        <v>5487</v>
      </c>
      <c r="P174" s="48">
        <v>2.3599999999999999E-2</v>
      </c>
      <c r="Q174" s="48">
        <v>0.217</v>
      </c>
      <c r="R174" s="55">
        <f t="shared" si="114"/>
        <v>2.3594985461403723E-2</v>
      </c>
      <c r="S174" s="55">
        <f t="shared" si="115"/>
        <v>2.3717041800643157E-2</v>
      </c>
      <c r="T174" s="55">
        <f t="shared" si="115"/>
        <v>1.8228217280349981E-4</v>
      </c>
      <c r="U174" s="55">
        <f t="shared" si="116"/>
        <v>-3.8000000000000013E-3</v>
      </c>
      <c r="V174" s="56">
        <f t="shared" si="116"/>
        <v>2.7900000000000008E-2</v>
      </c>
    </row>
    <row r="175" spans="1:22">
      <c r="A175" s="143">
        <v>152</v>
      </c>
      <c r="B175" s="140" t="s">
        <v>205</v>
      </c>
      <c r="C175" s="141" t="s">
        <v>78</v>
      </c>
      <c r="D175" s="31">
        <v>3808447100.1100001</v>
      </c>
      <c r="E175" s="28">
        <f t="shared" si="112"/>
        <v>5.9833440943406847E-2</v>
      </c>
      <c r="F175" s="31">
        <v>2.6665999999999999</v>
      </c>
      <c r="G175" s="31">
        <v>2.7155</v>
      </c>
      <c r="H175" s="30">
        <v>10299</v>
      </c>
      <c r="I175" s="48">
        <v>2.1399999999999999E-2</v>
      </c>
      <c r="J175" s="48">
        <v>0.15060000000000001</v>
      </c>
      <c r="K175" s="31">
        <v>3890623974.9699998</v>
      </c>
      <c r="L175" s="52">
        <f t="shared" si="113"/>
        <v>5.9180646308610654E-2</v>
      </c>
      <c r="M175" s="31">
        <v>2.7231999999999998</v>
      </c>
      <c r="N175" s="31">
        <v>2.7742</v>
      </c>
      <c r="O175" s="30">
        <v>10300</v>
      </c>
      <c r="P175" s="48">
        <v>2.7799999999999998E-2</v>
      </c>
      <c r="Q175" s="48">
        <v>0.17519999999999999</v>
      </c>
      <c r="R175" s="55">
        <f t="shared" si="114"/>
        <v>2.1577528241793386E-2</v>
      </c>
      <c r="S175" s="55">
        <f t="shared" si="115"/>
        <v>2.1616645185048786E-2</v>
      </c>
      <c r="T175" s="55">
        <f t="shared" si="115"/>
        <v>9.7096805515098559E-5</v>
      </c>
      <c r="U175" s="55">
        <f t="shared" si="116"/>
        <v>6.3999999999999994E-3</v>
      </c>
      <c r="V175" s="56">
        <f t="shared" si="116"/>
        <v>2.4599999999999983E-2</v>
      </c>
    </row>
    <row r="176" spans="1:22">
      <c r="A176" s="143">
        <v>153</v>
      </c>
      <c r="B176" s="140" t="s">
        <v>206</v>
      </c>
      <c r="C176" s="141" t="s">
        <v>80</v>
      </c>
      <c r="D176" s="31">
        <v>270156896.14999998</v>
      </c>
      <c r="E176" s="28">
        <f t="shared" si="112"/>
        <v>4.2443589910381692E-3</v>
      </c>
      <c r="F176" s="31">
        <v>307.97359999999998</v>
      </c>
      <c r="G176" s="31">
        <v>309.89760000000001</v>
      </c>
      <c r="H176" s="30">
        <v>32</v>
      </c>
      <c r="I176" s="48">
        <v>-1.2279999999999999E-2</v>
      </c>
      <c r="J176" s="48">
        <v>8.1985000000000002E-2</v>
      </c>
      <c r="K176" s="31">
        <v>273200503.12</v>
      </c>
      <c r="L176" s="52">
        <f t="shared" si="113"/>
        <v>4.1556784851211103E-3</v>
      </c>
      <c r="M176" s="31">
        <v>311.44319999999999</v>
      </c>
      <c r="N176" s="31">
        <v>313.41489999999999</v>
      </c>
      <c r="O176" s="30">
        <v>32</v>
      </c>
      <c r="P176" s="48">
        <v>1.0768E-2</v>
      </c>
      <c r="Q176" s="48">
        <v>9.2588000000000004E-2</v>
      </c>
      <c r="R176" s="55">
        <f t="shared" si="114"/>
        <v>1.1266071728593292E-2</v>
      </c>
      <c r="S176" s="55">
        <f t="shared" si="115"/>
        <v>1.1349878153299598E-2</v>
      </c>
      <c r="T176" s="55">
        <f t="shared" si="115"/>
        <v>0</v>
      </c>
      <c r="U176" s="55">
        <f t="shared" si="116"/>
        <v>2.3047999999999999E-2</v>
      </c>
      <c r="V176" s="56">
        <f t="shared" si="116"/>
        <v>1.0603000000000001E-2</v>
      </c>
    </row>
    <row r="177" spans="1:22">
      <c r="A177" s="143">
        <v>154</v>
      </c>
      <c r="B177" s="140" t="s">
        <v>207</v>
      </c>
      <c r="C177" s="140" t="s">
        <v>82</v>
      </c>
      <c r="D177" s="130">
        <v>60754992.107415959</v>
      </c>
      <c r="E177" s="28">
        <f t="shared" si="112"/>
        <v>9.5450458854246033E-4</v>
      </c>
      <c r="F177" s="31">
        <v>1.1828180006903319</v>
      </c>
      <c r="G177" s="31">
        <v>1.1952115224153281</v>
      </c>
      <c r="H177" s="30">
        <v>32</v>
      </c>
      <c r="I177" s="48">
        <v>1.1942058340456869E-3</v>
      </c>
      <c r="J177" s="48">
        <v>-5.6545120788849771E-3</v>
      </c>
      <c r="K177" s="130">
        <v>61214241.900324844</v>
      </c>
      <c r="L177" s="52">
        <f t="shared" si="113"/>
        <v>9.3113557677616311E-4</v>
      </c>
      <c r="M177" s="31">
        <v>1.1915971589399854</v>
      </c>
      <c r="N177" s="31">
        <v>1.2042461815455785</v>
      </c>
      <c r="O177" s="30">
        <v>32</v>
      </c>
      <c r="P177" s="48">
        <v>7.5590462113289784E-3</v>
      </c>
      <c r="Q177" s="48">
        <v>1.8617914143371922E-3</v>
      </c>
      <c r="R177" s="55">
        <f t="shared" si="114"/>
        <v>7.5590462113289784E-3</v>
      </c>
      <c r="S177" s="55">
        <f t="shared" si="115"/>
        <v>7.5590462113290123E-3</v>
      </c>
      <c r="T177" s="55">
        <f t="shared" si="115"/>
        <v>0</v>
      </c>
      <c r="U177" s="55">
        <f t="shared" si="116"/>
        <v>6.3648403772832915E-3</v>
      </c>
      <c r="V177" s="56">
        <f t="shared" si="116"/>
        <v>7.5163034932221691E-3</v>
      </c>
    </row>
    <row r="178" spans="1:22" ht="13.5" customHeight="1">
      <c r="A178" s="143">
        <v>155</v>
      </c>
      <c r="B178" s="140" t="s">
        <v>208</v>
      </c>
      <c r="C178" s="141" t="s">
        <v>37</v>
      </c>
      <c r="D178" s="27">
        <v>3528947542.98</v>
      </c>
      <c r="E178" s="28">
        <f t="shared" si="112"/>
        <v>5.5442302034121954E-2</v>
      </c>
      <c r="F178" s="31">
        <v>4.9552019999999999</v>
      </c>
      <c r="G178" s="31">
        <v>5.0907070000000001</v>
      </c>
      <c r="H178" s="30">
        <v>2433</v>
      </c>
      <c r="I178" s="48">
        <v>-5.5037304004514342E-2</v>
      </c>
      <c r="J178" s="48">
        <v>0.16887655138152979</v>
      </c>
      <c r="K178" s="27">
        <v>3779866875.4200001</v>
      </c>
      <c r="L178" s="52">
        <f t="shared" si="113"/>
        <v>5.7495909675925237E-2</v>
      </c>
      <c r="M178" s="31">
        <v>5.2995289999999997</v>
      </c>
      <c r="N178" s="31">
        <v>5.4375929999999997</v>
      </c>
      <c r="O178" s="30">
        <v>2438</v>
      </c>
      <c r="P178" s="48">
        <v>6.9487984546341419E-2</v>
      </c>
      <c r="Q178" s="48">
        <v>0.25009942712051036</v>
      </c>
      <c r="R178" s="55">
        <f t="shared" si="114"/>
        <v>7.1103163020698412E-2</v>
      </c>
      <c r="S178" s="55">
        <f t="shared" si="115"/>
        <v>6.8141026383957984E-2</v>
      </c>
      <c r="T178" s="55">
        <f t="shared" si="115"/>
        <v>2.055076037813399E-3</v>
      </c>
      <c r="U178" s="55">
        <f t="shared" si="116"/>
        <v>0.12452528855085576</v>
      </c>
      <c r="V178" s="56">
        <f t="shared" si="116"/>
        <v>8.1222875738980571E-2</v>
      </c>
    </row>
    <row r="179" spans="1:22" ht="13.5" customHeight="1">
      <c r="A179" s="143">
        <v>156</v>
      </c>
      <c r="B179" s="140" t="s">
        <v>209</v>
      </c>
      <c r="C179" s="141" t="s">
        <v>210</v>
      </c>
      <c r="D179" s="27">
        <v>89686961.099999994</v>
      </c>
      <c r="E179" s="28">
        <f t="shared" si="112"/>
        <v>1.4090466138325728E-3</v>
      </c>
      <c r="F179" s="31">
        <v>2.41</v>
      </c>
      <c r="G179" s="31">
        <v>2.42</v>
      </c>
      <c r="H179" s="30">
        <v>98</v>
      </c>
      <c r="I179" s="48">
        <v>7.0000000000000001E-3</v>
      </c>
      <c r="J179" s="48">
        <v>0.14699999999999999</v>
      </c>
      <c r="K179" s="27">
        <v>89797914.109999999</v>
      </c>
      <c r="L179" s="52">
        <f t="shared" si="113"/>
        <v>1.365924496529091E-3</v>
      </c>
      <c r="M179" s="31">
        <v>2.46</v>
      </c>
      <c r="N179" s="31">
        <v>2.4700000000000002</v>
      </c>
      <c r="O179" s="30">
        <v>98</v>
      </c>
      <c r="P179" s="48">
        <v>7.0000000000000001E-3</v>
      </c>
      <c r="Q179" s="48">
        <v>0.16969999999999999</v>
      </c>
      <c r="R179" s="55">
        <f t="shared" si="114"/>
        <v>1.2371141650824131E-3</v>
      </c>
      <c r="S179" s="55">
        <f t="shared" si="115"/>
        <v>2.06611570247935E-2</v>
      </c>
      <c r="T179" s="55">
        <f t="shared" si="115"/>
        <v>0</v>
      </c>
      <c r="U179" s="55">
        <f>P179-I179</f>
        <v>0</v>
      </c>
      <c r="V179" s="56">
        <f>Q179-J179</f>
        <v>2.2699999999999998E-2</v>
      </c>
    </row>
    <row r="180" spans="1:22">
      <c r="A180" s="143">
        <v>157</v>
      </c>
      <c r="B180" s="140" t="s">
        <v>211</v>
      </c>
      <c r="C180" s="141" t="s">
        <v>132</v>
      </c>
      <c r="D180" s="27">
        <v>511892399.19</v>
      </c>
      <c r="E180" s="28">
        <f t="shared" si="112"/>
        <v>8.0421974708350455E-3</v>
      </c>
      <c r="F180" s="31">
        <v>268.33999999999997</v>
      </c>
      <c r="G180" s="31">
        <v>270.23</v>
      </c>
      <c r="H180" s="30">
        <v>151</v>
      </c>
      <c r="I180" s="48">
        <v>1.37E-2</v>
      </c>
      <c r="J180" s="48">
        <v>0.18759999999999999</v>
      </c>
      <c r="K180" s="27">
        <v>567915160.47000003</v>
      </c>
      <c r="L180" s="52">
        <f t="shared" si="113"/>
        <v>8.6386107887314132E-3</v>
      </c>
      <c r="M180" s="31">
        <v>287.77</v>
      </c>
      <c r="N180" s="31">
        <v>289.79000000000002</v>
      </c>
      <c r="O180" s="30">
        <v>151</v>
      </c>
      <c r="P180" s="48">
        <v>1.37E-2</v>
      </c>
      <c r="Q180" s="48">
        <v>0.2712</v>
      </c>
      <c r="R180" s="55">
        <f t="shared" si="114"/>
        <v>0.10944245581424616</v>
      </c>
      <c r="S180" s="55">
        <f t="shared" si="115"/>
        <v>7.2382785034970212E-2</v>
      </c>
      <c r="T180" s="55">
        <f t="shared" si="115"/>
        <v>0</v>
      </c>
      <c r="U180" s="55">
        <f t="shared" si="116"/>
        <v>0</v>
      </c>
      <c r="V180" s="56">
        <f t="shared" si="116"/>
        <v>8.3600000000000008E-2</v>
      </c>
    </row>
    <row r="181" spans="1:22">
      <c r="A181" s="143">
        <v>158</v>
      </c>
      <c r="B181" s="140" t="s">
        <v>212</v>
      </c>
      <c r="C181" s="141" t="s">
        <v>33</v>
      </c>
      <c r="D181" s="27">
        <v>2098695953.2</v>
      </c>
      <c r="E181" s="28">
        <f t="shared" si="112"/>
        <v>3.2972021685776391E-2</v>
      </c>
      <c r="F181" s="31">
        <v>552.22</v>
      </c>
      <c r="G181" s="31">
        <v>552.22</v>
      </c>
      <c r="H181" s="30">
        <v>823</v>
      </c>
      <c r="I181" s="48">
        <v>4.1900000000000001E-3</v>
      </c>
      <c r="J181" s="48">
        <v>-4.0059999999999998E-2</v>
      </c>
      <c r="K181" s="27">
        <v>2060289982.24</v>
      </c>
      <c r="L181" s="52">
        <f t="shared" si="113"/>
        <v>3.1339264219965988E-2</v>
      </c>
      <c r="M181" s="31">
        <v>552.22</v>
      </c>
      <c r="N181" s="31">
        <v>552.22</v>
      </c>
      <c r="O181" s="30">
        <v>823</v>
      </c>
      <c r="P181" s="48">
        <v>-1.83E-2</v>
      </c>
      <c r="Q181" s="48">
        <v>-5.7599999999999998E-2</v>
      </c>
      <c r="R181" s="55">
        <f t="shared" si="114"/>
        <v>-1.8299921387583698E-2</v>
      </c>
      <c r="S181" s="55">
        <f t="shared" si="115"/>
        <v>0</v>
      </c>
      <c r="T181" s="55">
        <f t="shared" si="115"/>
        <v>0</v>
      </c>
      <c r="U181" s="55">
        <f t="shared" si="116"/>
        <v>-2.249E-2</v>
      </c>
      <c r="V181" s="56">
        <f t="shared" si="116"/>
        <v>-1.754E-2</v>
      </c>
    </row>
    <row r="182" spans="1:22">
      <c r="A182" s="143">
        <v>159</v>
      </c>
      <c r="B182" s="140" t="s">
        <v>213</v>
      </c>
      <c r="C182" s="141" t="s">
        <v>89</v>
      </c>
      <c r="D182" s="31">
        <v>39204598.890000001</v>
      </c>
      <c r="E182" s="28">
        <f t="shared" si="112"/>
        <v>6.1593242356629187E-4</v>
      </c>
      <c r="F182" s="31">
        <v>2.12</v>
      </c>
      <c r="G182" s="31">
        <v>2.12</v>
      </c>
      <c r="H182" s="30">
        <v>9</v>
      </c>
      <c r="I182" s="48">
        <v>2.8902000000000001E-2</v>
      </c>
      <c r="J182" s="48">
        <v>0.131243</v>
      </c>
      <c r="K182" s="31">
        <v>38326357.549999997</v>
      </c>
      <c r="L182" s="52">
        <f t="shared" si="113"/>
        <v>5.8298582054087846E-4</v>
      </c>
      <c r="M182" s="31">
        <v>2.21</v>
      </c>
      <c r="N182" s="31">
        <v>2.21</v>
      </c>
      <c r="O182" s="30">
        <v>9</v>
      </c>
      <c r="P182" s="48">
        <v>4.0757000000000002E-2</v>
      </c>
      <c r="Q182" s="48">
        <v>0.17734900000000001</v>
      </c>
      <c r="R182" s="55">
        <f t="shared" si="114"/>
        <v>-2.2401487704648303E-2</v>
      </c>
      <c r="S182" s="55">
        <f t="shared" si="115"/>
        <v>4.2452830188679173E-2</v>
      </c>
      <c r="T182" s="55">
        <f t="shared" si="115"/>
        <v>0</v>
      </c>
      <c r="U182" s="55">
        <f t="shared" si="116"/>
        <v>1.1855000000000001E-2</v>
      </c>
      <c r="V182" s="56">
        <f t="shared" si="116"/>
        <v>4.6106000000000008E-2</v>
      </c>
    </row>
    <row r="183" spans="1:22">
      <c r="A183" s="143">
        <v>160</v>
      </c>
      <c r="B183" s="140" t="s">
        <v>214</v>
      </c>
      <c r="C183" s="141" t="s">
        <v>45</v>
      </c>
      <c r="D183" s="31">
        <v>307448508.04000002</v>
      </c>
      <c r="E183" s="28">
        <f t="shared" si="112"/>
        <v>4.8302370140361301E-3</v>
      </c>
      <c r="F183" s="31">
        <v>3.080527</v>
      </c>
      <c r="G183" s="31">
        <v>3.155011</v>
      </c>
      <c r="H183" s="30">
        <v>123</v>
      </c>
      <c r="I183" s="48">
        <v>3.0800000000000001E-2</v>
      </c>
      <c r="J183" s="48">
        <v>0.18</v>
      </c>
      <c r="K183" s="31">
        <v>316128076.29000002</v>
      </c>
      <c r="L183" s="52">
        <f t="shared" si="113"/>
        <v>4.8086538281521376E-3</v>
      </c>
      <c r="M183" s="31">
        <v>3.1635170000000001</v>
      </c>
      <c r="N183" s="31">
        <v>3.2389709999999998</v>
      </c>
      <c r="O183" s="30">
        <v>124</v>
      </c>
      <c r="P183" s="48">
        <v>2.6200000000000001E-2</v>
      </c>
      <c r="Q183" s="48">
        <v>0.216</v>
      </c>
      <c r="R183" s="55">
        <f t="shared" si="114"/>
        <v>2.8230965586181218E-2</v>
      </c>
      <c r="S183" s="55">
        <f t="shared" si="115"/>
        <v>2.6611634634554304E-2</v>
      </c>
      <c r="T183" s="55">
        <f t="shared" si="115"/>
        <v>8.130081300813009E-3</v>
      </c>
      <c r="U183" s="55">
        <f t="shared" si="116"/>
        <v>-4.5999999999999999E-3</v>
      </c>
      <c r="V183" s="56">
        <f t="shared" si="116"/>
        <v>3.6000000000000004E-2</v>
      </c>
    </row>
    <row r="184" spans="1:22">
      <c r="A184" s="143">
        <v>161</v>
      </c>
      <c r="B184" s="140" t="s">
        <v>215</v>
      </c>
      <c r="C184" s="141" t="s">
        <v>49</v>
      </c>
      <c r="D184" s="27">
        <v>3043559887.6999998</v>
      </c>
      <c r="E184" s="28">
        <f t="shared" si="112"/>
        <v>4.781651313816597E-2</v>
      </c>
      <c r="F184" s="31">
        <v>7728.1</v>
      </c>
      <c r="G184" s="31">
        <v>7809.31</v>
      </c>
      <c r="H184" s="30">
        <v>2437</v>
      </c>
      <c r="I184" s="48">
        <v>3.4099999999999998E-2</v>
      </c>
      <c r="J184" s="48">
        <v>0.21329999999999999</v>
      </c>
      <c r="K184" s="27">
        <v>3166236012.9200001</v>
      </c>
      <c r="L184" s="28">
        <f t="shared" si="113"/>
        <v>4.8161913054486069E-2</v>
      </c>
      <c r="M184" s="31">
        <v>7979.49</v>
      </c>
      <c r="N184" s="31">
        <v>8060.1</v>
      </c>
      <c r="O184" s="30">
        <v>2463</v>
      </c>
      <c r="P184" s="48">
        <v>3.2099999999999997E-2</v>
      </c>
      <c r="Q184" s="48">
        <v>0.25219999999999998</v>
      </c>
      <c r="R184" s="55">
        <f t="shared" si="114"/>
        <v>4.0306788677224252E-2</v>
      </c>
      <c r="S184" s="55">
        <f t="shared" si="115"/>
        <v>3.2114232883571014E-2</v>
      </c>
      <c r="T184" s="55">
        <f t="shared" si="115"/>
        <v>1.0668855149774312E-2</v>
      </c>
      <c r="U184" s="55">
        <f t="shared" si="116"/>
        <v>-2.0000000000000018E-3</v>
      </c>
      <c r="V184" s="56">
        <f t="shared" si="116"/>
        <v>3.889999999999999E-2</v>
      </c>
    </row>
    <row r="185" spans="1:22">
      <c r="A185" s="143">
        <v>162</v>
      </c>
      <c r="B185" s="140" t="s">
        <v>216</v>
      </c>
      <c r="C185" s="140" t="s">
        <v>99</v>
      </c>
      <c r="D185" s="27">
        <v>117460574.84</v>
      </c>
      <c r="E185" s="28">
        <f t="shared" si="112"/>
        <v>1.8453900456342869E-3</v>
      </c>
      <c r="F185" s="31">
        <v>1237.0999999999999</v>
      </c>
      <c r="G185" s="31">
        <v>1255.1600000000001</v>
      </c>
      <c r="H185" s="30">
        <v>11</v>
      </c>
      <c r="I185" s="48">
        <v>1.5806965926191241E-2</v>
      </c>
      <c r="J185" s="48">
        <v>0.118302</v>
      </c>
      <c r="K185" s="27">
        <v>119869772.58</v>
      </c>
      <c r="L185" s="28">
        <f t="shared" si="113"/>
        <v>1.8233503571121329E-3</v>
      </c>
      <c r="M185" s="31">
        <v>1262.21</v>
      </c>
      <c r="N185" s="31">
        <v>1281.07</v>
      </c>
      <c r="O185" s="30">
        <v>11</v>
      </c>
      <c r="P185" s="48">
        <v>2.0215345931795525E-2</v>
      </c>
      <c r="Q185" s="48">
        <v>0.141485</v>
      </c>
      <c r="R185" s="55">
        <f t="shared" si="114"/>
        <v>2.0510692573075737E-2</v>
      </c>
      <c r="S185" s="55">
        <f t="shared" si="115"/>
        <v>2.0642786577009985E-2</v>
      </c>
      <c r="T185" s="55">
        <f t="shared" si="115"/>
        <v>0</v>
      </c>
      <c r="U185" s="55">
        <f t="shared" si="116"/>
        <v>4.4083800056042843E-3</v>
      </c>
      <c r="V185" s="56">
        <f t="shared" si="116"/>
        <v>2.3182999999999995E-2</v>
      </c>
    </row>
    <row r="186" spans="1:22">
      <c r="A186" s="143">
        <v>163</v>
      </c>
      <c r="B186" s="140" t="s">
        <v>217</v>
      </c>
      <c r="C186" s="140" t="s">
        <v>82</v>
      </c>
      <c r="D186" s="27">
        <v>767901913.56322718</v>
      </c>
      <c r="E186" s="28">
        <f t="shared" si="112"/>
        <v>1.2064290926920683E-2</v>
      </c>
      <c r="F186" s="31">
        <v>1.465759521188555</v>
      </c>
      <c r="G186" s="31">
        <v>1.465759521188555</v>
      </c>
      <c r="H186" s="30">
        <v>43</v>
      </c>
      <c r="I186" s="48">
        <v>2.4831008471450683E-3</v>
      </c>
      <c r="J186" s="48">
        <v>8.9235643875841986E-2</v>
      </c>
      <c r="K186" s="27">
        <v>769812046.18060958</v>
      </c>
      <c r="L186" s="28">
        <f t="shared" si="113"/>
        <v>1.1709683259604598E-2</v>
      </c>
      <c r="M186" s="31">
        <v>1.4694055533460599</v>
      </c>
      <c r="N186" s="31">
        <v>1.4694055533460599</v>
      </c>
      <c r="O186" s="30">
        <v>43</v>
      </c>
      <c r="P186" s="48">
        <v>2.4831008471450683E-3</v>
      </c>
      <c r="Q186" s="48">
        <v>9.1945084358583354E-2</v>
      </c>
      <c r="R186" s="55">
        <f t="shared" si="114"/>
        <v>2.4874695369868113E-3</v>
      </c>
      <c r="S186" s="55">
        <f t="shared" si="115"/>
        <v>2.4874695369868209E-3</v>
      </c>
      <c r="T186" s="55">
        <f t="shared" si="115"/>
        <v>0</v>
      </c>
      <c r="U186" s="55">
        <f t="shared" si="116"/>
        <v>0</v>
      </c>
      <c r="V186" s="56">
        <f t="shared" si="116"/>
        <v>2.7094404827413682E-3</v>
      </c>
    </row>
    <row r="187" spans="1:22">
      <c r="A187" s="143">
        <v>164</v>
      </c>
      <c r="B187" s="140" t="s">
        <v>218</v>
      </c>
      <c r="C187" s="141" t="s">
        <v>52</v>
      </c>
      <c r="D187" s="31">
        <v>2538466367.9099998</v>
      </c>
      <c r="E187" s="28">
        <f t="shared" si="112"/>
        <v>3.9881130948827025E-2</v>
      </c>
      <c r="F187" s="31">
        <v>1.8785000000000001</v>
      </c>
      <c r="G187" s="31">
        <v>1.8916999999999999</v>
      </c>
      <c r="H187" s="30">
        <v>2379</v>
      </c>
      <c r="I187" s="48">
        <v>2.2499999999999999E-2</v>
      </c>
      <c r="J187" s="48">
        <v>0.15049999999999999</v>
      </c>
      <c r="K187" s="31">
        <v>2623091652.9299998</v>
      </c>
      <c r="L187" s="52">
        <f t="shared" si="113"/>
        <v>3.9900093235897008E-2</v>
      </c>
      <c r="M187" s="31">
        <v>1.9333</v>
      </c>
      <c r="N187" s="31">
        <v>1.9473</v>
      </c>
      <c r="O187" s="30">
        <v>2395</v>
      </c>
      <c r="P187" s="48">
        <v>2.92E-2</v>
      </c>
      <c r="Q187" s="48">
        <v>0.17829999999999999</v>
      </c>
      <c r="R187" s="55">
        <f t="shared" si="114"/>
        <v>3.3337170068427839E-2</v>
      </c>
      <c r="S187" s="55">
        <f t="shared" si="115"/>
        <v>2.93915525717609E-2</v>
      </c>
      <c r="T187" s="55">
        <f t="shared" si="115"/>
        <v>6.7255149222362337E-3</v>
      </c>
      <c r="U187" s="55">
        <f t="shared" si="116"/>
        <v>6.7000000000000011E-3</v>
      </c>
      <c r="V187" s="56">
        <f t="shared" si="116"/>
        <v>2.7799999999999991E-2</v>
      </c>
    </row>
    <row r="188" spans="1:22">
      <c r="A188" s="143">
        <v>165</v>
      </c>
      <c r="B188" s="140" t="s">
        <v>219</v>
      </c>
      <c r="C188" s="141" t="s">
        <v>52</v>
      </c>
      <c r="D188" s="31">
        <v>1463662703.74</v>
      </c>
      <c r="E188" s="28">
        <f t="shared" si="112"/>
        <v>2.2995192960082077E-2</v>
      </c>
      <c r="F188" s="31">
        <v>1.4545999999999999</v>
      </c>
      <c r="G188" s="31">
        <v>1.4633</v>
      </c>
      <c r="H188" s="30">
        <v>953</v>
      </c>
      <c r="I188" s="48">
        <v>1.7399999999999999E-2</v>
      </c>
      <c r="J188" s="48">
        <v>0.15709999999999999</v>
      </c>
      <c r="K188" s="31">
        <v>1507380302.1099999</v>
      </c>
      <c r="L188" s="52">
        <f t="shared" si="113"/>
        <v>2.2928903200527481E-2</v>
      </c>
      <c r="M188" s="31">
        <v>1.4968999999999999</v>
      </c>
      <c r="N188" s="31">
        <v>1.5063</v>
      </c>
      <c r="O188" s="30">
        <v>961</v>
      </c>
      <c r="P188" s="48">
        <v>2.9100000000000001E-2</v>
      </c>
      <c r="Q188" s="48">
        <v>0.185</v>
      </c>
      <c r="R188" s="55">
        <f t="shared" si="114"/>
        <v>2.9868629062072303E-2</v>
      </c>
      <c r="S188" s="55">
        <f t="shared" si="115"/>
        <v>2.9385635208091249E-2</v>
      </c>
      <c r="T188" s="55">
        <f t="shared" si="115"/>
        <v>8.3945435466946487E-3</v>
      </c>
      <c r="U188" s="55">
        <f t="shared" si="116"/>
        <v>1.1700000000000002E-2</v>
      </c>
      <c r="V188" s="56">
        <f t="shared" si="116"/>
        <v>2.7900000000000008E-2</v>
      </c>
    </row>
    <row r="189" spans="1:22">
      <c r="A189" s="143">
        <v>166</v>
      </c>
      <c r="B189" s="140" t="s">
        <v>220</v>
      </c>
      <c r="C189" s="141" t="s">
        <v>103</v>
      </c>
      <c r="D189" s="27">
        <v>10814327318.1</v>
      </c>
      <c r="E189" s="28">
        <f t="shared" si="112"/>
        <v>0.16990085405453539</v>
      </c>
      <c r="F189" s="31">
        <v>627.71</v>
      </c>
      <c r="G189" s="31">
        <v>635.28</v>
      </c>
      <c r="H189" s="30">
        <v>35</v>
      </c>
      <c r="I189" s="48">
        <v>3.2000000000000001E-2</v>
      </c>
      <c r="J189" s="48">
        <v>0.2137</v>
      </c>
      <c r="K189" s="27">
        <v>11276142653.51</v>
      </c>
      <c r="L189" s="52">
        <f t="shared" si="113"/>
        <v>0.17152246385053427</v>
      </c>
      <c r="M189" s="31">
        <v>654.4</v>
      </c>
      <c r="N189" s="31">
        <v>662.47</v>
      </c>
      <c r="O189" s="30">
        <v>35</v>
      </c>
      <c r="P189" s="48">
        <v>4.2703912585275061E-2</v>
      </c>
      <c r="Q189" s="48">
        <v>0.26551342612609474</v>
      </c>
      <c r="R189" s="55">
        <f t="shared" si="114"/>
        <v>4.270402789057965E-2</v>
      </c>
      <c r="S189" s="55">
        <f t="shared" si="115"/>
        <v>4.280002518574496E-2</v>
      </c>
      <c r="T189" s="55">
        <f t="shared" si="115"/>
        <v>0</v>
      </c>
      <c r="U189" s="55">
        <f t="shared" si="116"/>
        <v>1.0703912585275061E-2</v>
      </c>
      <c r="V189" s="56">
        <f t="shared" si="116"/>
        <v>5.1813426126094742E-2</v>
      </c>
    </row>
    <row r="190" spans="1:22">
      <c r="A190" s="34"/>
      <c r="B190" s="35"/>
      <c r="C190" s="36" t="s">
        <v>53</v>
      </c>
      <c r="D190" s="73">
        <f>SUM(D162:D189)</f>
        <v>63650811988.436371</v>
      </c>
      <c r="E190" s="38">
        <f>(D190/$D$222)</f>
        <v>1.1015165597669567E-2</v>
      </c>
      <c r="F190" s="39"/>
      <c r="G190" s="74"/>
      <c r="H190" s="41">
        <f>SUM(H162:H189)</f>
        <v>70392</v>
      </c>
      <c r="I190" s="80"/>
      <c r="J190" s="80"/>
      <c r="K190" s="73">
        <f>SUM(K162:K189)</f>
        <v>65741491816.116287</v>
      </c>
      <c r="L190" s="38">
        <f>(K190/$K$222)</f>
        <v>1.1310810611802611E-2</v>
      </c>
      <c r="M190" s="39"/>
      <c r="N190" s="74"/>
      <c r="O190" s="41">
        <f>SUM(O162:O189)</f>
        <v>70292</v>
      </c>
      <c r="P190" s="80"/>
      <c r="Q190" s="80"/>
      <c r="R190" s="55">
        <f t="shared" ref="R190" si="122">((K190-D190)/D190)</f>
        <v>3.2846082592940626E-2</v>
      </c>
      <c r="S190" s="55" t="e">
        <f t="shared" ref="S190" si="123">((N190-G190)/G190)</f>
        <v>#DIV/0!</v>
      </c>
      <c r="T190" s="55">
        <f t="shared" ref="T190" si="124">((O190-H190)/H190)</f>
        <v>-1.4206159790885328E-3</v>
      </c>
      <c r="U190" s="55">
        <f t="shared" ref="U190" si="125">P190-I190</f>
        <v>0</v>
      </c>
      <c r="V190" s="56">
        <f t="shared" ref="V190" si="126">Q190-J190</f>
        <v>0</v>
      </c>
    </row>
    <row r="191" spans="1:22" ht="5.25" customHeight="1">
      <c r="A191" s="34"/>
      <c r="B191" s="162"/>
      <c r="C191" s="162"/>
      <c r="D191" s="162"/>
      <c r="E191" s="162"/>
      <c r="F191" s="162"/>
      <c r="G191" s="162"/>
      <c r="H191" s="162"/>
      <c r="I191" s="162"/>
      <c r="J191" s="162"/>
      <c r="K191" s="162"/>
      <c r="L191" s="162"/>
      <c r="M191" s="162"/>
      <c r="N191" s="162"/>
      <c r="O191" s="162"/>
      <c r="P191" s="162"/>
      <c r="Q191" s="162"/>
      <c r="R191" s="162"/>
      <c r="S191" s="162"/>
      <c r="T191" s="162"/>
      <c r="U191" s="162"/>
      <c r="V191" s="162"/>
    </row>
    <row r="192" spans="1:22" ht="15" customHeight="1">
      <c r="A192" s="164" t="s">
        <v>221</v>
      </c>
      <c r="B192" s="164"/>
      <c r="C192" s="164"/>
      <c r="D192" s="164"/>
      <c r="E192" s="164"/>
      <c r="F192" s="164"/>
      <c r="G192" s="164"/>
      <c r="H192" s="164"/>
      <c r="I192" s="164"/>
      <c r="J192" s="164"/>
      <c r="K192" s="164"/>
      <c r="L192" s="164"/>
      <c r="M192" s="164"/>
      <c r="N192" s="164"/>
      <c r="O192" s="164"/>
      <c r="P192" s="164"/>
      <c r="Q192" s="164"/>
      <c r="R192" s="164"/>
      <c r="S192" s="164"/>
      <c r="T192" s="164"/>
      <c r="U192" s="164"/>
      <c r="V192" s="164"/>
    </row>
    <row r="193" spans="1:24">
      <c r="A193" s="142">
        <v>167</v>
      </c>
      <c r="B193" s="140" t="s">
        <v>222</v>
      </c>
      <c r="C193" s="141" t="s">
        <v>223</v>
      </c>
      <c r="D193" s="76">
        <v>1230109996.1300001</v>
      </c>
      <c r="E193" s="28">
        <f>(D193/$D$195)</f>
        <v>0.19053634352362733</v>
      </c>
      <c r="F193" s="75">
        <v>33.575400000000002</v>
      </c>
      <c r="G193" s="75">
        <v>33.921399999999998</v>
      </c>
      <c r="H193" s="30">
        <v>1492</v>
      </c>
      <c r="I193" s="48">
        <v>4.3799999999999999E-2</v>
      </c>
      <c r="J193" s="48">
        <v>0.2616</v>
      </c>
      <c r="K193" s="76">
        <v>1290449784.8299999</v>
      </c>
      <c r="L193" s="52">
        <f>(K193/$K$195)</f>
        <v>0.19057479077091841</v>
      </c>
      <c r="M193" s="75">
        <v>36.102699999999999</v>
      </c>
      <c r="N193" s="75">
        <v>36.502299999999998</v>
      </c>
      <c r="O193" s="30">
        <v>1490</v>
      </c>
      <c r="P193" s="48">
        <v>5.5300000000000002E-2</v>
      </c>
      <c r="Q193" s="48">
        <v>0.35709999999999997</v>
      </c>
      <c r="R193" s="55">
        <f>((K193-D193)/D193)</f>
        <v>4.905235213910334E-2</v>
      </c>
      <c r="S193" s="55">
        <f t="shared" ref="S193:T195" si="127">((N193-G193)/G193)</f>
        <v>7.6084713484702873E-2</v>
      </c>
      <c r="T193" s="55">
        <f t="shared" si="127"/>
        <v>-1.3404825737265416E-3</v>
      </c>
      <c r="U193" s="55">
        <f t="shared" ref="U193:V195" si="128">P193-I193</f>
        <v>1.1500000000000003E-2</v>
      </c>
      <c r="V193" s="56">
        <f t="shared" si="128"/>
        <v>9.5499999999999974E-2</v>
      </c>
    </row>
    <row r="194" spans="1:24">
      <c r="A194" s="142">
        <v>168</v>
      </c>
      <c r="B194" s="140" t="s">
        <v>224</v>
      </c>
      <c r="C194" s="141" t="s">
        <v>49</v>
      </c>
      <c r="D194" s="42">
        <v>5225928643.96</v>
      </c>
      <c r="E194" s="28">
        <f>(D194/$D$195)</f>
        <v>0.80946365647637264</v>
      </c>
      <c r="F194" s="75">
        <v>3.65</v>
      </c>
      <c r="G194" s="75">
        <v>3.69</v>
      </c>
      <c r="H194" s="30">
        <v>10503</v>
      </c>
      <c r="I194" s="48">
        <v>4.8300000000000003E-2</v>
      </c>
      <c r="J194" s="48">
        <v>0.27239999999999998</v>
      </c>
      <c r="K194" s="42">
        <v>5480906382.5299997</v>
      </c>
      <c r="L194" s="52">
        <f>(K194/$K$195)</f>
        <v>0.80942520922908157</v>
      </c>
      <c r="M194" s="75">
        <v>3.81</v>
      </c>
      <c r="N194" s="75">
        <v>3.86</v>
      </c>
      <c r="O194" s="30">
        <v>10534</v>
      </c>
      <c r="P194" s="48">
        <v>4.6100000000000002E-2</v>
      </c>
      <c r="Q194" s="48">
        <v>0.33100000000000002</v>
      </c>
      <c r="R194" s="55">
        <f>((K194-D194)/D194)</f>
        <v>4.8790895540584293E-2</v>
      </c>
      <c r="S194" s="55">
        <f t="shared" si="127"/>
        <v>4.6070460704607026E-2</v>
      </c>
      <c r="T194" s="55">
        <f t="shared" si="127"/>
        <v>2.951537655907836E-3</v>
      </c>
      <c r="U194" s="55">
        <f t="shared" si="128"/>
        <v>-2.2000000000000006E-3</v>
      </c>
      <c r="V194" s="56">
        <f t="shared" si="128"/>
        <v>5.8600000000000041E-2</v>
      </c>
    </row>
    <row r="195" spans="1:24">
      <c r="A195" s="34"/>
      <c r="B195" s="35"/>
      <c r="C195" s="69" t="s">
        <v>53</v>
      </c>
      <c r="D195" s="73">
        <f>SUM(D193:D194)</f>
        <v>6456038640.0900002</v>
      </c>
      <c r="E195" s="38">
        <f>(D195/$D$222)</f>
        <v>1.1172573059785055E-3</v>
      </c>
      <c r="F195" s="39"/>
      <c r="G195" s="74"/>
      <c r="H195" s="41">
        <f>SUM(H193:H194)</f>
        <v>11995</v>
      </c>
      <c r="I195" s="80"/>
      <c r="J195" s="80"/>
      <c r="K195" s="73">
        <f>SUM(K193:K194)</f>
        <v>6771356167.3599997</v>
      </c>
      <c r="L195" s="38">
        <f>(K195/$K$222)</f>
        <v>1.1650104839162608E-3</v>
      </c>
      <c r="M195" s="39"/>
      <c r="N195" s="74"/>
      <c r="O195" s="41">
        <f>SUM(O193:O194)</f>
        <v>12024</v>
      </c>
      <c r="P195" s="80"/>
      <c r="Q195" s="80"/>
      <c r="R195" s="55">
        <f>((K195-D195)/D195)</f>
        <v>4.8840712524856236E-2</v>
      </c>
      <c r="S195" s="55" t="e">
        <f t="shared" si="127"/>
        <v>#DIV/0!</v>
      </c>
      <c r="T195" s="55">
        <f t="shared" si="127"/>
        <v>2.4176740308461857E-3</v>
      </c>
      <c r="U195" s="55">
        <f t="shared" si="128"/>
        <v>0</v>
      </c>
      <c r="V195" s="56">
        <f t="shared" si="128"/>
        <v>0</v>
      </c>
    </row>
    <row r="196" spans="1:24" ht="6" customHeight="1">
      <c r="A196" s="34"/>
      <c r="B196" s="162"/>
      <c r="C196" s="162"/>
      <c r="D196" s="162"/>
      <c r="E196" s="162"/>
      <c r="F196" s="162"/>
      <c r="G196" s="162"/>
      <c r="H196" s="162"/>
      <c r="I196" s="162"/>
      <c r="J196" s="162"/>
      <c r="K196" s="162"/>
      <c r="L196" s="162"/>
      <c r="M196" s="162"/>
      <c r="N196" s="162"/>
      <c r="O196" s="162"/>
      <c r="P196" s="162"/>
      <c r="Q196" s="162"/>
      <c r="R196" s="162"/>
      <c r="S196" s="162"/>
      <c r="T196" s="162"/>
      <c r="U196" s="162"/>
      <c r="V196" s="162"/>
    </row>
    <row r="197" spans="1:24" ht="15" customHeight="1">
      <c r="A197" s="165" t="s">
        <v>225</v>
      </c>
      <c r="B197" s="165"/>
      <c r="C197" s="165"/>
      <c r="D197" s="165"/>
      <c r="E197" s="165"/>
      <c r="F197" s="165"/>
      <c r="G197" s="165"/>
      <c r="H197" s="165"/>
      <c r="I197" s="165"/>
      <c r="J197" s="165"/>
      <c r="K197" s="165"/>
      <c r="L197" s="165"/>
      <c r="M197" s="165"/>
      <c r="N197" s="165"/>
      <c r="O197" s="165"/>
      <c r="P197" s="165"/>
      <c r="Q197" s="165"/>
      <c r="R197" s="165"/>
      <c r="S197" s="165"/>
      <c r="T197" s="165"/>
      <c r="U197" s="165"/>
      <c r="V197" s="165"/>
    </row>
    <row r="198" spans="1:24">
      <c r="A198" s="166" t="s">
        <v>226</v>
      </c>
      <c r="B198" s="166"/>
      <c r="C198" s="166"/>
      <c r="D198" s="166"/>
      <c r="E198" s="166"/>
      <c r="F198" s="166"/>
      <c r="G198" s="166"/>
      <c r="H198" s="166"/>
      <c r="I198" s="166"/>
      <c r="J198" s="166"/>
      <c r="K198" s="166"/>
      <c r="L198" s="166"/>
      <c r="M198" s="166"/>
      <c r="N198" s="166"/>
      <c r="O198" s="166"/>
      <c r="P198" s="166"/>
      <c r="Q198" s="166"/>
      <c r="R198" s="166"/>
      <c r="S198" s="166"/>
      <c r="T198" s="166"/>
      <c r="U198" s="166"/>
      <c r="V198" s="166"/>
    </row>
    <row r="199" spans="1:24">
      <c r="A199" s="142">
        <v>0</v>
      </c>
      <c r="B199" s="140" t="s">
        <v>227</v>
      </c>
      <c r="C199" s="141" t="s">
        <v>228</v>
      </c>
      <c r="D199" s="45">
        <v>6085443335.9300003</v>
      </c>
      <c r="E199" s="28">
        <f>(D199/$D$221)</f>
        <v>0.10102928391198854</v>
      </c>
      <c r="F199" s="77">
        <v>2.58</v>
      </c>
      <c r="G199" s="77">
        <v>2.63</v>
      </c>
      <c r="H199" s="44">
        <v>15033</v>
      </c>
      <c r="I199" s="51">
        <v>1.9900000000000001E-2</v>
      </c>
      <c r="J199" s="51">
        <v>0.13650000000000001</v>
      </c>
      <c r="K199" s="45">
        <v>6144394924.21</v>
      </c>
      <c r="L199" s="28">
        <f>(K199/$K$221)</f>
        <v>0.10155958577598759</v>
      </c>
      <c r="M199" s="77">
        <v>2.6</v>
      </c>
      <c r="N199" s="77">
        <v>2.64</v>
      </c>
      <c r="O199" s="44">
        <v>15031</v>
      </c>
      <c r="P199" s="51">
        <v>6.1000000000000004E-3</v>
      </c>
      <c r="Q199" s="51">
        <v>0.1434</v>
      </c>
      <c r="R199" s="55">
        <f>((K199-D199)/D199)</f>
        <v>9.6873120043587634E-3</v>
      </c>
      <c r="S199" s="55">
        <f>((N199-G199)/G199)</f>
        <v>3.8022813688213808E-3</v>
      </c>
      <c r="T199" s="55">
        <f>((O199-H199)/H199)</f>
        <v>-1.3304064391671656E-4</v>
      </c>
      <c r="U199" s="55">
        <f>P199-I199</f>
        <v>-1.38E-2</v>
      </c>
      <c r="V199" s="56">
        <f>Q199-J199</f>
        <v>6.8999999999999895E-3</v>
      </c>
    </row>
    <row r="200" spans="1:24">
      <c r="A200" s="142">
        <v>170</v>
      </c>
      <c r="B200" s="140" t="s">
        <v>229</v>
      </c>
      <c r="C200" s="141" t="s">
        <v>49</v>
      </c>
      <c r="D200" s="45">
        <v>1300564781.9300001</v>
      </c>
      <c r="E200" s="28">
        <f>(D200/$D$221)</f>
        <v>2.1591710142751522E-2</v>
      </c>
      <c r="F200" s="77">
        <v>671.84</v>
      </c>
      <c r="G200" s="77">
        <v>680.02</v>
      </c>
      <c r="H200" s="44">
        <v>1063</v>
      </c>
      <c r="I200" s="51">
        <v>3.32E-2</v>
      </c>
      <c r="J200" s="51">
        <v>0.34739999999999999</v>
      </c>
      <c r="K200" s="45">
        <v>1471386593.6099999</v>
      </c>
      <c r="L200" s="28">
        <f>(K200/$K$221)</f>
        <v>2.4320281298094784E-2</v>
      </c>
      <c r="M200" s="77">
        <v>700.49</v>
      </c>
      <c r="N200" s="77">
        <v>709.04</v>
      </c>
      <c r="O200" s="44">
        <v>1103</v>
      </c>
      <c r="P200" s="51">
        <v>4.2700000000000002E-2</v>
      </c>
      <c r="Q200" s="51">
        <v>0.40489999999999998</v>
      </c>
      <c r="R200" s="55">
        <f>((K200-D200)/D200)</f>
        <v>0.13134433136541285</v>
      </c>
      <c r="S200" s="55">
        <f>((N200-G200)/G200)</f>
        <v>4.2675215434840125E-2</v>
      </c>
      <c r="T200" s="55">
        <f>((O200-H200)/H200)</f>
        <v>3.7629350893697081E-2</v>
      </c>
      <c r="U200" s="55">
        <f>P200-I200</f>
        <v>9.5000000000000015E-3</v>
      </c>
      <c r="V200" s="56">
        <f>Q200-J200</f>
        <v>5.7499999999999996E-2</v>
      </c>
    </row>
    <row r="201" spans="1:24" ht="6" customHeight="1">
      <c r="A201" s="34"/>
      <c r="B201" s="162"/>
      <c r="C201" s="162"/>
      <c r="D201" s="162"/>
      <c r="E201" s="162"/>
      <c r="F201" s="162"/>
      <c r="G201" s="162"/>
      <c r="H201" s="162"/>
      <c r="I201" s="162"/>
      <c r="J201" s="162"/>
      <c r="K201" s="162"/>
      <c r="L201" s="162"/>
      <c r="M201" s="162"/>
      <c r="N201" s="162"/>
      <c r="O201" s="162"/>
      <c r="P201" s="162"/>
      <c r="Q201" s="162"/>
      <c r="R201" s="162"/>
      <c r="S201" s="162"/>
      <c r="T201" s="162"/>
      <c r="U201" s="162"/>
      <c r="V201" s="162"/>
    </row>
    <row r="202" spans="1:24" ht="15" customHeight="1">
      <c r="A202" s="166" t="s">
        <v>171</v>
      </c>
      <c r="B202" s="166"/>
      <c r="C202" s="166"/>
      <c r="D202" s="166"/>
      <c r="E202" s="166"/>
      <c r="F202" s="166"/>
      <c r="G202" s="166"/>
      <c r="H202" s="166"/>
      <c r="I202" s="166"/>
      <c r="J202" s="166"/>
      <c r="K202" s="166"/>
      <c r="L202" s="166"/>
      <c r="M202" s="166"/>
      <c r="N202" s="166"/>
      <c r="O202" s="166"/>
      <c r="P202" s="166"/>
      <c r="Q202" s="166"/>
      <c r="R202" s="166"/>
      <c r="S202" s="166"/>
      <c r="T202" s="166"/>
      <c r="U202" s="166"/>
      <c r="V202" s="166"/>
    </row>
    <row r="203" spans="1:24">
      <c r="A203" s="142">
        <v>171</v>
      </c>
      <c r="B203" s="140" t="s">
        <v>289</v>
      </c>
      <c r="C203" s="141" t="s">
        <v>23</v>
      </c>
      <c r="D203" s="27">
        <v>1294238257.0799999</v>
      </c>
      <c r="E203" s="28">
        <f>(D203/$D$221)</f>
        <v>2.1486678472918509E-2</v>
      </c>
      <c r="F203" s="75">
        <v>1.0833999999999999</v>
      </c>
      <c r="G203" s="75">
        <v>1.0833999999999999</v>
      </c>
      <c r="H203" s="30">
        <v>622</v>
      </c>
      <c r="I203" s="48">
        <v>0.1399</v>
      </c>
      <c r="J203" s="48">
        <v>0.14810000000000001</v>
      </c>
      <c r="K203" s="27">
        <v>1262132417.72</v>
      </c>
      <c r="L203" s="28">
        <f t="shared" ref="L203:L215" si="129">(K203/$K$221)</f>
        <v>2.0861557097026862E-2</v>
      </c>
      <c r="M203" s="75">
        <v>1.0860000000000001</v>
      </c>
      <c r="N203" s="75">
        <v>1.0860000000000001</v>
      </c>
      <c r="O203" s="30">
        <v>626</v>
      </c>
      <c r="P203" s="48">
        <v>0.12509999999999999</v>
      </c>
      <c r="Q203" s="48">
        <v>0.14760000000000001</v>
      </c>
      <c r="R203" s="55">
        <f>((K203-D203)/D203)</f>
        <v>-2.4806745731991878E-2</v>
      </c>
      <c r="S203" s="55">
        <f>((N203-G203)/G203)</f>
        <v>2.3998523167806517E-3</v>
      </c>
      <c r="T203" s="55">
        <f>((O203-H203)/H203)</f>
        <v>6.4308681672025723E-3</v>
      </c>
      <c r="U203" s="55">
        <f>P203-I203</f>
        <v>-1.4800000000000008E-2</v>
      </c>
      <c r="V203" s="56">
        <f>Q203-J203</f>
        <v>-5.0000000000000044E-4</v>
      </c>
      <c r="X203" s="81"/>
    </row>
    <row r="204" spans="1:24">
      <c r="A204" s="142">
        <v>172</v>
      </c>
      <c r="B204" s="140" t="s">
        <v>230</v>
      </c>
      <c r="C204" s="141" t="s">
        <v>231</v>
      </c>
      <c r="D204" s="27">
        <v>350267864.39999998</v>
      </c>
      <c r="E204" s="28">
        <f>(D204/$D$221)</f>
        <v>5.8150753468983671E-3</v>
      </c>
      <c r="F204" s="75">
        <v>1070.45</v>
      </c>
      <c r="G204" s="75">
        <v>1070.45</v>
      </c>
      <c r="H204" s="30">
        <v>18</v>
      </c>
      <c r="I204" s="48">
        <v>5.4000000000000003E-3</v>
      </c>
      <c r="J204" s="48">
        <v>4.2200000000000001E-2</v>
      </c>
      <c r="K204" s="27">
        <v>350590305.69999999</v>
      </c>
      <c r="L204" s="28">
        <f t="shared" si="129"/>
        <v>5.7948433756553801E-3</v>
      </c>
      <c r="M204" s="75">
        <v>1071.43</v>
      </c>
      <c r="N204" s="75">
        <v>1071.43</v>
      </c>
      <c r="O204" s="30">
        <v>18</v>
      </c>
      <c r="P204" s="48">
        <v>1.4E-3</v>
      </c>
      <c r="Q204" s="48">
        <v>4.3499999999999997E-2</v>
      </c>
      <c r="R204" s="55">
        <f>((K204-D204)/D204)</f>
        <v>9.2055633065952461E-4</v>
      </c>
      <c r="S204" s="55">
        <f>((N204-G204)/G204)</f>
        <v>9.15502825914352E-4</v>
      </c>
      <c r="T204" s="55">
        <f>((O204-H204)/H204)</f>
        <v>0</v>
      </c>
      <c r="U204" s="55">
        <f>P204-I204</f>
        <v>-4.0000000000000001E-3</v>
      </c>
      <c r="V204" s="56">
        <f>Q204-J204</f>
        <v>1.2999999999999956E-3</v>
      </c>
      <c r="X204" s="81"/>
    </row>
    <row r="205" spans="1:24">
      <c r="A205" s="142">
        <v>173</v>
      </c>
      <c r="B205" s="140" t="s">
        <v>232</v>
      </c>
      <c r="C205" s="141" t="s">
        <v>67</v>
      </c>
      <c r="D205" s="27">
        <v>291085544.07999998</v>
      </c>
      <c r="E205" s="28">
        <f>(D205/$D$221)</f>
        <v>4.8325425859938121E-3</v>
      </c>
      <c r="F205" s="75">
        <v>117.9</v>
      </c>
      <c r="G205" s="75">
        <v>117.9</v>
      </c>
      <c r="H205" s="30">
        <v>75</v>
      </c>
      <c r="I205" s="48">
        <v>2.0999999999999999E-3</v>
      </c>
      <c r="J205" s="48">
        <v>0.1263</v>
      </c>
      <c r="K205" s="27">
        <v>293817842.95999998</v>
      </c>
      <c r="L205" s="28">
        <f t="shared" si="129"/>
        <v>4.8564616683470056E-3</v>
      </c>
      <c r="M205" s="75">
        <v>118.1</v>
      </c>
      <c r="N205" s="75">
        <v>118.1</v>
      </c>
      <c r="O205" s="30">
        <v>70</v>
      </c>
      <c r="P205" s="48">
        <v>1.6999999999999999E-3</v>
      </c>
      <c r="Q205" s="48">
        <v>0.1263</v>
      </c>
      <c r="R205" s="55">
        <f t="shared" ref="R205:R222" si="130">((K205-D205)/D205)</f>
        <v>9.3865838945580496E-3</v>
      </c>
      <c r="S205" s="55">
        <f t="shared" ref="S205:S221" si="131">((N205-G205)/G205)</f>
        <v>1.6963528413909128E-3</v>
      </c>
      <c r="T205" s="55">
        <f t="shared" ref="T205:T221" si="132">((O205-H205)/H205)</f>
        <v>-6.6666666666666666E-2</v>
      </c>
      <c r="U205" s="55">
        <f t="shared" ref="U205:U221" si="133">P205-I205</f>
        <v>-3.9999999999999996E-4</v>
      </c>
      <c r="V205" s="56">
        <f t="shared" ref="V205:V221" si="134">Q205-J205</f>
        <v>0</v>
      </c>
    </row>
    <row r="206" spans="1:24">
      <c r="A206" s="142">
        <v>174</v>
      </c>
      <c r="B206" s="156" t="s">
        <v>233</v>
      </c>
      <c r="C206" s="141" t="s">
        <v>70</v>
      </c>
      <c r="D206" s="42">
        <v>63366751.649999999</v>
      </c>
      <c r="E206" s="28">
        <f>(D206/$D$221)</f>
        <v>1.0520018328376984E-3</v>
      </c>
      <c r="F206" s="75">
        <v>102.16</v>
      </c>
      <c r="G206" s="75">
        <v>102.16</v>
      </c>
      <c r="H206" s="30">
        <v>15</v>
      </c>
      <c r="I206" s="48">
        <v>2.7000000000000001E-3</v>
      </c>
      <c r="J206" s="48">
        <v>5.2400000000000002E-2</v>
      </c>
      <c r="K206" s="42">
        <v>63612555.659999996</v>
      </c>
      <c r="L206" s="28">
        <f t="shared" si="129"/>
        <v>1.0514403586797756E-3</v>
      </c>
      <c r="M206" s="75">
        <v>102.4</v>
      </c>
      <c r="N206" s="75">
        <v>102.4</v>
      </c>
      <c r="O206" s="30">
        <v>15</v>
      </c>
      <c r="P206" s="48">
        <v>5.1000000000000004E-3</v>
      </c>
      <c r="Q206" s="48">
        <v>5.4899999999999997E-2</v>
      </c>
      <c r="R206" s="55">
        <f t="shared" si="130"/>
        <v>3.8790691269401361E-3</v>
      </c>
      <c r="S206" s="55">
        <f t="shared" si="131"/>
        <v>2.3492560689116005E-3</v>
      </c>
      <c r="T206" s="55">
        <f t="shared" si="132"/>
        <v>0</v>
      </c>
      <c r="U206" s="55">
        <f t="shared" si="133"/>
        <v>2.4000000000000002E-3</v>
      </c>
      <c r="V206" s="56">
        <f t="shared" si="134"/>
        <v>2.4999999999999953E-3</v>
      </c>
    </row>
    <row r="207" spans="1:24">
      <c r="A207" s="142">
        <v>175</v>
      </c>
      <c r="B207" s="140" t="s">
        <v>234</v>
      </c>
      <c r="C207" s="141" t="s">
        <v>73</v>
      </c>
      <c r="D207" s="42">
        <v>154812310.74000001</v>
      </c>
      <c r="E207" s="28">
        <v>0</v>
      </c>
      <c r="F207" s="75">
        <v>1.0987</v>
      </c>
      <c r="G207" s="75">
        <v>1.0987</v>
      </c>
      <c r="H207" s="30">
        <v>41</v>
      </c>
      <c r="I207" s="48">
        <v>1.8E-3</v>
      </c>
      <c r="J207" s="48">
        <v>0.1188</v>
      </c>
      <c r="K207" s="42">
        <v>157715855.83000001</v>
      </c>
      <c r="L207" s="28">
        <f t="shared" si="129"/>
        <v>2.6068566858045172E-3</v>
      </c>
      <c r="M207" s="75">
        <v>1.1013999999999999</v>
      </c>
      <c r="N207" s="75">
        <v>1.1013999999999999</v>
      </c>
      <c r="O207" s="30">
        <v>41</v>
      </c>
      <c r="P207" s="48">
        <v>1.8E-3</v>
      </c>
      <c r="Q207" s="48">
        <v>0.1195</v>
      </c>
      <c r="R207" s="55">
        <f t="shared" ref="R207:R208" si="135">((K207-D207)/D207)</f>
        <v>1.8755259682651279E-2</v>
      </c>
      <c r="S207" s="55">
        <f t="shared" ref="S207:S208" si="136">((N207-G207)/G207)</f>
        <v>2.4574497132974649E-3</v>
      </c>
      <c r="T207" s="55">
        <f t="shared" ref="T207" si="137">((O207-H207)/H207)</f>
        <v>0</v>
      </c>
      <c r="U207" s="55">
        <f t="shared" ref="U207" si="138">P207-I207</f>
        <v>0</v>
      </c>
      <c r="V207" s="56">
        <f t="shared" ref="V207" si="139">Q207-J207</f>
        <v>6.999999999999923E-4</v>
      </c>
    </row>
    <row r="208" spans="1:24">
      <c r="A208" s="142">
        <v>176</v>
      </c>
      <c r="B208" s="140" t="s">
        <v>235</v>
      </c>
      <c r="C208" s="141" t="s">
        <v>31</v>
      </c>
      <c r="D208" s="27">
        <v>5403234839.4399996</v>
      </c>
      <c r="E208" s="28">
        <f t="shared" ref="E208:E215" si="140">(D208/$D$221)</f>
        <v>8.9703398175427648E-2</v>
      </c>
      <c r="F208" s="75">
        <v>154.12</v>
      </c>
      <c r="G208" s="75">
        <v>154.12</v>
      </c>
      <c r="H208" s="30">
        <v>701</v>
      </c>
      <c r="I208" s="48">
        <v>2.7000000000000001E-3</v>
      </c>
      <c r="J208" s="48">
        <v>7.4200000000000002E-2</v>
      </c>
      <c r="K208" s="27">
        <v>5289972117</v>
      </c>
      <c r="L208" s="28">
        <f t="shared" si="129"/>
        <v>8.7436986651394225E-2</v>
      </c>
      <c r="M208" s="75">
        <v>154.54</v>
      </c>
      <c r="N208" s="75">
        <v>154.54</v>
      </c>
      <c r="O208" s="30">
        <v>705</v>
      </c>
      <c r="P208" s="48">
        <v>2.8E-3</v>
      </c>
      <c r="Q208" s="48">
        <v>7.7200000000000005E-2</v>
      </c>
      <c r="R208" s="55">
        <f t="shared" si="135"/>
        <v>-2.0962021049549334E-2</v>
      </c>
      <c r="S208" s="55">
        <f t="shared" si="136"/>
        <v>2.7251492343627528E-3</v>
      </c>
      <c r="T208" s="55">
        <f t="shared" si="132"/>
        <v>5.7061340941512127E-3</v>
      </c>
      <c r="U208" s="55">
        <f t="shared" si="133"/>
        <v>9.9999999999999829E-5</v>
      </c>
      <c r="V208" s="56">
        <f t="shared" si="134"/>
        <v>3.0000000000000027E-3</v>
      </c>
    </row>
    <row r="209" spans="1:22">
      <c r="A209" s="142">
        <v>177</v>
      </c>
      <c r="B209" s="140" t="s">
        <v>236</v>
      </c>
      <c r="C209" s="141" t="s">
        <v>65</v>
      </c>
      <c r="D209" s="27">
        <v>806228818.53254902</v>
      </c>
      <c r="E209" s="28">
        <f t="shared" si="140"/>
        <v>1.3384845722682927E-2</v>
      </c>
      <c r="F209" s="33">
        <v>1260.08362270981</v>
      </c>
      <c r="G209" s="33">
        <v>1260.08362270981</v>
      </c>
      <c r="H209" s="30">
        <v>211</v>
      </c>
      <c r="I209" s="48">
        <v>0.13017214259099086</v>
      </c>
      <c r="J209" s="48">
        <v>0.13142863175125977</v>
      </c>
      <c r="K209" s="27">
        <v>806228818.53254902</v>
      </c>
      <c r="L209" s="28">
        <f t="shared" si="129"/>
        <v>1.3326009454276264E-2</v>
      </c>
      <c r="M209" s="33">
        <v>1262.75173915292</v>
      </c>
      <c r="N209" s="33">
        <v>1262.75173915292</v>
      </c>
      <c r="O209" s="30">
        <v>211</v>
      </c>
      <c r="P209" s="48">
        <v>0.11040792216186937</v>
      </c>
      <c r="Q209" s="48">
        <v>0.13086931928836543</v>
      </c>
      <c r="R209" s="55">
        <f t="shared" si="130"/>
        <v>0</v>
      </c>
      <c r="S209" s="55">
        <f t="shared" si="131"/>
        <v>2.11741220584407E-3</v>
      </c>
      <c r="T209" s="55">
        <f t="shared" si="132"/>
        <v>0</v>
      </c>
      <c r="U209" s="55">
        <f t="shared" si="133"/>
        <v>-1.9764220429121487E-2</v>
      </c>
      <c r="V209" s="56">
        <f t="shared" si="134"/>
        <v>-5.5931246289434022E-4</v>
      </c>
    </row>
    <row r="210" spans="1:22">
      <c r="A210" s="142">
        <v>178</v>
      </c>
      <c r="B210" s="140" t="s">
        <v>237</v>
      </c>
      <c r="C210" s="141" t="s">
        <v>228</v>
      </c>
      <c r="D210" s="27">
        <v>30590984684.970001</v>
      </c>
      <c r="E210" s="28">
        <f t="shared" si="140"/>
        <v>0.50786526244316965</v>
      </c>
      <c r="F210" s="33">
        <v>1270.08</v>
      </c>
      <c r="G210" s="33">
        <v>1270.08</v>
      </c>
      <c r="H210" s="30">
        <v>10461</v>
      </c>
      <c r="I210" s="48">
        <v>2.7000000000000001E-3</v>
      </c>
      <c r="J210" s="48">
        <v>6.4699999999999994E-2</v>
      </c>
      <c r="K210" s="27">
        <v>31059036367.84</v>
      </c>
      <c r="L210" s="28">
        <f t="shared" si="129"/>
        <v>0.5133691611667891</v>
      </c>
      <c r="M210" s="33">
        <v>1273.25</v>
      </c>
      <c r="N210" s="33">
        <v>1273.25</v>
      </c>
      <c r="O210" s="30">
        <v>10577</v>
      </c>
      <c r="P210" s="48">
        <v>2.5000000000000001E-3</v>
      </c>
      <c r="Q210" s="48">
        <v>6.7199999999999996E-2</v>
      </c>
      <c r="R210" s="55">
        <f t="shared" si="130"/>
        <v>1.530031437987554E-2</v>
      </c>
      <c r="S210" s="55">
        <f t="shared" si="131"/>
        <v>2.495905769715351E-3</v>
      </c>
      <c r="T210" s="55">
        <f t="shared" si="132"/>
        <v>1.1088806041487429E-2</v>
      </c>
      <c r="U210" s="55">
        <f t="shared" si="133"/>
        <v>-2.0000000000000009E-4</v>
      </c>
      <c r="V210" s="56">
        <f t="shared" si="134"/>
        <v>2.5000000000000022E-3</v>
      </c>
    </row>
    <row r="211" spans="1:22">
      <c r="A211" s="142">
        <v>179</v>
      </c>
      <c r="B211" s="140" t="s">
        <v>238</v>
      </c>
      <c r="C211" s="141" t="s">
        <v>239</v>
      </c>
      <c r="D211" s="27">
        <v>481341580.31</v>
      </c>
      <c r="E211" s="28">
        <f t="shared" si="140"/>
        <v>7.9911343334121213E-3</v>
      </c>
      <c r="F211" s="77">
        <v>121.04</v>
      </c>
      <c r="G211" s="77">
        <v>122.03</v>
      </c>
      <c r="H211" s="44">
        <v>148</v>
      </c>
      <c r="I211" s="48">
        <v>-8.6999999999999994E-3</v>
      </c>
      <c r="J211" s="48">
        <v>-2.4E-2</v>
      </c>
      <c r="K211" s="27">
        <v>489248229.26999998</v>
      </c>
      <c r="L211" s="28">
        <f t="shared" si="129"/>
        <v>8.0866949665812857E-3</v>
      </c>
      <c r="M211" s="77">
        <v>129.16</v>
      </c>
      <c r="N211" s="77">
        <v>130.30000000000001</v>
      </c>
      <c r="O211" s="44">
        <v>145</v>
      </c>
      <c r="P211" s="48">
        <v>6.7799999999999999E-2</v>
      </c>
      <c r="Q211" s="48">
        <v>4.2099999999999999E-2</v>
      </c>
      <c r="R211" s="55">
        <f t="shared" si="130"/>
        <v>1.6426274569730365E-2</v>
      </c>
      <c r="S211" s="55">
        <f t="shared" si="131"/>
        <v>6.7770220437597395E-2</v>
      </c>
      <c r="T211" s="55">
        <f t="shared" si="132"/>
        <v>-2.0270270270270271E-2</v>
      </c>
      <c r="U211" s="55">
        <f t="shared" si="133"/>
        <v>7.6499999999999999E-2</v>
      </c>
      <c r="V211" s="56">
        <f t="shared" si="134"/>
        <v>6.6099999999999992E-2</v>
      </c>
    </row>
    <row r="212" spans="1:22">
      <c r="A212" s="142">
        <v>180</v>
      </c>
      <c r="B212" s="140" t="s">
        <v>240</v>
      </c>
      <c r="C212" s="141" t="s">
        <v>239</v>
      </c>
      <c r="D212" s="27">
        <v>247515287.08000001</v>
      </c>
      <c r="E212" s="28">
        <f t="shared" si="140"/>
        <v>4.1091981028430879E-3</v>
      </c>
      <c r="F212" s="77">
        <v>123.54</v>
      </c>
      <c r="G212" s="77">
        <v>123.54</v>
      </c>
      <c r="H212" s="44">
        <v>87</v>
      </c>
      <c r="I212" s="48">
        <v>5.0000000000000001E-4</v>
      </c>
      <c r="J212" s="48">
        <v>0.1061</v>
      </c>
      <c r="K212" s="27">
        <v>237042828.63999999</v>
      </c>
      <c r="L212" s="28">
        <f t="shared" si="129"/>
        <v>3.9180377864370518E-3</v>
      </c>
      <c r="M212" s="77">
        <v>123.91</v>
      </c>
      <c r="N212" s="77">
        <v>123.91</v>
      </c>
      <c r="O212" s="44">
        <v>87</v>
      </c>
      <c r="P212" s="48">
        <v>3.0000000000000001E-3</v>
      </c>
      <c r="Q212" s="48">
        <v>0.1094</v>
      </c>
      <c r="R212" s="55">
        <f t="shared" si="130"/>
        <v>-4.2310350053712836E-2</v>
      </c>
      <c r="S212" s="55">
        <f t="shared" si="131"/>
        <v>2.9949813825480842E-3</v>
      </c>
      <c r="T212" s="55">
        <f t="shared" si="132"/>
        <v>0</v>
      </c>
      <c r="U212" s="55">
        <f t="shared" si="133"/>
        <v>2.5000000000000001E-3</v>
      </c>
      <c r="V212" s="56">
        <f t="shared" si="134"/>
        <v>3.2999999999999974E-3</v>
      </c>
    </row>
    <row r="213" spans="1:22" ht="13.5" customHeight="1">
      <c r="A213" s="142">
        <v>181</v>
      </c>
      <c r="B213" s="140" t="s">
        <v>241</v>
      </c>
      <c r="C213" s="141" t="s">
        <v>87</v>
      </c>
      <c r="D213" s="27">
        <v>1552091448</v>
      </c>
      <c r="E213" s="28">
        <f t="shared" si="140"/>
        <v>2.576750433802168E-2</v>
      </c>
      <c r="F213" s="58">
        <v>106.5</v>
      </c>
      <c r="G213" s="58">
        <v>106.5</v>
      </c>
      <c r="H213" s="30">
        <v>633</v>
      </c>
      <c r="I213" s="48">
        <v>2.8999999999999998E-3</v>
      </c>
      <c r="J213" s="48">
        <v>0.14319999999999999</v>
      </c>
      <c r="K213" s="27">
        <v>1608335369</v>
      </c>
      <c r="L213" s="28">
        <f t="shared" si="129"/>
        <v>2.6583882689720083E-2</v>
      </c>
      <c r="M213" s="58">
        <v>106.81</v>
      </c>
      <c r="N213" s="58">
        <v>106.81</v>
      </c>
      <c r="O213" s="30">
        <v>638</v>
      </c>
      <c r="P213" s="48">
        <v>2.8999999999999998E-3</v>
      </c>
      <c r="Q213" s="48">
        <v>0.14369999999999999</v>
      </c>
      <c r="R213" s="55">
        <f t="shared" si="130"/>
        <v>3.6237504608684627E-2</v>
      </c>
      <c r="S213" s="55">
        <f t="shared" si="131"/>
        <v>2.910798122065749E-3</v>
      </c>
      <c r="T213" s="55">
        <f t="shared" si="132"/>
        <v>7.8988941548183249E-3</v>
      </c>
      <c r="U213" s="55">
        <f t="shared" si="133"/>
        <v>0</v>
      </c>
      <c r="V213" s="56">
        <f t="shared" si="134"/>
        <v>5.0000000000000044E-4</v>
      </c>
    </row>
    <row r="214" spans="1:22" ht="15.75" customHeight="1">
      <c r="A214" s="142">
        <v>182</v>
      </c>
      <c r="B214" s="140" t="s">
        <v>242</v>
      </c>
      <c r="C214" s="141" t="s">
        <v>49</v>
      </c>
      <c r="D214" s="27">
        <v>5821383527.6800003</v>
      </c>
      <c r="E214" s="28">
        <f t="shared" si="140"/>
        <v>9.6645417057141303E-2</v>
      </c>
      <c r="F214" s="58">
        <v>137.03</v>
      </c>
      <c r="G214" s="58">
        <v>137.03</v>
      </c>
      <c r="H214" s="30">
        <v>1347</v>
      </c>
      <c r="I214" s="48">
        <v>1.8E-3</v>
      </c>
      <c r="J214" s="48">
        <v>2.0299999999999999E-2</v>
      </c>
      <c r="K214" s="27">
        <v>5498551091.3500004</v>
      </c>
      <c r="L214" s="28">
        <f t="shared" si="129"/>
        <v>9.0884550569055311E-2</v>
      </c>
      <c r="M214" s="58">
        <v>137.28</v>
      </c>
      <c r="N214" s="58">
        <v>137.28</v>
      </c>
      <c r="O214" s="30">
        <v>1352</v>
      </c>
      <c r="P214" s="48">
        <v>1.8E-3</v>
      </c>
      <c r="Q214" s="48">
        <v>2.2200000000000001E-2</v>
      </c>
      <c r="R214" s="55">
        <f t="shared" si="130"/>
        <v>-5.5456307730794463E-2</v>
      </c>
      <c r="S214" s="55">
        <f t="shared" si="131"/>
        <v>1.8244180106546011E-3</v>
      </c>
      <c r="T214" s="55">
        <f t="shared" si="132"/>
        <v>3.7119524870081661E-3</v>
      </c>
      <c r="U214" s="55">
        <f t="shared" si="133"/>
        <v>0</v>
      </c>
      <c r="V214" s="56">
        <f t="shared" si="134"/>
        <v>1.9000000000000024E-3</v>
      </c>
    </row>
    <row r="215" spans="1:22">
      <c r="A215" s="142">
        <v>183</v>
      </c>
      <c r="B215" s="140" t="s">
        <v>243</v>
      </c>
      <c r="C215" s="141" t="s">
        <v>52</v>
      </c>
      <c r="D215" s="27">
        <v>4221574036.6999998</v>
      </c>
      <c r="E215" s="28">
        <f t="shared" si="140"/>
        <v>7.0085707542631173E-2</v>
      </c>
      <c r="F215" s="58">
        <v>1.1512</v>
      </c>
      <c r="G215" s="58">
        <v>1.1512</v>
      </c>
      <c r="H215" s="30">
        <v>1700</v>
      </c>
      <c r="I215" s="48">
        <v>0.1149</v>
      </c>
      <c r="J215" s="48">
        <v>0.1047</v>
      </c>
      <c r="K215" s="27">
        <v>4172531236.25</v>
      </c>
      <c r="L215" s="28">
        <f t="shared" si="129"/>
        <v>6.8967009643411445E-2</v>
      </c>
      <c r="M215" s="58">
        <v>1.137</v>
      </c>
      <c r="N215" s="58">
        <v>1.137</v>
      </c>
      <c r="O215" s="30">
        <v>1715</v>
      </c>
      <c r="P215" s="48">
        <v>-0.47639999999999999</v>
      </c>
      <c r="Q215" s="48">
        <v>7.5499999999999998E-2</v>
      </c>
      <c r="R215" s="55">
        <f t="shared" si="130"/>
        <v>-1.1617183548991248E-2</v>
      </c>
      <c r="S215" s="55">
        <f t="shared" si="131"/>
        <v>-1.2334954829742869E-2</v>
      </c>
      <c r="T215" s="55">
        <f t="shared" si="132"/>
        <v>8.8235294117647058E-3</v>
      </c>
      <c r="U215" s="55">
        <f t="shared" si="133"/>
        <v>-0.59129999999999994</v>
      </c>
      <c r="V215" s="56">
        <f t="shared" si="134"/>
        <v>-2.9200000000000004E-2</v>
      </c>
    </row>
    <row r="216" spans="1:22" ht="6" customHeight="1">
      <c r="A216" s="34"/>
      <c r="B216" s="162"/>
      <c r="C216" s="162"/>
      <c r="D216" s="162"/>
      <c r="E216" s="162"/>
      <c r="F216" s="162"/>
      <c r="G216" s="162"/>
      <c r="H216" s="162"/>
      <c r="I216" s="162"/>
      <c r="J216" s="162"/>
      <c r="K216" s="162"/>
      <c r="L216" s="162"/>
      <c r="M216" s="162"/>
      <c r="N216" s="162"/>
      <c r="O216" s="162"/>
      <c r="P216" s="162"/>
      <c r="Q216" s="162"/>
      <c r="R216" s="162"/>
      <c r="S216" s="162"/>
      <c r="T216" s="162"/>
      <c r="U216" s="162"/>
      <c r="V216" s="162"/>
    </row>
    <row r="217" spans="1:22">
      <c r="A217" s="166" t="s">
        <v>244</v>
      </c>
      <c r="B217" s="166"/>
      <c r="C217" s="166"/>
      <c r="D217" s="166"/>
      <c r="E217" s="166"/>
      <c r="F217" s="166"/>
      <c r="G217" s="166"/>
      <c r="H217" s="166"/>
      <c r="I217" s="166"/>
      <c r="J217" s="166"/>
      <c r="K217" s="166"/>
      <c r="L217" s="166"/>
      <c r="M217" s="166"/>
      <c r="N217" s="166"/>
      <c r="O217" s="166"/>
      <c r="P217" s="166"/>
      <c r="Q217" s="166"/>
      <c r="R217" s="166"/>
      <c r="S217" s="166"/>
      <c r="T217" s="166"/>
      <c r="U217" s="166"/>
      <c r="V217" s="166"/>
    </row>
    <row r="218" spans="1:22">
      <c r="A218" s="142">
        <v>184</v>
      </c>
      <c r="B218" s="140" t="s">
        <v>313</v>
      </c>
      <c r="C218" s="141" t="s">
        <v>23</v>
      </c>
      <c r="D218" s="76">
        <v>1277882636.03</v>
      </c>
      <c r="E218" s="28">
        <f>(D218/$D$195)</f>
        <v>0.19793602660534659</v>
      </c>
      <c r="F218" s="75">
        <v>78.894999999999996</v>
      </c>
      <c r="G218" s="75">
        <v>81.273799999999994</v>
      </c>
      <c r="H218" s="32">
        <v>1829</v>
      </c>
      <c r="I218" s="49">
        <v>0.13117000000000001</v>
      </c>
      <c r="J218" s="49">
        <v>0.32140000000000002</v>
      </c>
      <c r="K218" s="76">
        <v>1308311183.48</v>
      </c>
      <c r="L218" s="52">
        <f>(K218/$K$195)</f>
        <v>0.19321257826998653</v>
      </c>
      <c r="M218" s="75">
        <v>80.5</v>
      </c>
      <c r="N218" s="75">
        <v>82.927099999999996</v>
      </c>
      <c r="O218" s="32">
        <v>1837</v>
      </c>
      <c r="P218" s="49">
        <v>0.10607</v>
      </c>
      <c r="Q218" s="49">
        <v>0.35680000000000001</v>
      </c>
      <c r="R218" s="55">
        <f>((K218-D218)/D218)</f>
        <v>2.3811691772049164E-2</v>
      </c>
      <c r="S218" s="55">
        <f t="shared" ref="S218" si="141">((N218-G218)/G218)</f>
        <v>2.034234894886177E-2</v>
      </c>
      <c r="T218" s="55">
        <f t="shared" ref="T218" si="142">((O218-H218)/H218)</f>
        <v>4.3739748496446143E-3</v>
      </c>
      <c r="U218" s="55">
        <f t="shared" ref="U218" si="143">P218-I218</f>
        <v>-2.5100000000000011E-2</v>
      </c>
      <c r="V218" s="56">
        <f t="shared" ref="V218" si="144">Q218-J218</f>
        <v>3.5399999999999987E-2</v>
      </c>
    </row>
    <row r="219" spans="1:22">
      <c r="A219" s="157">
        <v>185</v>
      </c>
      <c r="B219" s="140" t="s">
        <v>245</v>
      </c>
      <c r="C219" s="141" t="s">
        <v>228</v>
      </c>
      <c r="D219" s="27">
        <v>234637181.44999999</v>
      </c>
      <c r="E219" s="28">
        <f t="shared" ref="E219" si="145">(D219/$D$221)</f>
        <v>3.8953984307205942E-3</v>
      </c>
      <c r="F219" s="33">
        <v>1141.5999999999999</v>
      </c>
      <c r="G219" s="33">
        <v>1141.5999999999999</v>
      </c>
      <c r="H219" s="30">
        <v>136</v>
      </c>
      <c r="I219" s="48">
        <v>1.4E-2</v>
      </c>
      <c r="J219" s="48">
        <v>4.0599999999999997E-2</v>
      </c>
      <c r="K219" s="27">
        <v>228609330.38999999</v>
      </c>
      <c r="L219" s="28">
        <f t="shared" ref="L219" si="146">(K219/$K$221)</f>
        <v>3.7786420282741539E-3</v>
      </c>
      <c r="M219" s="33">
        <v>1112.28</v>
      </c>
      <c r="N219" s="33">
        <v>1112.28</v>
      </c>
      <c r="O219" s="30">
        <v>136</v>
      </c>
      <c r="P219" s="48">
        <v>-2.5700000000000001E-2</v>
      </c>
      <c r="Q219" s="48">
        <v>1.7500000000000002E-2</v>
      </c>
      <c r="R219" s="55">
        <f t="shared" ref="R219" si="147">((K219-D219)/D219)</f>
        <v>-2.5690093201552147E-2</v>
      </c>
      <c r="S219" s="55">
        <f t="shared" ref="S219" si="148">((N219-G219)/G219)</f>
        <v>-2.5683251576734355E-2</v>
      </c>
      <c r="T219" s="55">
        <f t="shared" ref="T219" si="149">((O219-H219)/H219)</f>
        <v>0</v>
      </c>
      <c r="U219" s="55">
        <f t="shared" ref="U219" si="150">P219-I219</f>
        <v>-3.9699999999999999E-2</v>
      </c>
      <c r="V219" s="56">
        <f t="shared" ref="V219" si="151">Q219-J219</f>
        <v>-2.3099999999999996E-2</v>
      </c>
    </row>
    <row r="220" spans="1:22">
      <c r="A220" s="157">
        <v>186</v>
      </c>
      <c r="B220" s="140" t="s">
        <v>290</v>
      </c>
      <c r="C220" s="141" t="s">
        <v>291</v>
      </c>
      <c r="D220" s="27">
        <v>57796971.439999998</v>
      </c>
      <c r="E220" s="28">
        <f t="shared" ref="E220" si="152">(D220/$D$221)</f>
        <v>9.5953348253015758E-4</v>
      </c>
      <c r="F220" s="33">
        <v>103.99</v>
      </c>
      <c r="G220" s="33">
        <v>106.13</v>
      </c>
      <c r="H220" s="30">
        <v>160</v>
      </c>
      <c r="I220" s="48">
        <v>3.2000000000000002E-3</v>
      </c>
      <c r="J220" s="48">
        <v>3.9399999999999998E-2</v>
      </c>
      <c r="K220" s="27">
        <v>58876639.979999997</v>
      </c>
      <c r="L220" s="28">
        <f t="shared" ref="L220" si="153">(K220/$K$221)</f>
        <v>9.731612700691675E-4</v>
      </c>
      <c r="M220" s="33">
        <v>104.4</v>
      </c>
      <c r="N220" s="33">
        <v>106.55</v>
      </c>
      <c r="O220" s="30">
        <v>191</v>
      </c>
      <c r="P220" s="48">
        <v>3.3E-3</v>
      </c>
      <c r="Q220" s="48">
        <v>4.24E-2</v>
      </c>
      <c r="R220" s="55">
        <f t="shared" ref="R220" si="154">((K220-D220)/D220)</f>
        <v>1.8680365304621905E-2</v>
      </c>
      <c r="S220" s="55">
        <f t="shared" ref="S220" si="155">((N220-G220)/G220)</f>
        <v>3.9574107226985934E-3</v>
      </c>
      <c r="T220" s="55">
        <f t="shared" ref="T220" si="156">((O220-H220)/H220)</f>
        <v>0.19375000000000001</v>
      </c>
      <c r="U220" s="55">
        <f t="shared" ref="U220" si="157">P220-I220</f>
        <v>9.9999999999999829E-5</v>
      </c>
      <c r="V220" s="56">
        <f t="shared" ref="V220" si="158">Q220-J220</f>
        <v>3.0000000000000027E-3</v>
      </c>
    </row>
    <row r="221" spans="1:22">
      <c r="A221" s="34"/>
      <c r="B221" s="35"/>
      <c r="C221" s="69" t="s">
        <v>53</v>
      </c>
      <c r="D221" s="46">
        <f>SUM(D199:D220)</f>
        <v>60234449857.442543</v>
      </c>
      <c r="E221" s="38">
        <f>(D221/$D$222)</f>
        <v>1.0423943059591954E-2</v>
      </c>
      <c r="F221" s="39"/>
      <c r="G221" s="72"/>
      <c r="H221" s="82">
        <f>SUM(H199:H220)</f>
        <v>34280</v>
      </c>
      <c r="I221" s="79"/>
      <c r="J221" s="79"/>
      <c r="K221" s="46">
        <f>SUM(K199:K220)</f>
        <v>60500393707.422546</v>
      </c>
      <c r="L221" s="38">
        <f>(K221/$K$222)</f>
        <v>1.0409080722996235E-2</v>
      </c>
      <c r="M221" s="39"/>
      <c r="N221" s="72"/>
      <c r="O221" s="41">
        <f>SUM(O199:O220)</f>
        <v>34498</v>
      </c>
      <c r="P221" s="79"/>
      <c r="Q221" s="79"/>
      <c r="R221" s="55">
        <f t="shared" si="130"/>
        <v>4.4151453297808022E-3</v>
      </c>
      <c r="S221" s="55" t="e">
        <f t="shared" si="131"/>
        <v>#DIV/0!</v>
      </c>
      <c r="T221" s="55">
        <f t="shared" si="132"/>
        <v>6.3593932322053674E-3</v>
      </c>
      <c r="U221" s="55">
        <f t="shared" si="133"/>
        <v>0</v>
      </c>
      <c r="V221" s="56">
        <f t="shared" si="134"/>
        <v>0</v>
      </c>
    </row>
    <row r="222" spans="1:22">
      <c r="A222" s="83"/>
      <c r="B222" s="83"/>
      <c r="C222" s="84" t="s">
        <v>246</v>
      </c>
      <c r="D222" s="85">
        <f>SUM(D25,D69,D110,D150,D159,D190,D195,D221)</f>
        <v>5778470729655.0049</v>
      </c>
      <c r="E222" s="86"/>
      <c r="F222" s="86"/>
      <c r="G222" s="87"/>
      <c r="H222" s="85">
        <f>SUM(H25,H69,H110,H150,H159,H190,H195,H221)</f>
        <v>908028</v>
      </c>
      <c r="I222" s="109"/>
      <c r="J222" s="109"/>
      <c r="K222" s="85">
        <f>SUM(K25,K69,K110,K150,K159,K190,K195,K221)</f>
        <v>5812270585409.3535</v>
      </c>
      <c r="L222" s="86"/>
      <c r="M222" s="86"/>
      <c r="N222" s="87"/>
      <c r="O222" s="85">
        <f>SUM(O25,O69,O110,O150,O159,O190,O195,O221)</f>
        <v>911320</v>
      </c>
      <c r="P222" s="110"/>
      <c r="Q222" s="85"/>
      <c r="R222" s="116">
        <f t="shared" si="130"/>
        <v>5.8492735077619066E-3</v>
      </c>
      <c r="S222" s="116"/>
      <c r="T222" s="116"/>
      <c r="U222" s="116"/>
      <c r="V222" s="116"/>
    </row>
    <row r="223" spans="1:22" ht="6.75" customHeight="1">
      <c r="A223" s="34"/>
      <c r="B223" s="162"/>
      <c r="C223" s="162"/>
      <c r="D223" s="162"/>
      <c r="E223" s="162"/>
      <c r="F223" s="162"/>
      <c r="G223" s="162"/>
      <c r="H223" s="162"/>
      <c r="I223" s="162"/>
      <c r="J223" s="162"/>
      <c r="K223" s="162"/>
      <c r="L223" s="162"/>
      <c r="M223" s="162"/>
      <c r="N223" s="162"/>
      <c r="O223" s="162"/>
      <c r="P223" s="162"/>
      <c r="Q223" s="162"/>
      <c r="R223" s="162"/>
      <c r="S223" s="162"/>
      <c r="T223" s="162"/>
      <c r="U223" s="162"/>
      <c r="V223" s="35"/>
    </row>
    <row r="224" spans="1:22" ht="14.4" customHeight="1">
      <c r="A224" s="165" t="s">
        <v>247</v>
      </c>
      <c r="B224" s="165"/>
      <c r="C224" s="165"/>
      <c r="D224" s="165"/>
      <c r="E224" s="165"/>
      <c r="F224" s="165"/>
      <c r="G224" s="165"/>
      <c r="H224" s="165"/>
      <c r="I224" s="165"/>
      <c r="J224" s="165"/>
      <c r="K224" s="165"/>
      <c r="L224" s="165"/>
      <c r="M224" s="165"/>
      <c r="N224" s="165"/>
      <c r="O224" s="165"/>
      <c r="P224" s="165"/>
      <c r="Q224" s="165"/>
      <c r="R224" s="165"/>
      <c r="S224" s="165"/>
      <c r="T224" s="165"/>
      <c r="U224" s="165"/>
      <c r="V224" s="165"/>
    </row>
    <row r="225" spans="1:22" ht="14.4" customHeight="1">
      <c r="A225" s="142">
        <v>1</v>
      </c>
      <c r="B225" s="140" t="s">
        <v>312</v>
      </c>
      <c r="C225" s="141" t="s">
        <v>23</v>
      </c>
      <c r="D225" s="27">
        <f>915957.09*1550.4708</f>
        <v>1420164722.0979719</v>
      </c>
      <c r="E225" s="28">
        <f t="shared" ref="E225:E228" si="159">(D225/$D$221)</f>
        <v>2.3577283854324053E-2</v>
      </c>
      <c r="F225" s="33">
        <f>1.0066*1550.4708</f>
        <v>1560.7039072800001</v>
      </c>
      <c r="G225" s="33">
        <f>1.0066*1550.4708</f>
        <v>1560.7039072800001</v>
      </c>
      <c r="H225" s="30">
        <v>34</v>
      </c>
      <c r="I225" s="48">
        <v>6.2199999999999998E-2</v>
      </c>
      <c r="J225" s="48">
        <v>3.7100000000000001E-2</v>
      </c>
      <c r="K225" s="27">
        <f>983457.03*1543.537</f>
        <v>1518002313.7151101</v>
      </c>
      <c r="L225" s="28">
        <f>(K225/$K$230)</f>
        <v>8.6104133618522968E-2</v>
      </c>
      <c r="M225" s="33">
        <f>1.0074*1543.537</f>
        <v>1554.9591738000001</v>
      </c>
      <c r="N225" s="33">
        <f>1.0074*1543.537</f>
        <v>1554.9591738000001</v>
      </c>
      <c r="O225" s="30">
        <v>39</v>
      </c>
      <c r="P225" s="48">
        <v>4.1399999999999999E-2</v>
      </c>
      <c r="Q225" s="48">
        <v>3.7499999999999999E-2</v>
      </c>
      <c r="R225" s="55">
        <f t="shared" ref="R225" si="160">((K225-D225)/D225)</f>
        <v>6.8891720865031245E-2</v>
      </c>
      <c r="S225" s="55">
        <f t="shared" ref="S225" si="161">((N225-G225)/G225)</f>
        <v>-3.6808605740033438E-3</v>
      </c>
      <c r="T225" s="55">
        <f t="shared" ref="T225" si="162">((O225-H225)/H225)</f>
        <v>0.14705882352941177</v>
      </c>
      <c r="U225" s="55">
        <f t="shared" ref="U225" si="163">P225-I225</f>
        <v>-2.0799999999999999E-2</v>
      </c>
      <c r="V225" s="56">
        <f t="shared" ref="V225" si="164">Q225-J225</f>
        <v>3.9999999999999758E-4</v>
      </c>
    </row>
    <row r="226" spans="1:22" ht="14.4" customHeight="1">
      <c r="A226" s="142">
        <v>2</v>
      </c>
      <c r="B226" s="140" t="s">
        <v>248</v>
      </c>
      <c r="C226" s="141" t="s">
        <v>186</v>
      </c>
      <c r="D226" s="27">
        <v>4296580875.745923</v>
      </c>
      <c r="E226" s="28">
        <f t="shared" ref="E226" si="165">(D226/$D$221)</f>
        <v>7.1330955722425995E-2</v>
      </c>
      <c r="F226" s="33">
        <v>123.2</v>
      </c>
      <c r="G226" s="33">
        <v>123.2</v>
      </c>
      <c r="H226" s="30">
        <v>9</v>
      </c>
      <c r="I226" s="48">
        <v>0.28837558852777589</v>
      </c>
      <c r="J226" s="48">
        <v>0.24050855973222865</v>
      </c>
      <c r="K226" s="27">
        <v>4315257293.8993826</v>
      </c>
      <c r="L226" s="28">
        <f>(K226/$K$230)</f>
        <v>0.24477004236104927</v>
      </c>
      <c r="M226" s="33">
        <v>123.2</v>
      </c>
      <c r="N226" s="33">
        <v>123.2</v>
      </c>
      <c r="O226" s="30">
        <v>9</v>
      </c>
      <c r="P226" s="48">
        <v>0.29634366755976055</v>
      </c>
      <c r="Q226" s="48">
        <v>0.25265719366554723</v>
      </c>
      <c r="R226" s="55">
        <f t="shared" ref="R226" si="166">((K226-D226)/D226)</f>
        <v>4.3468094034694888E-3</v>
      </c>
      <c r="S226" s="55">
        <f t="shared" ref="S226" si="167">((N226-G226)/G226)</f>
        <v>0</v>
      </c>
      <c r="T226" s="55">
        <f t="shared" ref="T226" si="168">((O226-H226)/H226)</f>
        <v>0</v>
      </c>
      <c r="U226" s="55">
        <f t="shared" ref="U226" si="169">P226-I226</f>
        <v>7.9680790319846539E-3</v>
      </c>
      <c r="V226" s="56">
        <f t="shared" ref="V226" si="170">Q226-J226</f>
        <v>1.2148633933318581E-2</v>
      </c>
    </row>
    <row r="227" spans="1:22" ht="14.4" customHeight="1">
      <c r="A227" s="142">
        <v>3</v>
      </c>
      <c r="B227" s="140" t="s">
        <v>310</v>
      </c>
      <c r="C227" s="141" t="s">
        <v>31</v>
      </c>
      <c r="D227" s="27">
        <f>368370.65*1551.63</f>
        <v>571574951.65950012</v>
      </c>
      <c r="E227" s="28">
        <f t="shared" si="159"/>
        <v>9.4891702839861921E-3</v>
      </c>
      <c r="F227" s="33">
        <f>101.9*1551.63</f>
        <v>158111.09700000001</v>
      </c>
      <c r="G227" s="33">
        <f>101.9*1551.63</f>
        <v>158111.09700000001</v>
      </c>
      <c r="H227" s="30">
        <v>4</v>
      </c>
      <c r="I227" s="48">
        <v>1.9E-3</v>
      </c>
      <c r="J227" s="48">
        <v>1.9E-2</v>
      </c>
      <c r="K227" s="27">
        <f>370290.29*1545.2</f>
        <v>572172556.10800004</v>
      </c>
      <c r="L227" s="28">
        <f>(K227/$K$230)</f>
        <v>3.2454774132327911E-2</v>
      </c>
      <c r="M227" s="33">
        <f>102.43*1545.2</f>
        <v>158274.83600000001</v>
      </c>
      <c r="N227" s="33">
        <f>102.43*1545.2</f>
        <v>158274.83600000001</v>
      </c>
      <c r="O227" s="30">
        <v>4</v>
      </c>
      <c r="P227" s="48">
        <v>5.1999999999999998E-3</v>
      </c>
      <c r="Q227" s="48">
        <v>2.4299999999999999E-2</v>
      </c>
      <c r="R227" s="55">
        <f t="shared" ref="R227:R228" si="171">((K227-D227)/D227)</f>
        <v>1.0455399537100854E-3</v>
      </c>
      <c r="S227" s="55">
        <f t="shared" ref="S227:S228" si="172">((N227-G227)/G227)</f>
        <v>1.0355946110474547E-3</v>
      </c>
      <c r="T227" s="55">
        <f t="shared" ref="T227:T228" si="173">((O227-H227)/H227)</f>
        <v>0</v>
      </c>
      <c r="U227" s="55">
        <f t="shared" ref="U227:U228" si="174">P227-I227</f>
        <v>3.3E-3</v>
      </c>
      <c r="V227" s="56">
        <f t="shared" ref="V227:V228" si="175">Q227-J227</f>
        <v>5.2999999999999992E-3</v>
      </c>
    </row>
    <row r="228" spans="1:22" ht="14.4" customHeight="1">
      <c r="A228" s="142">
        <v>4</v>
      </c>
      <c r="B228" s="140" t="s">
        <v>297</v>
      </c>
      <c r="C228" s="141" t="s">
        <v>41</v>
      </c>
      <c r="D228" s="27">
        <v>11172053127.35</v>
      </c>
      <c r="E228" s="28">
        <f t="shared" si="159"/>
        <v>0.18547613788772052</v>
      </c>
      <c r="F228" s="33">
        <v>1.07</v>
      </c>
      <c r="G228" s="33">
        <v>1.07</v>
      </c>
      <c r="H228" s="30">
        <v>16</v>
      </c>
      <c r="I228" s="48">
        <v>6.0000000000000001E-3</v>
      </c>
      <c r="J228" s="48">
        <v>6.1400000000000003E-2</v>
      </c>
      <c r="K228" s="27">
        <v>11111817612.92</v>
      </c>
      <c r="L228" s="28">
        <f>(K228/$K$230)</f>
        <v>0.63028456534163257</v>
      </c>
      <c r="M228" s="33">
        <v>1.07</v>
      </c>
      <c r="N228" s="33">
        <v>1.07</v>
      </c>
      <c r="O228" s="30">
        <v>16</v>
      </c>
      <c r="P228" s="48">
        <v>5.0000000000000001E-4</v>
      </c>
      <c r="Q228" s="48">
        <v>4.7699999999999999E-2</v>
      </c>
      <c r="R228" s="55">
        <f t="shared" si="171"/>
        <v>-5.3916244170500206E-3</v>
      </c>
      <c r="S228" s="55">
        <f t="shared" si="172"/>
        <v>0</v>
      </c>
      <c r="T228" s="55">
        <f t="shared" si="173"/>
        <v>0</v>
      </c>
      <c r="U228" s="55">
        <f t="shared" si="174"/>
        <v>-5.4999999999999997E-3</v>
      </c>
      <c r="V228" s="56">
        <f t="shared" si="175"/>
        <v>-1.3700000000000004E-2</v>
      </c>
    </row>
    <row r="229" spans="1:22" ht="14.4" customHeight="1">
      <c r="A229" s="142">
        <v>5</v>
      </c>
      <c r="B229" s="140" t="s">
        <v>315</v>
      </c>
      <c r="C229" s="141" t="s">
        <v>52</v>
      </c>
      <c r="D229" s="27">
        <v>110518706.20999999</v>
      </c>
      <c r="E229" s="28">
        <f t="shared" ref="E229" si="176">(D229/$D$221)</f>
        <v>1.8348089253170849E-3</v>
      </c>
      <c r="F229" s="33">
        <v>1.0142</v>
      </c>
      <c r="G229" s="33">
        <v>1.0142</v>
      </c>
      <c r="H229" s="30">
        <v>4</v>
      </c>
      <c r="I229" s="48">
        <v>3.8E-3</v>
      </c>
      <c r="J229" s="48">
        <v>1.4200000000000001E-2</v>
      </c>
      <c r="K229" s="27">
        <v>112592716.64</v>
      </c>
      <c r="L229" s="28">
        <f>(K229/$K$230)</f>
        <v>6.386484546467233E-3</v>
      </c>
      <c r="M229" s="33">
        <v>1.0241</v>
      </c>
      <c r="N229" s="33">
        <v>1.0241</v>
      </c>
      <c r="O229" s="30">
        <v>5</v>
      </c>
      <c r="P229" s="48">
        <v>9.5999999999999992E-3</v>
      </c>
      <c r="Q229" s="48">
        <v>2.41E-2</v>
      </c>
      <c r="R229" s="55">
        <f t="shared" ref="R229:R230" si="177">((K229-D229)/D229)</f>
        <v>1.876614829401926E-2</v>
      </c>
      <c r="S229" s="55">
        <f t="shared" ref="S229" si="178">((N229-G229)/G229)</f>
        <v>9.7613882863340756E-3</v>
      </c>
      <c r="T229" s="55">
        <f t="shared" ref="T229" si="179">((O229-H229)/H229)</f>
        <v>0.25</v>
      </c>
      <c r="U229" s="55">
        <f t="shared" ref="U229" si="180">P229-I229</f>
        <v>5.7999999999999996E-3</v>
      </c>
      <c r="V229" s="56">
        <f t="shared" ref="V229" si="181">Q229-J229</f>
        <v>9.8999999999999991E-3</v>
      </c>
    </row>
    <row r="230" spans="1:22" ht="14.4" customHeight="1">
      <c r="A230" s="88"/>
      <c r="B230" s="88"/>
      <c r="C230" s="88" t="s">
        <v>53</v>
      </c>
      <c r="D230" s="88">
        <f>SUM(D225:D229)</f>
        <v>17570892383.063393</v>
      </c>
      <c r="E230" s="88"/>
      <c r="F230" s="88"/>
      <c r="G230" s="88"/>
      <c r="H230" s="88">
        <f>SUM(H225:H229)</f>
        <v>67</v>
      </c>
      <c r="I230" s="88"/>
      <c r="J230" s="88"/>
      <c r="K230" s="88">
        <f>SUM(K225:K229)</f>
        <v>17629842493.282494</v>
      </c>
      <c r="L230" s="38"/>
      <c r="M230" s="88"/>
      <c r="N230" s="88"/>
      <c r="O230" s="88">
        <f>SUM(O225:O229)</f>
        <v>73</v>
      </c>
      <c r="P230" s="88"/>
      <c r="Q230" s="88"/>
      <c r="R230" s="116">
        <f t="shared" si="177"/>
        <v>3.354986698110054E-3</v>
      </c>
      <c r="S230" s="88"/>
      <c r="T230" s="88"/>
      <c r="U230" s="88"/>
      <c r="V230" s="88"/>
    </row>
    <row r="231" spans="1:22" ht="6" customHeight="1">
      <c r="A231" s="34"/>
      <c r="B231" s="131"/>
      <c r="C231" s="69"/>
      <c r="D231" s="131"/>
      <c r="E231" s="131"/>
      <c r="F231" s="131"/>
      <c r="G231" s="131"/>
      <c r="H231" s="131"/>
      <c r="I231" s="131"/>
      <c r="J231" s="131"/>
      <c r="K231" s="131"/>
      <c r="L231" s="131"/>
      <c r="M231" s="131"/>
      <c r="N231" s="131"/>
      <c r="O231" s="131"/>
      <c r="P231" s="131"/>
      <c r="Q231" s="131"/>
      <c r="R231" s="131"/>
      <c r="S231" s="131"/>
      <c r="T231" s="131"/>
      <c r="U231" s="131"/>
      <c r="V231" s="35"/>
    </row>
    <row r="232" spans="1:22" ht="15.6">
      <c r="A232" s="165" t="s">
        <v>249</v>
      </c>
      <c r="B232" s="165"/>
      <c r="C232" s="165"/>
      <c r="D232" s="165"/>
      <c r="E232" s="165"/>
      <c r="F232" s="165"/>
      <c r="G232" s="165"/>
      <c r="H232" s="165"/>
      <c r="I232" s="165"/>
      <c r="J232" s="165"/>
      <c r="K232" s="165"/>
      <c r="L232" s="165"/>
      <c r="M232" s="165"/>
      <c r="N232" s="165"/>
      <c r="O232" s="165"/>
      <c r="P232" s="165"/>
      <c r="Q232" s="165"/>
      <c r="R232" s="165"/>
      <c r="S232" s="165"/>
      <c r="T232" s="165"/>
      <c r="U232" s="165"/>
      <c r="V232" s="165"/>
    </row>
    <row r="233" spans="1:22">
      <c r="A233" s="142">
        <v>1</v>
      </c>
      <c r="B233" s="140" t="s">
        <v>250</v>
      </c>
      <c r="C233" s="141" t="s">
        <v>251</v>
      </c>
      <c r="D233" s="27">
        <v>117431274879</v>
      </c>
      <c r="E233" s="28">
        <f>(D233/$D$235)</f>
        <v>0.89338882948127385</v>
      </c>
      <c r="F233" s="58">
        <v>111.28</v>
      </c>
      <c r="G233" s="58">
        <v>111.28</v>
      </c>
      <c r="H233" s="30">
        <v>0</v>
      </c>
      <c r="I233" s="48">
        <v>0.23899999999999999</v>
      </c>
      <c r="J233" s="48">
        <v>0.23899999999999999</v>
      </c>
      <c r="K233" s="27">
        <v>117431274879</v>
      </c>
      <c r="L233" s="28">
        <f>(K233/$K$235)</f>
        <v>0.89297413833915074</v>
      </c>
      <c r="M233" s="58">
        <v>111.28</v>
      </c>
      <c r="N233" s="58">
        <v>111.28</v>
      </c>
      <c r="O233" s="30">
        <v>0</v>
      </c>
      <c r="P233" s="48">
        <v>0.23899999999999999</v>
      </c>
      <c r="Q233" s="48">
        <v>0.23899999999999999</v>
      </c>
      <c r="R233" s="55">
        <f>((K233-D233)/D233)</f>
        <v>0</v>
      </c>
      <c r="S233" s="55">
        <f>((N233-G233)/G233)</f>
        <v>0</v>
      </c>
      <c r="T233" s="55" t="e">
        <f>((O233-H233)/H233)</f>
        <v>#DIV/0!</v>
      </c>
      <c r="U233" s="55">
        <f>P233-I233</f>
        <v>0</v>
      </c>
      <c r="V233" s="56">
        <f>Q233-J233</f>
        <v>0</v>
      </c>
    </row>
    <row r="234" spans="1:22" ht="14.4" customHeight="1">
      <c r="A234" s="142">
        <v>2</v>
      </c>
      <c r="B234" s="140" t="s">
        <v>252</v>
      </c>
      <c r="C234" s="141" t="s">
        <v>52</v>
      </c>
      <c r="D234" s="27">
        <v>14013479077.889999</v>
      </c>
      <c r="E234" s="28">
        <f>(D234/$D$235)</f>
        <v>0.10661117051872612</v>
      </c>
      <c r="F234" s="89">
        <v>1000000</v>
      </c>
      <c r="G234" s="89">
        <v>1000000</v>
      </c>
      <c r="H234" s="30">
        <v>26</v>
      </c>
      <c r="I234" s="48">
        <v>0.2218</v>
      </c>
      <c r="J234" s="48">
        <v>0.2218</v>
      </c>
      <c r="K234" s="27">
        <v>14074521131.41</v>
      </c>
      <c r="L234" s="28">
        <f>(K234/$K$235)</f>
        <v>0.10702586166084924</v>
      </c>
      <c r="M234" s="89">
        <v>1000000</v>
      </c>
      <c r="N234" s="89">
        <v>1000000</v>
      </c>
      <c r="O234" s="30">
        <v>26</v>
      </c>
      <c r="P234" s="48">
        <v>0.22289999999999999</v>
      </c>
      <c r="Q234" s="48">
        <v>0.22289999999999999</v>
      </c>
      <c r="R234" s="55">
        <f>((K234-D234)/D234)</f>
        <v>4.3559528066310508E-3</v>
      </c>
      <c r="S234" s="55">
        <f>((N234-G234)/G234)</f>
        <v>0</v>
      </c>
      <c r="T234" s="55">
        <f>((O234-H234)/H234)</f>
        <v>0</v>
      </c>
      <c r="U234" s="55">
        <f>P234-I234</f>
        <v>1.0999999999999899E-3</v>
      </c>
      <c r="V234" s="56">
        <f>Q234-J234</f>
        <v>1.0999999999999899E-3</v>
      </c>
    </row>
    <row r="235" spans="1:22" ht="15" customHeight="1">
      <c r="A235" s="83"/>
      <c r="B235" s="83"/>
      <c r="C235" s="84" t="s">
        <v>253</v>
      </c>
      <c r="D235" s="88">
        <f>SUM(D233:D234)</f>
        <v>131444753956.89</v>
      </c>
      <c r="E235" s="90"/>
      <c r="F235" s="91"/>
      <c r="G235" s="91"/>
      <c r="H235" s="88">
        <f>SUM(H233:H234)</f>
        <v>26</v>
      </c>
      <c r="I235" s="111"/>
      <c r="J235" s="111"/>
      <c r="K235" s="88">
        <f>SUM(K233:K234)</f>
        <v>131505796010.41</v>
      </c>
      <c r="L235" s="90"/>
      <c r="M235" s="91"/>
      <c r="N235" s="91"/>
      <c r="O235" s="88">
        <f>SUM(O233:O234)</f>
        <v>26</v>
      </c>
      <c r="P235" s="111"/>
      <c r="Q235" s="88"/>
      <c r="R235" s="116">
        <f>((K235-D235)/D235)</f>
        <v>4.6439322743929565E-4</v>
      </c>
      <c r="S235" s="117"/>
      <c r="T235" s="117"/>
      <c r="U235" s="116"/>
      <c r="V235" s="118"/>
    </row>
    <row r="236" spans="1:22" ht="4.5" customHeight="1">
      <c r="A236" s="34"/>
      <c r="B236" s="167"/>
      <c r="C236" s="167"/>
      <c r="D236" s="167"/>
      <c r="E236" s="167"/>
      <c r="F236" s="167"/>
      <c r="G236" s="167"/>
      <c r="H236" s="167"/>
      <c r="I236" s="167"/>
      <c r="J236" s="167"/>
      <c r="K236" s="167"/>
      <c r="L236" s="167"/>
      <c r="M236" s="167"/>
      <c r="N236" s="167"/>
      <c r="O236" s="167"/>
      <c r="P236" s="167"/>
      <c r="Q236" s="167"/>
      <c r="R236" s="167"/>
      <c r="S236" s="167"/>
      <c r="T236" s="167"/>
      <c r="U236" s="167"/>
      <c r="V236" s="167"/>
    </row>
    <row r="237" spans="1:22" ht="15.6">
      <c r="A237" s="165" t="s">
        <v>254</v>
      </c>
      <c r="B237" s="165"/>
      <c r="C237" s="165"/>
      <c r="D237" s="165"/>
      <c r="E237" s="165"/>
      <c r="F237" s="165"/>
      <c r="G237" s="165"/>
      <c r="H237" s="165"/>
      <c r="I237" s="165"/>
      <c r="J237" s="165"/>
      <c r="K237" s="165"/>
      <c r="L237" s="165"/>
      <c r="M237" s="165"/>
      <c r="N237" s="165"/>
      <c r="O237" s="165"/>
      <c r="P237" s="165"/>
      <c r="Q237" s="165"/>
      <c r="R237" s="165"/>
      <c r="S237" s="165"/>
      <c r="T237" s="165"/>
      <c r="U237" s="165"/>
      <c r="V237" s="165"/>
    </row>
    <row r="238" spans="1:22">
      <c r="A238" s="142">
        <v>1</v>
      </c>
      <c r="B238" s="140" t="s">
        <v>255</v>
      </c>
      <c r="C238" s="141" t="s">
        <v>80</v>
      </c>
      <c r="D238" s="92">
        <v>1126295478.96</v>
      </c>
      <c r="E238" s="93">
        <f t="shared" ref="E238:E249" si="182">(D238/$D$250)</f>
        <v>7.8008041219294291E-2</v>
      </c>
      <c r="F238" s="89">
        <v>275.20179999999999</v>
      </c>
      <c r="G238" s="89">
        <v>275.20179999999999</v>
      </c>
      <c r="H238" s="94">
        <v>266</v>
      </c>
      <c r="I238" s="50">
        <v>2.4067000000000002E-2</v>
      </c>
      <c r="J238" s="50">
        <v>0.12867200000000001</v>
      </c>
      <c r="K238" s="92">
        <v>1143726809.1500001</v>
      </c>
      <c r="L238" s="93">
        <f t="shared" ref="L238:L249" si="183">(K238/$K$250)</f>
        <v>7.8072079797511892E-2</v>
      </c>
      <c r="M238" s="89">
        <v>279.46100000000001</v>
      </c>
      <c r="N238" s="89">
        <v>279.46100000000001</v>
      </c>
      <c r="O238" s="94">
        <v>266</v>
      </c>
      <c r="P238" s="50">
        <v>1.5608E-2</v>
      </c>
      <c r="Q238" s="50">
        <v>0.14614099999999999</v>
      </c>
      <c r="R238" s="55">
        <f>((K238-D238)/D238)</f>
        <v>1.5476693741233711E-2</v>
      </c>
      <c r="S238" s="55">
        <f>((N238-G238)/G238)</f>
        <v>1.5476642958003986E-2</v>
      </c>
      <c r="T238" s="55">
        <f>((O238-H238)/H238)</f>
        <v>0</v>
      </c>
      <c r="U238" s="55">
        <f>P238-I238</f>
        <v>-8.4590000000000012E-3</v>
      </c>
      <c r="V238" s="56">
        <f>Q238-J238</f>
        <v>1.7468999999999985E-2</v>
      </c>
    </row>
    <row r="239" spans="1:22">
      <c r="A239" s="142">
        <v>2</v>
      </c>
      <c r="B239" s="140" t="s">
        <v>256</v>
      </c>
      <c r="C239" s="141" t="s">
        <v>228</v>
      </c>
      <c r="D239" s="92">
        <v>1386964764.45</v>
      </c>
      <c r="E239" s="93">
        <f t="shared" si="182"/>
        <v>9.6062184867179851E-2</v>
      </c>
      <c r="F239" s="89">
        <v>39.450000000000003</v>
      </c>
      <c r="G239" s="89">
        <v>43.6</v>
      </c>
      <c r="H239" s="94">
        <v>230</v>
      </c>
      <c r="I239" s="50">
        <v>4.3799999999999999E-2</v>
      </c>
      <c r="J239" s="50">
        <v>0.2868</v>
      </c>
      <c r="K239" s="92">
        <v>1426330664.0699999</v>
      </c>
      <c r="L239" s="93">
        <f t="shared" si="183"/>
        <v>9.7362937138519678E-2</v>
      </c>
      <c r="M239" s="89">
        <v>40.57</v>
      </c>
      <c r="N239" s="89">
        <v>44.84</v>
      </c>
      <c r="O239" s="94">
        <v>230</v>
      </c>
      <c r="P239" s="50">
        <v>2.8400000000000002E-2</v>
      </c>
      <c r="Q239" s="50">
        <v>0.32340000000000002</v>
      </c>
      <c r="R239" s="55">
        <f t="shared" ref="R239:R250" si="184">((K239-D239)/D239)</f>
        <v>2.8382768350723321E-2</v>
      </c>
      <c r="S239" s="55">
        <f t="shared" ref="S239:S250" si="185">((N239-G239)/G239)</f>
        <v>2.8440366972477107E-2</v>
      </c>
      <c r="T239" s="55">
        <f t="shared" ref="T239:T250" si="186">((O239-H239)/H239)</f>
        <v>0</v>
      </c>
      <c r="U239" s="55">
        <f t="shared" ref="U239:U250" si="187">P239-I239</f>
        <v>-1.5399999999999997E-2</v>
      </c>
      <c r="V239" s="56">
        <f t="shared" ref="V239:V250" si="188">Q239-J239</f>
        <v>3.6600000000000021E-2</v>
      </c>
    </row>
    <row r="240" spans="1:22">
      <c r="A240" s="142">
        <v>3</v>
      </c>
      <c r="B240" s="140" t="s">
        <v>257</v>
      </c>
      <c r="C240" s="141" t="s">
        <v>43</v>
      </c>
      <c r="D240" s="92">
        <v>432609342.26999998</v>
      </c>
      <c r="E240" s="93">
        <f t="shared" si="182"/>
        <v>2.9962836603775859E-2</v>
      </c>
      <c r="F240" s="89">
        <v>32.277306000000003</v>
      </c>
      <c r="G240" s="89">
        <v>32.660496999999999</v>
      </c>
      <c r="H240" s="94">
        <v>185</v>
      </c>
      <c r="I240" s="50">
        <v>4.8999999999999998E-3</v>
      </c>
      <c r="J240" s="50">
        <v>0.12870000000000001</v>
      </c>
      <c r="K240" s="92">
        <v>450764317.33999997</v>
      </c>
      <c r="L240" s="93">
        <f t="shared" si="183"/>
        <v>3.0769679849853022E-2</v>
      </c>
      <c r="M240" s="89">
        <v>33.631861999999998</v>
      </c>
      <c r="N240" s="89">
        <v>34.030737000000002</v>
      </c>
      <c r="O240" s="94">
        <v>185</v>
      </c>
      <c r="P240" s="50">
        <v>4.2000000000000003E-2</v>
      </c>
      <c r="Q240" s="50">
        <v>0.17610000000000001</v>
      </c>
      <c r="R240" s="55">
        <f t="shared" si="184"/>
        <v>4.1966211304491699E-2</v>
      </c>
      <c r="S240" s="55">
        <f t="shared" si="185"/>
        <v>4.1954046198378503E-2</v>
      </c>
      <c r="T240" s="55">
        <f t="shared" si="186"/>
        <v>0</v>
      </c>
      <c r="U240" s="55">
        <f t="shared" si="187"/>
        <v>3.7100000000000001E-2</v>
      </c>
      <c r="V240" s="56">
        <f t="shared" si="188"/>
        <v>4.7399999999999998E-2</v>
      </c>
    </row>
    <row r="241" spans="1:26">
      <c r="A241" s="142">
        <v>4</v>
      </c>
      <c r="B241" s="140" t="s">
        <v>258</v>
      </c>
      <c r="C241" s="141" t="s">
        <v>43</v>
      </c>
      <c r="D241" s="92">
        <v>906251086.13999999</v>
      </c>
      <c r="E241" s="93">
        <f t="shared" si="182"/>
        <v>6.2767607082927876E-2</v>
      </c>
      <c r="F241" s="89">
        <v>68.003725000000003</v>
      </c>
      <c r="G241" s="89">
        <v>68.458229000000003</v>
      </c>
      <c r="H241" s="94">
        <v>223</v>
      </c>
      <c r="I241" s="50">
        <v>8.3000000000000001E-3</v>
      </c>
      <c r="J241" s="50">
        <v>2.5100000000000001E-2</v>
      </c>
      <c r="K241" s="92">
        <v>960654119.60000002</v>
      </c>
      <c r="L241" s="93">
        <f t="shared" si="183"/>
        <v>6.5575331874015222E-2</v>
      </c>
      <c r="M241" s="89">
        <v>72.086046999999994</v>
      </c>
      <c r="N241" s="89">
        <v>72.563953999999995</v>
      </c>
      <c r="O241" s="94">
        <v>223</v>
      </c>
      <c r="P241" s="50">
        <v>0.06</v>
      </c>
      <c r="Q241" s="50">
        <v>8.6699999999999999E-2</v>
      </c>
      <c r="R241" s="55">
        <f t="shared" si="184"/>
        <v>6.0030861526157352E-2</v>
      </c>
      <c r="S241" s="55">
        <f t="shared" si="185"/>
        <v>5.9974163222948587E-2</v>
      </c>
      <c r="T241" s="55">
        <f t="shared" si="186"/>
        <v>0</v>
      </c>
      <c r="U241" s="55">
        <f t="shared" si="187"/>
        <v>5.1699999999999996E-2</v>
      </c>
      <c r="V241" s="56">
        <f t="shared" si="188"/>
        <v>6.1600000000000002E-2</v>
      </c>
    </row>
    <row r="242" spans="1:26">
      <c r="A242" s="142">
        <v>5</v>
      </c>
      <c r="B242" s="140" t="s">
        <v>259</v>
      </c>
      <c r="C242" s="141" t="s">
        <v>260</v>
      </c>
      <c r="D242" s="92">
        <v>1630368415.5999999</v>
      </c>
      <c r="E242" s="93">
        <f t="shared" si="182"/>
        <v>0.11292049816642932</v>
      </c>
      <c r="F242" s="89">
        <v>46900</v>
      </c>
      <c r="G242" s="89">
        <v>49760</v>
      </c>
      <c r="H242" s="94">
        <v>246</v>
      </c>
      <c r="I242" s="50">
        <v>-0.02</v>
      </c>
      <c r="J242" s="50">
        <v>0.3</v>
      </c>
      <c r="K242" s="92">
        <v>1575506761.1800001</v>
      </c>
      <c r="L242" s="93">
        <f t="shared" si="183"/>
        <v>0.10754586549543108</v>
      </c>
      <c r="M242" s="89">
        <v>45850</v>
      </c>
      <c r="N242" s="89">
        <v>48180</v>
      </c>
      <c r="O242" s="94">
        <v>246</v>
      </c>
      <c r="P242" s="50">
        <v>-3.4000000000000002E-2</v>
      </c>
      <c r="Q242" s="50">
        <v>0.25</v>
      </c>
      <c r="R242" s="55">
        <f t="shared" si="184"/>
        <v>-3.3649851098108967E-2</v>
      </c>
      <c r="S242" s="55">
        <f t="shared" si="185"/>
        <v>-3.1752411575562703E-2</v>
      </c>
      <c r="T242" s="55">
        <f t="shared" si="186"/>
        <v>0</v>
      </c>
      <c r="U242" s="55">
        <f t="shared" si="187"/>
        <v>-1.4000000000000002E-2</v>
      </c>
      <c r="V242" s="56">
        <f t="shared" si="188"/>
        <v>-4.9999999999999989E-2</v>
      </c>
    </row>
    <row r="243" spans="1:26">
      <c r="A243" s="142">
        <v>6</v>
      </c>
      <c r="B243" s="140" t="s">
        <v>261</v>
      </c>
      <c r="C243" s="141" t="s">
        <v>262</v>
      </c>
      <c r="D243" s="92">
        <v>824374231.50999999</v>
      </c>
      <c r="E243" s="93">
        <f t="shared" si="182"/>
        <v>5.7096756786360149E-2</v>
      </c>
      <c r="F243" s="89">
        <v>292.01</v>
      </c>
      <c r="G243" s="89">
        <v>292.01</v>
      </c>
      <c r="H243" s="94">
        <v>144</v>
      </c>
      <c r="I243" s="50">
        <v>4.4400000000000002E-2</v>
      </c>
      <c r="J243" s="50">
        <v>0.25569999999999998</v>
      </c>
      <c r="K243" s="92">
        <v>842516103.53999996</v>
      </c>
      <c r="L243" s="93">
        <f t="shared" si="183"/>
        <v>5.7511097877602516E-2</v>
      </c>
      <c r="M243" s="89">
        <v>292.01</v>
      </c>
      <c r="N243" s="89">
        <v>292.01</v>
      </c>
      <c r="O243" s="94">
        <v>144</v>
      </c>
      <c r="P243" s="50">
        <v>2.1999999999999999E-2</v>
      </c>
      <c r="Q243" s="50">
        <v>0.28289999999999998</v>
      </c>
      <c r="R243" s="55">
        <f t="shared" si="184"/>
        <v>2.2006840263274173E-2</v>
      </c>
      <c r="S243" s="55">
        <f t="shared" si="185"/>
        <v>0</v>
      </c>
      <c r="T243" s="55">
        <f t="shared" si="186"/>
        <v>0</v>
      </c>
      <c r="U243" s="55">
        <f t="shared" si="187"/>
        <v>-2.2400000000000003E-2</v>
      </c>
      <c r="V243" s="56">
        <f t="shared" si="188"/>
        <v>2.7200000000000002E-2</v>
      </c>
    </row>
    <row r="244" spans="1:26">
      <c r="A244" s="142">
        <v>7</v>
      </c>
      <c r="B244" s="140" t="s">
        <v>263</v>
      </c>
      <c r="C244" s="141" t="s">
        <v>262</v>
      </c>
      <c r="D244" s="92">
        <v>840588967.36000001</v>
      </c>
      <c r="E244" s="93">
        <f t="shared" si="182"/>
        <v>5.8219801143880555E-2</v>
      </c>
      <c r="F244" s="89">
        <v>310</v>
      </c>
      <c r="G244" s="89">
        <v>310</v>
      </c>
      <c r="H244" s="94">
        <v>657</v>
      </c>
      <c r="I244" s="50">
        <v>2.92E-2</v>
      </c>
      <c r="J244" s="50">
        <v>0.154</v>
      </c>
      <c r="K244" s="92">
        <v>854801853.59000003</v>
      </c>
      <c r="L244" s="93">
        <f t="shared" si="183"/>
        <v>5.8349737009432197E-2</v>
      </c>
      <c r="M244" s="89">
        <v>385</v>
      </c>
      <c r="N244" s="89">
        <v>385</v>
      </c>
      <c r="O244" s="94">
        <v>657</v>
      </c>
      <c r="P244" s="50">
        <v>1.6899999999999998E-2</v>
      </c>
      <c r="Q244" s="50">
        <v>0.17330000000000001</v>
      </c>
      <c r="R244" s="55">
        <f t="shared" si="184"/>
        <v>1.6908247409715346E-2</v>
      </c>
      <c r="S244" s="55">
        <f t="shared" si="185"/>
        <v>0.24193548387096775</v>
      </c>
      <c r="T244" s="55">
        <f t="shared" si="186"/>
        <v>0</v>
      </c>
      <c r="U244" s="55">
        <f t="shared" si="187"/>
        <v>-1.2300000000000002E-2</v>
      </c>
      <c r="V244" s="56">
        <f t="shared" si="188"/>
        <v>1.9300000000000012E-2</v>
      </c>
    </row>
    <row r="245" spans="1:26">
      <c r="A245" s="142">
        <v>8</v>
      </c>
      <c r="B245" s="140" t="s">
        <v>264</v>
      </c>
      <c r="C245" s="141" t="s">
        <v>265</v>
      </c>
      <c r="D245" s="92">
        <v>87909613.939999998</v>
      </c>
      <c r="E245" s="93">
        <f t="shared" si="182"/>
        <v>6.0886835789627763E-3</v>
      </c>
      <c r="F245" s="89">
        <v>25.16</v>
      </c>
      <c r="G245" s="89">
        <v>25.26</v>
      </c>
      <c r="H245" s="94">
        <v>96</v>
      </c>
      <c r="I245" s="50">
        <v>3.6999999999999998E-2</v>
      </c>
      <c r="J245" s="50">
        <v>0.46510000000000001</v>
      </c>
      <c r="K245" s="92">
        <v>91163314.930000007</v>
      </c>
      <c r="L245" s="93">
        <f t="shared" si="183"/>
        <v>6.2229105245072821E-3</v>
      </c>
      <c r="M245" s="89">
        <v>26.1</v>
      </c>
      <c r="N245" s="89">
        <v>26.2</v>
      </c>
      <c r="O245" s="94">
        <v>96</v>
      </c>
      <c r="P245" s="50">
        <v>3.1699999999999999E-2</v>
      </c>
      <c r="Q245" s="50">
        <v>0.51160000000000005</v>
      </c>
      <c r="R245" s="55">
        <f t="shared" si="184"/>
        <v>3.7011890328863498E-2</v>
      </c>
      <c r="S245" s="55">
        <f t="shared" si="185"/>
        <v>3.7212984956452796E-2</v>
      </c>
      <c r="T245" s="55">
        <f t="shared" si="186"/>
        <v>0</v>
      </c>
      <c r="U245" s="55">
        <f t="shared" si="187"/>
        <v>-5.2999999999999992E-3</v>
      </c>
      <c r="V245" s="56">
        <f t="shared" si="188"/>
        <v>4.6500000000000041E-2</v>
      </c>
    </row>
    <row r="246" spans="1:26">
      <c r="A246" s="142">
        <v>9</v>
      </c>
      <c r="B246" s="140" t="s">
        <v>266</v>
      </c>
      <c r="C246" s="141" t="s">
        <v>265</v>
      </c>
      <c r="D246" s="95">
        <v>810643211.04999995</v>
      </c>
      <c r="E246" s="93">
        <f t="shared" si="182"/>
        <v>5.614573635696473E-2</v>
      </c>
      <c r="F246" s="89">
        <v>12.57</v>
      </c>
      <c r="G246" s="89">
        <v>12.67</v>
      </c>
      <c r="H246" s="94">
        <v>142</v>
      </c>
      <c r="I246" s="50">
        <v>2.0400000000000001E-2</v>
      </c>
      <c r="J246" s="50">
        <v>0.14680000000000001</v>
      </c>
      <c r="K246" s="95">
        <v>828827782.59000003</v>
      </c>
      <c r="L246" s="93">
        <f t="shared" si="183"/>
        <v>5.6576717676882576E-2</v>
      </c>
      <c r="M246" s="89">
        <v>12.89</v>
      </c>
      <c r="N246" s="89">
        <v>12.99</v>
      </c>
      <c r="O246" s="94">
        <v>142</v>
      </c>
      <c r="P246" s="50">
        <v>0.04</v>
      </c>
      <c r="Q246" s="50">
        <v>0.19270000000000001</v>
      </c>
      <c r="R246" s="55">
        <f t="shared" si="184"/>
        <v>2.243227512686647E-2</v>
      </c>
      <c r="S246" s="55">
        <f t="shared" si="185"/>
        <v>2.5256511444356772E-2</v>
      </c>
      <c r="T246" s="55">
        <f t="shared" si="186"/>
        <v>0</v>
      </c>
      <c r="U246" s="55">
        <f t="shared" si="187"/>
        <v>1.9599999999999999E-2</v>
      </c>
      <c r="V246" s="56">
        <f t="shared" si="188"/>
        <v>4.5899999999999996E-2</v>
      </c>
    </row>
    <row r="247" spans="1:26" ht="15" customHeight="1">
      <c r="A247" s="142">
        <v>10</v>
      </c>
      <c r="B247" s="140" t="s">
        <v>267</v>
      </c>
      <c r="C247" s="141" t="s">
        <v>265</v>
      </c>
      <c r="D247" s="92">
        <v>98775750.730000004</v>
      </c>
      <c r="E247" s="93">
        <f t="shared" si="182"/>
        <v>6.8412800888870738E-3</v>
      </c>
      <c r="F247" s="89">
        <v>135.04</v>
      </c>
      <c r="G247" s="89">
        <v>137.04</v>
      </c>
      <c r="H247" s="94">
        <v>307</v>
      </c>
      <c r="I247" s="50">
        <v>1.6000000000000001E-3</v>
      </c>
      <c r="J247" s="50">
        <v>0.51459999999999995</v>
      </c>
      <c r="K247" s="92">
        <v>98899064.859999999</v>
      </c>
      <c r="L247" s="93">
        <f t="shared" si="183"/>
        <v>6.7509615249707585E-3</v>
      </c>
      <c r="M247" s="89">
        <v>135.21</v>
      </c>
      <c r="N247" s="89">
        <v>137.21</v>
      </c>
      <c r="O247" s="94">
        <v>307</v>
      </c>
      <c r="P247" s="50">
        <v>0</v>
      </c>
      <c r="Q247" s="50">
        <v>0.51219999999999999</v>
      </c>
      <c r="R247" s="55">
        <f t="shared" si="184"/>
        <v>1.2484251356091438E-3</v>
      </c>
      <c r="S247" s="55">
        <f t="shared" si="185"/>
        <v>1.2405137186224163E-3</v>
      </c>
      <c r="T247" s="55">
        <f t="shared" si="186"/>
        <v>0</v>
      </c>
      <c r="U247" s="55">
        <f t="shared" si="187"/>
        <v>-1.6000000000000001E-3</v>
      </c>
      <c r="V247" s="56">
        <f t="shared" si="188"/>
        <v>-2.3999999999999577E-3</v>
      </c>
    </row>
    <row r="248" spans="1:26">
      <c r="A248" s="142">
        <v>11</v>
      </c>
      <c r="B248" s="140" t="s">
        <v>268</v>
      </c>
      <c r="C248" s="141" t="s">
        <v>265</v>
      </c>
      <c r="D248" s="92">
        <v>6230706594.4899998</v>
      </c>
      <c r="E248" s="93">
        <f t="shared" si="182"/>
        <v>0.43154325479234779</v>
      </c>
      <c r="F248" s="89">
        <v>43.85</v>
      </c>
      <c r="G248" s="89">
        <v>44.05</v>
      </c>
      <c r="H248" s="94">
        <v>318</v>
      </c>
      <c r="I248" s="50">
        <v>4.7600000000000003E-2</v>
      </c>
      <c r="J248" s="50">
        <v>0.17019999999999999</v>
      </c>
      <c r="K248" s="92">
        <v>6311656949.4300003</v>
      </c>
      <c r="L248" s="93">
        <f t="shared" si="183"/>
        <v>0.43084081012023673</v>
      </c>
      <c r="M248" s="89">
        <v>44.54</v>
      </c>
      <c r="N248" s="89">
        <v>44.74</v>
      </c>
      <c r="O248" s="94">
        <v>318</v>
      </c>
      <c r="P248" s="50">
        <v>4.4999999999999997E-3</v>
      </c>
      <c r="Q248" s="50">
        <v>0.17549999999999999</v>
      </c>
      <c r="R248" s="55">
        <f t="shared" si="184"/>
        <v>1.2992162881106831E-2</v>
      </c>
      <c r="S248" s="55">
        <f t="shared" si="185"/>
        <v>1.5664018161180588E-2</v>
      </c>
      <c r="T248" s="55">
        <f t="shared" si="186"/>
        <v>0</v>
      </c>
      <c r="U248" s="55">
        <f t="shared" si="187"/>
        <v>-4.3100000000000006E-2</v>
      </c>
      <c r="V248" s="56">
        <f t="shared" si="188"/>
        <v>5.2999999999999992E-3</v>
      </c>
    </row>
    <row r="249" spans="1:26">
      <c r="A249" s="142">
        <v>12</v>
      </c>
      <c r="B249" s="140" t="s">
        <v>269</v>
      </c>
      <c r="C249" s="141" t="s">
        <v>265</v>
      </c>
      <c r="D249" s="95">
        <v>62709700.556999996</v>
      </c>
      <c r="E249" s="93">
        <f t="shared" si="182"/>
        <v>4.3433193129897938E-3</v>
      </c>
      <c r="F249" s="89">
        <v>35.049999999999997</v>
      </c>
      <c r="G249" s="89">
        <v>35.25</v>
      </c>
      <c r="H249" s="94">
        <v>89</v>
      </c>
      <c r="I249" s="50">
        <v>0</v>
      </c>
      <c r="J249" s="50">
        <v>-0.129</v>
      </c>
      <c r="K249" s="95">
        <v>64778760.210000001</v>
      </c>
      <c r="L249" s="93">
        <f t="shared" si="183"/>
        <v>4.4218711110370823E-3</v>
      </c>
      <c r="M249" s="89">
        <v>36.43</v>
      </c>
      <c r="N249" s="89">
        <v>36.630000000000003</v>
      </c>
      <c r="O249" s="94">
        <v>89</v>
      </c>
      <c r="P249" s="50">
        <v>2.3300000000000001E-2</v>
      </c>
      <c r="Q249" s="50">
        <v>-0.1087</v>
      </c>
      <c r="R249" s="55">
        <f t="shared" si="184"/>
        <v>3.2994251840181128E-2</v>
      </c>
      <c r="S249" s="55">
        <f t="shared" si="185"/>
        <v>3.9148936170212839E-2</v>
      </c>
      <c r="T249" s="55">
        <f t="shared" si="186"/>
        <v>0</v>
      </c>
      <c r="U249" s="55">
        <f t="shared" si="187"/>
        <v>2.3300000000000001E-2</v>
      </c>
      <c r="V249" s="56">
        <f t="shared" si="188"/>
        <v>2.0299999999999999E-2</v>
      </c>
    </row>
    <row r="250" spans="1:26">
      <c r="A250" s="127"/>
      <c r="B250" s="127"/>
      <c r="C250" s="128" t="s">
        <v>270</v>
      </c>
      <c r="D250" s="88">
        <f>SUM(D238:D249)</f>
        <v>14438197157.056999</v>
      </c>
      <c r="E250" s="90"/>
      <c r="F250" s="90"/>
      <c r="G250" s="91"/>
      <c r="H250" s="88">
        <f>SUM(H238:H249)</f>
        <v>2903</v>
      </c>
      <c r="I250" s="111"/>
      <c r="J250" s="111"/>
      <c r="K250" s="88">
        <f>SUM(K238:K249)</f>
        <v>14649626500.49</v>
      </c>
      <c r="L250" s="90"/>
      <c r="M250" s="90"/>
      <c r="N250" s="91"/>
      <c r="O250" s="88">
        <f>SUM(O238:O249)</f>
        <v>2903</v>
      </c>
      <c r="P250" s="111"/>
      <c r="Q250" s="111"/>
      <c r="R250" s="55">
        <f t="shared" si="184"/>
        <v>1.46437495715772E-2</v>
      </c>
      <c r="S250" s="55" t="e">
        <f t="shared" si="185"/>
        <v>#DIV/0!</v>
      </c>
      <c r="T250" s="55">
        <f t="shared" si="186"/>
        <v>0</v>
      </c>
      <c r="U250" s="55">
        <f t="shared" si="187"/>
        <v>0</v>
      </c>
      <c r="V250" s="56">
        <f t="shared" si="188"/>
        <v>0</v>
      </c>
      <c r="Z250" s="63"/>
    </row>
    <row r="251" spans="1:26">
      <c r="A251" s="96"/>
      <c r="B251" s="96"/>
      <c r="C251" s="97" t="s">
        <v>271</v>
      </c>
      <c r="D251" s="98">
        <f>SUM(D222,D230,D235,D250)</f>
        <v>5941924573152.0146</v>
      </c>
      <c r="E251" s="99"/>
      <c r="F251" s="99"/>
      <c r="G251" s="100"/>
      <c r="H251" s="98">
        <f>SUM(H222,H230,H235,H250)</f>
        <v>911024</v>
      </c>
      <c r="I251" s="112"/>
      <c r="J251" s="112"/>
      <c r="K251" s="98">
        <f>SUM(K222,K230,K235,K250)</f>
        <v>5976055850413.5361</v>
      </c>
      <c r="L251" s="99"/>
      <c r="M251" s="99"/>
      <c r="N251" s="98"/>
      <c r="O251" s="98">
        <f>SUM(O222,O230,O235,O250)</f>
        <v>914322</v>
      </c>
      <c r="P251" s="113"/>
      <c r="Q251" s="98"/>
      <c r="R251" s="119"/>
      <c r="S251" s="120"/>
      <c r="T251" s="120"/>
      <c r="U251" s="121"/>
      <c r="V251" s="121"/>
      <c r="Z251" s="63"/>
    </row>
    <row r="252" spans="1:26">
      <c r="A252" s="101" t="s">
        <v>272</v>
      </c>
      <c r="B252" s="125" t="s">
        <v>322</v>
      </c>
      <c r="C252" s="102"/>
      <c r="D252" s="102"/>
      <c r="E252" s="102"/>
      <c r="F252" s="102"/>
      <c r="G252" s="102"/>
      <c r="H252" s="102"/>
      <c r="I252" s="102"/>
      <c r="J252" s="102"/>
      <c r="K252" s="102"/>
      <c r="L252" s="102"/>
      <c r="M252" s="102"/>
      <c r="N252" s="102"/>
      <c r="O252" s="102"/>
      <c r="P252" s="102"/>
      <c r="Q252" s="102"/>
      <c r="R252" s="102"/>
      <c r="S252" s="102"/>
      <c r="T252" s="102"/>
      <c r="U252" s="102"/>
      <c r="V252" s="102"/>
    </row>
    <row r="253" spans="1:26">
      <c r="B253" s="124"/>
    </row>
    <row r="254" spans="1:26">
      <c r="B254" s="124"/>
      <c r="C254" s="103"/>
      <c r="D254" s="104"/>
      <c r="K254" s="104"/>
    </row>
    <row r="255" spans="1:26" ht="15">
      <c r="B255" s="105"/>
      <c r="C255" s="106"/>
      <c r="D255" s="107"/>
      <c r="F255" s="108"/>
      <c r="G255" s="108"/>
      <c r="I255" s="114"/>
      <c r="J255" s="115"/>
    </row>
    <row r="256" spans="1:26">
      <c r="C256" s="124"/>
    </row>
    <row r="258" spans="2:2">
      <c r="B258" s="103"/>
    </row>
  </sheetData>
  <sheetProtection algorithmName="SHA-512" hashValue="Fzx5UAJs6P0kzN5wtzmYupYJ8Xj6SR4OF7LfAyc5r3QPBQHmiK5hijLNuMBiQBV4ZkmNpswUK0kHbdzF64g6Jg==" saltValue="TPqU1oK4OnexSdc+4CVY+A==" spinCount="100000" sheet="1" objects="1" scenarios="1"/>
  <sortState ref="A150:C177">
    <sortCondition descending="1" ref="A149"/>
  </sortState>
  <mergeCells count="34">
    <mergeCell ref="A224:V224"/>
    <mergeCell ref="A232:V232"/>
    <mergeCell ref="B236:V236"/>
    <mergeCell ref="A237:V237"/>
    <mergeCell ref="B201:V201"/>
    <mergeCell ref="A202:V202"/>
    <mergeCell ref="B216:V216"/>
    <mergeCell ref="A217:V217"/>
    <mergeCell ref="B223:U223"/>
    <mergeCell ref="B191:V191"/>
    <mergeCell ref="A192:V192"/>
    <mergeCell ref="B196:V196"/>
    <mergeCell ref="A197:V197"/>
    <mergeCell ref="A198:V198"/>
    <mergeCell ref="A132:V132"/>
    <mergeCell ref="B151:V151"/>
    <mergeCell ref="A152:V152"/>
    <mergeCell ref="B160:V160"/>
    <mergeCell ref="A161:V161"/>
    <mergeCell ref="A71:V71"/>
    <mergeCell ref="B111:V111"/>
    <mergeCell ref="A112:V112"/>
    <mergeCell ref="A113:V113"/>
    <mergeCell ref="B131:V131"/>
    <mergeCell ref="B4:V4"/>
    <mergeCell ref="A5:V5"/>
    <mergeCell ref="B26:V26"/>
    <mergeCell ref="A27:V27"/>
    <mergeCell ref="B70:V70"/>
    <mergeCell ref="A1:V1"/>
    <mergeCell ref="D2:J2"/>
    <mergeCell ref="K2:Q2"/>
    <mergeCell ref="R2:T2"/>
    <mergeCell ref="U2:V2"/>
  </mergeCells>
  <pageMargins left="0.7" right="0.7" top="0.75" bottom="0.75" header="0.3" footer="0.3"/>
  <pageSetup paperSize="9" orientation="portrait" horizontalDpi="300" verticalDpi="300" r:id="rId1"/>
  <ignoredErrors>
    <ignoredError sqref="L95 E95 E76 L48 E48 L34 E34 L136 E136" formula="1"/>
    <ignoredError sqref="S159 S25 S69 S110 S150 S190 S195 S221 S250 T233:T234 R49:T49 R136 R125:T125 R45:T45" evalError="1"/>
    <ignoredError sqref="P122:Q122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92D050"/>
  </sheetPr>
  <dimension ref="A1:G29"/>
  <sheetViews>
    <sheetView zoomScaleNormal="100" workbookViewId="0">
      <selection activeCell="E7" sqref="E7"/>
    </sheetView>
  </sheetViews>
  <sheetFormatPr defaultColWidth="9" defaultRowHeight="14.4"/>
  <cols>
    <col min="1" max="1" width="34" customWidth="1"/>
    <col min="2" max="2" width="17.6640625" customWidth="1"/>
    <col min="3" max="3" width="16.109375" customWidth="1"/>
  </cols>
  <sheetData>
    <row r="1" spans="1:7">
      <c r="A1" s="139"/>
      <c r="B1" s="139"/>
      <c r="C1" s="139"/>
      <c r="D1" s="139"/>
      <c r="E1" s="15"/>
      <c r="F1" s="15"/>
      <c r="G1" s="145"/>
    </row>
    <row r="2" spans="1:7" ht="27.6">
      <c r="A2" s="178" t="s">
        <v>273</v>
      </c>
      <c r="B2" s="179" t="s">
        <v>319</v>
      </c>
      <c r="C2" s="179" t="s">
        <v>324</v>
      </c>
      <c r="D2" s="180"/>
      <c r="E2" s="15"/>
      <c r="F2" s="15"/>
      <c r="G2" s="145"/>
    </row>
    <row r="3" spans="1:7">
      <c r="A3" s="181" t="s">
        <v>17</v>
      </c>
      <c r="B3" s="182">
        <f t="shared" ref="B3:C10" si="0">B13</f>
        <v>45.399164105915702</v>
      </c>
      <c r="C3" s="182">
        <f t="shared" si="0"/>
        <v>47.767435566352702</v>
      </c>
      <c r="D3" s="180"/>
      <c r="E3" s="15"/>
      <c r="F3" s="15"/>
      <c r="G3" s="145"/>
    </row>
    <row r="4" spans="1:7" ht="15.6" customHeight="1">
      <c r="A4" s="178" t="s">
        <v>54</v>
      </c>
      <c r="B4" s="183">
        <f t="shared" si="0"/>
        <v>3113.1674255467333</v>
      </c>
      <c r="C4" s="183">
        <f t="shared" si="0"/>
        <v>3143.9721279913156</v>
      </c>
      <c r="D4" s="180"/>
      <c r="E4" s="15"/>
      <c r="F4" s="15"/>
      <c r="G4" s="145"/>
    </row>
    <row r="5" spans="1:7" ht="16.2" customHeight="1">
      <c r="A5" s="178" t="s">
        <v>274</v>
      </c>
      <c r="B5" s="182">
        <f t="shared" si="0"/>
        <v>210.0706640520512</v>
      </c>
      <c r="C5" s="182">
        <f t="shared" si="0"/>
        <v>209.22973471064913</v>
      </c>
      <c r="D5" s="180"/>
      <c r="E5" s="15"/>
      <c r="F5" s="15"/>
      <c r="G5" s="145"/>
    </row>
    <row r="6" spans="1:7">
      <c r="A6" s="178" t="s">
        <v>154</v>
      </c>
      <c r="B6" s="183">
        <f t="shared" si="0"/>
        <v>1920.9563961769661</v>
      </c>
      <c r="C6" s="183">
        <f t="shared" si="0"/>
        <v>1919.9030689790252</v>
      </c>
      <c r="D6" s="180"/>
      <c r="E6" s="15"/>
      <c r="F6" s="15"/>
      <c r="G6" s="145"/>
    </row>
    <row r="7" spans="1:7">
      <c r="A7" s="178" t="s">
        <v>275</v>
      </c>
      <c r="B7" s="182">
        <f t="shared" si="0"/>
        <v>358.53577928737019</v>
      </c>
      <c r="C7" s="182">
        <f t="shared" si="0"/>
        <v>358.38497647111234</v>
      </c>
      <c r="D7" s="180"/>
      <c r="E7" s="15"/>
      <c r="F7" s="15"/>
      <c r="G7" s="145"/>
    </row>
    <row r="8" spans="1:7">
      <c r="A8" s="178" t="s">
        <v>191</v>
      </c>
      <c r="B8" s="184">
        <f t="shared" si="0"/>
        <v>63.650811988436374</v>
      </c>
      <c r="C8" s="184">
        <f t="shared" si="0"/>
        <v>65.74149181611628</v>
      </c>
      <c r="D8" s="180"/>
      <c r="E8" s="15"/>
      <c r="F8" s="15"/>
      <c r="G8" s="145"/>
    </row>
    <row r="9" spans="1:7">
      <c r="A9" s="178" t="s">
        <v>221</v>
      </c>
      <c r="B9" s="182">
        <f t="shared" si="0"/>
        <v>6.4560386400900001</v>
      </c>
      <c r="C9" s="182">
        <f t="shared" si="0"/>
        <v>6.7713561673599996</v>
      </c>
      <c r="D9" s="180"/>
      <c r="E9" s="15"/>
      <c r="F9" s="15"/>
      <c r="G9" s="145"/>
    </row>
    <row r="10" spans="1:7">
      <c r="A10" s="178" t="s">
        <v>276</v>
      </c>
      <c r="B10" s="182">
        <f t="shared" si="0"/>
        <v>60.234449857442542</v>
      </c>
      <c r="C10" s="182">
        <f t="shared" si="0"/>
        <v>60.500393707422546</v>
      </c>
      <c r="D10" s="180"/>
      <c r="E10" s="15"/>
      <c r="F10" s="15"/>
      <c r="G10" s="145"/>
    </row>
    <row r="11" spans="1:7">
      <c r="A11" s="178"/>
      <c r="B11" s="182"/>
      <c r="C11" s="182"/>
      <c r="D11" s="180"/>
      <c r="E11" s="15"/>
      <c r="F11" s="15"/>
      <c r="G11" s="145"/>
    </row>
    <row r="12" spans="1:7">
      <c r="A12" s="139"/>
      <c r="B12" s="139"/>
      <c r="C12" s="139"/>
      <c r="D12" s="139"/>
      <c r="E12" s="15"/>
      <c r="F12" s="15"/>
      <c r="G12" s="145"/>
    </row>
    <row r="13" spans="1:7">
      <c r="A13" s="185" t="s">
        <v>17</v>
      </c>
      <c r="B13" s="147">
        <f>'Weekly Valuation'!D25/1000000000</f>
        <v>45.399164105915702</v>
      </c>
      <c r="C13" s="148">
        <f>'Weekly Valuation'!K25/1000000000</f>
        <v>47.767435566352702</v>
      </c>
      <c r="D13" s="139"/>
      <c r="E13" s="15"/>
      <c r="F13" s="15"/>
      <c r="G13" s="145"/>
    </row>
    <row r="14" spans="1:7">
      <c r="A14" s="149" t="s">
        <v>54</v>
      </c>
      <c r="B14" s="147">
        <f>'Weekly Valuation'!D69/1000000000</f>
        <v>3113.1674255467333</v>
      </c>
      <c r="C14" s="186">
        <f>'Weekly Valuation'!K69/1000000000</f>
        <v>3143.9721279913156</v>
      </c>
      <c r="D14" s="139"/>
      <c r="E14" s="15"/>
      <c r="F14" s="15"/>
      <c r="G14" s="145"/>
    </row>
    <row r="15" spans="1:7">
      <c r="A15" s="149" t="s">
        <v>274</v>
      </c>
      <c r="B15" s="147">
        <f>'Weekly Valuation'!D110/1000000000</f>
        <v>210.0706640520512</v>
      </c>
      <c r="C15" s="148">
        <f>'Weekly Valuation'!K110/1000000000</f>
        <v>209.22973471064913</v>
      </c>
      <c r="D15" s="139"/>
      <c r="E15" s="15"/>
      <c r="F15" s="15"/>
      <c r="G15" s="145"/>
    </row>
    <row r="16" spans="1:7">
      <c r="A16" s="149" t="s">
        <v>154</v>
      </c>
      <c r="B16" s="147">
        <f>'Weekly Valuation'!D150/1000000000</f>
        <v>1920.9563961769661</v>
      </c>
      <c r="C16" s="186">
        <f>'Weekly Valuation'!K150/1000000000</f>
        <v>1919.9030689790252</v>
      </c>
      <c r="D16" s="139"/>
      <c r="E16" s="15"/>
      <c r="F16" s="15"/>
      <c r="G16" s="145"/>
    </row>
    <row r="17" spans="1:7">
      <c r="A17" s="149" t="s">
        <v>275</v>
      </c>
      <c r="B17" s="147">
        <f>'Weekly Valuation'!D159/1000000000</f>
        <v>358.53577928737019</v>
      </c>
      <c r="C17" s="148">
        <f>'Weekly Valuation'!K159/1000000000</f>
        <v>358.38497647111234</v>
      </c>
      <c r="D17" s="139"/>
      <c r="E17" s="15"/>
      <c r="F17" s="15"/>
      <c r="G17" s="145"/>
    </row>
    <row r="18" spans="1:7">
      <c r="A18" s="149" t="s">
        <v>191</v>
      </c>
      <c r="B18" s="147">
        <f>'Weekly Valuation'!D190/1000000000</f>
        <v>63.650811988436374</v>
      </c>
      <c r="C18" s="187">
        <f>'Weekly Valuation'!K190/1000000000</f>
        <v>65.74149181611628</v>
      </c>
      <c r="D18" s="139"/>
      <c r="E18" s="15"/>
      <c r="F18" s="15"/>
      <c r="G18" s="145"/>
    </row>
    <row r="19" spans="1:7">
      <c r="A19" s="149" t="s">
        <v>221</v>
      </c>
      <c r="B19" s="147">
        <f>'Weekly Valuation'!D195/1000000000</f>
        <v>6.4560386400900001</v>
      </c>
      <c r="C19" s="148">
        <f>'Weekly Valuation'!K195/1000000000</f>
        <v>6.7713561673599996</v>
      </c>
      <c r="D19" s="139"/>
      <c r="E19" s="15"/>
      <c r="F19" s="15"/>
      <c r="G19" s="145"/>
    </row>
    <row r="20" spans="1:7">
      <c r="A20" s="149" t="s">
        <v>276</v>
      </c>
      <c r="B20" s="147">
        <f>'Weekly Valuation'!D221/1000000000</f>
        <v>60.234449857442542</v>
      </c>
      <c r="C20" s="148">
        <f>'Weekly Valuation'!K221/1000000000</f>
        <v>60.500393707422546</v>
      </c>
      <c r="D20" s="139"/>
      <c r="E20" s="19"/>
      <c r="F20" s="15"/>
      <c r="G20" s="145"/>
    </row>
    <row r="21" spans="1:7">
      <c r="A21" s="137"/>
      <c r="B21" s="139"/>
      <c r="C21" s="150"/>
      <c r="D21" s="139"/>
      <c r="E21" s="19"/>
      <c r="F21" s="15"/>
      <c r="G21" s="145"/>
    </row>
    <row r="22" spans="1:7">
      <c r="A22" s="137"/>
      <c r="B22" s="139"/>
      <c r="C22" s="138"/>
      <c r="D22" s="139"/>
      <c r="E22" s="19"/>
      <c r="F22" s="15"/>
      <c r="G22" s="145"/>
    </row>
    <row r="23" spans="1:7">
      <c r="A23" s="152"/>
      <c r="B23" s="146"/>
      <c r="C23" s="153"/>
      <c r="D23" s="15"/>
      <c r="E23" s="15"/>
      <c r="F23" s="15"/>
      <c r="G23" s="145"/>
    </row>
    <row r="24" spans="1:7">
      <c r="A24" s="152"/>
      <c r="B24" s="146"/>
      <c r="C24" s="146"/>
      <c r="D24" s="15"/>
      <c r="E24" s="15"/>
      <c r="F24" s="15"/>
      <c r="G24" s="145"/>
    </row>
    <row r="25" spans="1:7">
      <c r="A25" s="152"/>
      <c r="B25" s="146"/>
      <c r="C25" s="146"/>
      <c r="D25" s="15"/>
      <c r="E25" s="15"/>
      <c r="F25" s="15"/>
      <c r="G25" s="145"/>
    </row>
    <row r="26" spans="1:7">
      <c r="A26" s="152"/>
      <c r="B26" s="146"/>
      <c r="C26" s="146"/>
      <c r="D26" s="15"/>
      <c r="E26" s="15"/>
      <c r="F26" s="15"/>
      <c r="G26" s="145"/>
    </row>
    <row r="27" spans="1:7">
      <c r="A27" s="152"/>
      <c r="B27" s="146"/>
      <c r="C27" s="146"/>
      <c r="D27" s="15"/>
      <c r="E27" s="15"/>
      <c r="F27" s="15"/>
      <c r="G27" s="145"/>
    </row>
    <row r="28" spans="1:7">
      <c r="A28" s="15"/>
      <c r="B28" s="15"/>
      <c r="C28" s="15"/>
      <c r="D28" s="15"/>
      <c r="E28" s="15"/>
      <c r="F28" s="15"/>
    </row>
    <row r="29" spans="1:7">
      <c r="A29" s="15"/>
      <c r="B29" s="15"/>
      <c r="C29" s="15"/>
      <c r="D29" s="15"/>
      <c r="E29" s="15"/>
      <c r="F29" s="15"/>
    </row>
  </sheetData>
  <sheetProtection algorithmName="SHA-512" hashValue="UGT1WHXqUhjUXdH+VDHb16a8VSuo0LrgLAb9UWHwYLnauEIooH8d9jStHqhl7D/PugNC/O9+m7rYF4j6OAIJDQ==" saltValue="rbBR00E3+UP05kQqAOxmtg==" spinCount="100000" sheet="1" objects="1" scenarios="1"/>
  <pageMargins left="0.7" right="0.7" top="0.75" bottom="0.75" header="0.3" footer="0.3"/>
  <pageSetup paperSize="9" orientation="portrait" horizontalDpi="300" verticalDpi="30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00B0F0"/>
  </sheetPr>
  <dimension ref="A1:Q33"/>
  <sheetViews>
    <sheetView zoomScale="85" zoomScaleNormal="85" workbookViewId="0">
      <selection activeCell="K11" sqref="K11"/>
    </sheetView>
  </sheetViews>
  <sheetFormatPr defaultColWidth="9" defaultRowHeight="14.4"/>
  <cols>
    <col min="1" max="1" width="31.33203125" customWidth="1"/>
    <col min="2" max="2" width="17.44140625" customWidth="1"/>
    <col min="16" max="16" width="7.5546875" customWidth="1"/>
  </cols>
  <sheetData>
    <row r="1" spans="1:16" ht="15.6">
      <c r="A1" s="174" t="s">
        <v>273</v>
      </c>
      <c r="B1" s="175">
        <v>45835</v>
      </c>
      <c r="C1" s="19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</row>
    <row r="2" spans="1:16">
      <c r="A2" s="137" t="s">
        <v>221</v>
      </c>
      <c r="B2" s="138">
        <f>'Weekly Valuation'!K195</f>
        <v>6771356167.3599997</v>
      </c>
      <c r="C2" s="19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</row>
    <row r="3" spans="1:16">
      <c r="A3" s="137" t="s">
        <v>17</v>
      </c>
      <c r="B3" s="138">
        <f>'Weekly Valuation'!K25</f>
        <v>47767435566.352699</v>
      </c>
      <c r="C3" s="19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</row>
    <row r="4" spans="1:16">
      <c r="A4" s="137" t="s">
        <v>276</v>
      </c>
      <c r="B4" s="176">
        <f>'Weekly Valuation'!K221</f>
        <v>60500393707.422546</v>
      </c>
      <c r="C4" s="19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</row>
    <row r="5" spans="1:16">
      <c r="A5" s="137" t="s">
        <v>191</v>
      </c>
      <c r="B5" s="138">
        <f>'Weekly Valuation'!K190</f>
        <v>65741491816.116287</v>
      </c>
      <c r="C5" s="19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</row>
    <row r="6" spans="1:16">
      <c r="A6" s="137" t="s">
        <v>275</v>
      </c>
      <c r="B6" s="138">
        <f>'Weekly Valuation'!K159</f>
        <v>358384976471.11237</v>
      </c>
      <c r="C6" s="19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</row>
    <row r="7" spans="1:16">
      <c r="A7" s="137" t="s">
        <v>274</v>
      </c>
      <c r="B7" s="138">
        <f>'Weekly Valuation'!K110</f>
        <v>209229734710.64914</v>
      </c>
      <c r="C7" s="19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</row>
    <row r="8" spans="1:16">
      <c r="A8" s="137" t="s">
        <v>154</v>
      </c>
      <c r="B8" s="150">
        <f>'Weekly Valuation'!K150</f>
        <v>1919903068979.0251</v>
      </c>
      <c r="C8" s="19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</row>
    <row r="9" spans="1:16">
      <c r="A9" s="137" t="s">
        <v>54</v>
      </c>
      <c r="B9" s="150">
        <f>'Weekly Valuation'!K69</f>
        <v>3143972127991.3154</v>
      </c>
      <c r="C9" s="19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</row>
    <row r="10" spans="1:16">
      <c r="A10" s="139"/>
      <c r="B10" s="139"/>
      <c r="C10" s="19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</row>
    <row r="11" spans="1:16">
      <c r="A11" s="137"/>
      <c r="B11" s="177"/>
      <c r="C11" s="19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</row>
    <row r="12" spans="1:16">
      <c r="A12" s="137"/>
      <c r="B12" s="19"/>
      <c r="C12" s="19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</row>
    <row r="13" spans="1:16">
      <c r="A13" s="146"/>
      <c r="B13" s="146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</row>
    <row r="14" spans="1:16">
      <c r="A14" s="146"/>
      <c r="B14" s="146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</row>
    <row r="15" spans="1:16" ht="16.5" customHeight="1">
      <c r="A15" s="151"/>
      <c r="B15" s="153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</row>
    <row r="16" spans="1:16">
      <c r="A16" s="146"/>
      <c r="B16" s="146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</row>
    <row r="17" spans="1:17">
      <c r="A17" s="146"/>
      <c r="B17" s="146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</row>
    <row r="18" spans="1:17">
      <c r="A18" s="134"/>
      <c r="B18" s="146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</row>
    <row r="19" spans="1:17">
      <c r="A19" s="134"/>
      <c r="B19" s="134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</row>
    <row r="20" spans="1:17">
      <c r="A20" s="134"/>
      <c r="B20" s="134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</row>
    <row r="21" spans="1:17">
      <c r="A21" s="152"/>
      <c r="B21" s="134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</row>
    <row r="22" spans="1:17">
      <c r="A22" s="15"/>
      <c r="B22" s="134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</row>
    <row r="23" spans="1:17">
      <c r="A23" s="15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</row>
    <row r="24" spans="1:17">
      <c r="A24" s="15"/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</row>
    <row r="25" spans="1:17">
      <c r="A25" s="15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</row>
    <row r="26" spans="1:17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</row>
    <row r="27" spans="1:17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</row>
    <row r="28" spans="1:17">
      <c r="A28" s="15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</row>
    <row r="29" spans="1:17">
      <c r="A29" s="15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</row>
    <row r="30" spans="1:17">
      <c r="A30" s="15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</row>
    <row r="31" spans="1:17">
      <c r="A31" s="15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</row>
    <row r="32" spans="1:17" ht="16.5" customHeight="1">
      <c r="A32" s="168"/>
      <c r="B32" s="168"/>
      <c r="C32" s="168"/>
      <c r="D32" s="168"/>
      <c r="E32" s="168"/>
      <c r="F32" s="168"/>
      <c r="G32" s="168"/>
      <c r="H32" s="168"/>
      <c r="I32" s="168"/>
      <c r="J32" s="168"/>
      <c r="K32" s="168"/>
      <c r="L32" s="168"/>
      <c r="M32" s="168"/>
      <c r="N32" s="168"/>
      <c r="O32" s="168"/>
      <c r="P32" s="168"/>
      <c r="Q32" s="20"/>
    </row>
    <row r="33" spans="1:17" ht="15" customHeight="1">
      <c r="A33" s="168"/>
      <c r="B33" s="168"/>
      <c r="C33" s="168"/>
      <c r="D33" s="168"/>
      <c r="E33" s="168"/>
      <c r="F33" s="168"/>
      <c r="G33" s="168"/>
      <c r="H33" s="168"/>
      <c r="I33" s="168"/>
      <c r="J33" s="168"/>
      <c r="K33" s="168"/>
      <c r="L33" s="168"/>
      <c r="M33" s="168"/>
      <c r="N33" s="168"/>
      <c r="O33" s="168"/>
      <c r="P33" s="168"/>
      <c r="Q33" s="20"/>
    </row>
  </sheetData>
  <sheetProtection algorithmName="SHA-512" hashValue="9lwDlDtZHDzbD1UlbagaVMCy5Unzd+eQjF8Y1482Sxr+IlihsjBqffhfzFw2E+Os6lQp+ljjos8Iup2IxbX5gA==" saltValue="7SFWGO1l/sjOnzNj42+BAQ==" spinCount="100000" sheet="1" selectLockedCells="1" selectUnlockedCells="1"/>
  <sortState ref="A2:B9">
    <sortCondition ref="B2:B9"/>
  </sortState>
  <mergeCells count="1">
    <mergeCell ref="A32:P33"/>
  </mergeCells>
  <pageMargins left="0.7" right="0.7" top="0.75" bottom="0.75" header="0.3" footer="0.3"/>
  <pageSetup paperSize="9" orientation="portrait" horizontalDpi="300" verticalDpi="30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7030A0"/>
  </sheetPr>
  <dimension ref="A1:M16"/>
  <sheetViews>
    <sheetView zoomScale="110" zoomScaleNormal="110" workbookViewId="0">
      <selection activeCell="E9" sqref="E9"/>
    </sheetView>
  </sheetViews>
  <sheetFormatPr defaultColWidth="9" defaultRowHeight="14.4"/>
  <cols>
    <col min="1" max="2" width="10.5546875" customWidth="1"/>
    <col min="3" max="3" width="11.109375" customWidth="1"/>
    <col min="4" max="4" width="10.5546875" customWidth="1"/>
    <col min="5" max="5" width="10.88671875" customWidth="1"/>
    <col min="6" max="6" width="11.109375" customWidth="1"/>
    <col min="7" max="7" width="12.109375" customWidth="1"/>
    <col min="8" max="8" width="11.6640625" customWidth="1"/>
    <col min="9" max="9" width="11.44140625" customWidth="1"/>
  </cols>
  <sheetData>
    <row r="1" spans="1:13">
      <c r="A1" s="19"/>
      <c r="B1" s="19"/>
      <c r="C1" s="19"/>
      <c r="D1" s="19"/>
      <c r="E1" s="19"/>
      <c r="F1" s="19"/>
      <c r="G1" s="19"/>
      <c r="H1" s="19"/>
      <c r="I1" s="19"/>
      <c r="J1" s="19"/>
      <c r="K1" s="15"/>
      <c r="L1" s="15"/>
      <c r="M1" s="15"/>
    </row>
    <row r="2" spans="1:13">
      <c r="A2" s="169" t="s">
        <v>277</v>
      </c>
      <c r="B2" s="170">
        <v>45786</v>
      </c>
      <c r="C2" s="170">
        <v>45793</v>
      </c>
      <c r="D2" s="170">
        <v>45800</v>
      </c>
      <c r="E2" s="170">
        <v>45807</v>
      </c>
      <c r="F2" s="170">
        <v>45813</v>
      </c>
      <c r="G2" s="170">
        <v>45821</v>
      </c>
      <c r="H2" s="170">
        <v>45828</v>
      </c>
      <c r="I2" s="170">
        <v>45835</v>
      </c>
      <c r="J2" s="19"/>
      <c r="K2" s="15"/>
      <c r="L2" s="15"/>
      <c r="M2" s="15"/>
    </row>
    <row r="3" spans="1:13">
      <c r="A3" s="169" t="s">
        <v>278</v>
      </c>
      <c r="B3" s="171">
        <f t="shared" ref="B3:I3" si="0">B4</f>
        <v>5297.7036669070822</v>
      </c>
      <c r="C3" s="171">
        <f t="shared" si="0"/>
        <v>5600.7611033252406</v>
      </c>
      <c r="D3" s="171">
        <f t="shared" si="0"/>
        <v>5614.7878514083422</v>
      </c>
      <c r="E3" s="171">
        <f t="shared" si="0"/>
        <v>5661.0011217265082</v>
      </c>
      <c r="F3" s="171">
        <f t="shared" si="0"/>
        <v>5706.8748281549615</v>
      </c>
      <c r="G3" s="171">
        <f t="shared" si="0"/>
        <v>5739.2216808320509</v>
      </c>
      <c r="H3" s="171">
        <f t="shared" si="0"/>
        <v>5778.470729655005</v>
      </c>
      <c r="I3" s="171">
        <f t="shared" si="0"/>
        <v>5812.2705854093538</v>
      </c>
      <c r="J3" s="19"/>
      <c r="K3" s="15"/>
      <c r="L3" s="15"/>
      <c r="M3" s="15"/>
    </row>
    <row r="4" spans="1:13">
      <c r="A4" s="19"/>
      <c r="B4" s="172">
        <f>'NAV Trend'!C10/1000000000</f>
        <v>5297.7036669070822</v>
      </c>
      <c r="C4" s="172">
        <f>'NAV Trend'!D10/1000000000</f>
        <v>5600.7611033252406</v>
      </c>
      <c r="D4" s="172">
        <f>'NAV Trend'!E10/1000000000</f>
        <v>5614.7878514083422</v>
      </c>
      <c r="E4" s="172">
        <f>'NAV Trend'!F10/1000000000</f>
        <v>5661.0011217265082</v>
      </c>
      <c r="F4" s="172">
        <f>'NAV Trend'!G10/1000000000</f>
        <v>5706.8748281549615</v>
      </c>
      <c r="G4" s="172">
        <f>'NAV Trend'!H10/1000000000</f>
        <v>5739.2216808320509</v>
      </c>
      <c r="H4" s="173">
        <f>'NAV Trend'!I10/1000000000</f>
        <v>5778.470729655005</v>
      </c>
      <c r="I4" s="173">
        <f>'NAV Trend'!J10/1000000000</f>
        <v>5812.2705854093538</v>
      </c>
      <c r="J4" s="19"/>
      <c r="K4" s="15"/>
      <c r="L4" s="15"/>
      <c r="M4" s="15"/>
    </row>
    <row r="5" spans="1:13">
      <c r="A5" s="19"/>
      <c r="B5" s="19"/>
      <c r="C5" s="19"/>
      <c r="D5" s="19"/>
      <c r="E5" s="19"/>
      <c r="F5" s="19"/>
      <c r="G5" s="19"/>
      <c r="H5" s="19"/>
      <c r="I5" s="19"/>
      <c r="J5" s="19"/>
      <c r="K5" s="15"/>
      <c r="L5" s="15"/>
      <c r="M5" s="15"/>
    </row>
    <row r="6" spans="1:13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</row>
    <row r="7" spans="1:13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</row>
    <row r="8" spans="1:13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</row>
    <row r="9" spans="1:13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</row>
    <row r="10" spans="1:13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35"/>
    </row>
    <row r="11" spans="1:13">
      <c r="A11" s="15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35"/>
    </row>
    <row r="12" spans="1:13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35"/>
    </row>
    <row r="13" spans="1:13">
      <c r="A13" s="15"/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</row>
    <row r="14" spans="1:13">
      <c r="A14" s="15"/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</row>
    <row r="15" spans="1:13">
      <c r="A15" s="15"/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</row>
    <row r="16" spans="1:13">
      <c r="A16" s="15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</row>
  </sheetData>
  <sheetProtection algorithmName="SHA-512" hashValue="Di89EeYeA8d6W4pVVqRY7yS6jIKkDoMp9l+7KxR8SzQL+N1u80dLIbRoAYWEhUGVpyO/uQGpfaoMQp1vklNISw==" saltValue="oryMglvGAlExQEC/2XxZ1g==" spinCount="100000" sheet="1" objects="1" scenarios="1"/>
  <pageMargins left="0.7" right="0.7" top="0.75" bottom="0.75" header="0.3" footer="0.3"/>
  <pageSetup paperSize="9" orientation="portrait" horizontalDpi="300" verticalDpi="30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FFFF00"/>
  </sheetPr>
  <dimension ref="A1:N17"/>
  <sheetViews>
    <sheetView workbookViewId="0">
      <selection activeCell="F8" sqref="F8"/>
    </sheetView>
  </sheetViews>
  <sheetFormatPr defaultColWidth="9" defaultRowHeight="14.4"/>
  <cols>
    <col min="1" max="1" width="10.77734375" customWidth="1"/>
    <col min="2" max="2" width="11.109375" customWidth="1"/>
    <col min="3" max="3" width="11.44140625" customWidth="1"/>
    <col min="4" max="4" width="11.5546875" customWidth="1"/>
    <col min="5" max="5" width="11.109375" customWidth="1"/>
    <col min="6" max="7" width="11.33203125" customWidth="1"/>
    <col min="8" max="8" width="11.6640625" customWidth="1"/>
    <col min="9" max="9" width="11.109375" customWidth="1"/>
  </cols>
  <sheetData>
    <row r="1" spans="1:14">
      <c r="A1" s="19"/>
      <c r="B1" s="19"/>
      <c r="C1" s="19"/>
      <c r="D1" s="19"/>
      <c r="E1" s="19"/>
      <c r="F1" s="19"/>
      <c r="G1" s="19"/>
      <c r="H1" s="19"/>
      <c r="I1" s="19"/>
      <c r="J1" s="15"/>
      <c r="K1" s="15"/>
      <c r="L1" s="15"/>
      <c r="M1" s="15"/>
      <c r="N1" s="15"/>
    </row>
    <row r="2" spans="1:14">
      <c r="A2" s="169" t="s">
        <v>277</v>
      </c>
      <c r="B2" s="170">
        <v>45786</v>
      </c>
      <c r="C2" s="170">
        <v>45793</v>
      </c>
      <c r="D2" s="170">
        <v>45800</v>
      </c>
      <c r="E2" s="170">
        <v>45807</v>
      </c>
      <c r="F2" s="170">
        <v>45813</v>
      </c>
      <c r="G2" s="170">
        <v>45821</v>
      </c>
      <c r="H2" s="170">
        <v>45828</v>
      </c>
      <c r="I2" s="170">
        <v>45835</v>
      </c>
      <c r="J2" s="15"/>
      <c r="K2" s="15"/>
      <c r="L2" s="15"/>
      <c r="M2" s="15"/>
      <c r="N2" s="15"/>
    </row>
    <row r="3" spans="1:14">
      <c r="A3" s="169" t="s">
        <v>279</v>
      </c>
      <c r="B3" s="171">
        <f t="shared" ref="B3:I3" si="0">B4</f>
        <v>13.89362105705</v>
      </c>
      <c r="C3" s="171">
        <f t="shared" si="0"/>
        <v>13.906596090597997</v>
      </c>
      <c r="D3" s="171">
        <f t="shared" si="0"/>
        <v>13.574054999743</v>
      </c>
      <c r="E3" s="171">
        <f t="shared" si="0"/>
        <v>13.663574619923001</v>
      </c>
      <c r="F3" s="171">
        <f t="shared" si="0"/>
        <v>13.910462089520001</v>
      </c>
      <c r="G3" s="171">
        <f t="shared" si="0"/>
        <v>14.097996343838002</v>
      </c>
      <c r="H3" s="171">
        <f t="shared" si="0"/>
        <v>14.438197157056999</v>
      </c>
      <c r="I3" s="171">
        <f t="shared" si="0"/>
        <v>14.649626500489999</v>
      </c>
      <c r="J3" s="15"/>
      <c r="K3" s="15"/>
      <c r="L3" s="15"/>
      <c r="M3" s="15"/>
      <c r="N3" s="15"/>
    </row>
    <row r="4" spans="1:14">
      <c r="A4" s="19"/>
      <c r="B4" s="172">
        <f>'NAV Trend'!C16/1000000000</f>
        <v>13.89362105705</v>
      </c>
      <c r="C4" s="172">
        <f>'NAV Trend'!D16/1000000000</f>
        <v>13.906596090597997</v>
      </c>
      <c r="D4" s="172">
        <f>'NAV Trend'!E16/1000000000</f>
        <v>13.574054999743</v>
      </c>
      <c r="E4" s="172">
        <f>'NAV Trend'!F16/1000000000</f>
        <v>13.663574619923001</v>
      </c>
      <c r="F4" s="172">
        <f>'NAV Trend'!G16/1000000000</f>
        <v>13.910462089520001</v>
      </c>
      <c r="G4" s="172">
        <f>'NAV Trend'!H16/1000000000</f>
        <v>14.097996343838002</v>
      </c>
      <c r="H4" s="172">
        <f>'NAV Trend'!I16/1000000000</f>
        <v>14.438197157056999</v>
      </c>
      <c r="I4" s="173">
        <f>'NAV Trend'!J16/1000000000</f>
        <v>14.649626500489999</v>
      </c>
      <c r="J4" s="15"/>
      <c r="K4" s="15"/>
      <c r="L4" s="15"/>
      <c r="M4" s="15"/>
      <c r="N4" s="15"/>
    </row>
    <row r="5" spans="1:14">
      <c r="A5" s="19"/>
      <c r="B5" s="19"/>
      <c r="C5" s="19"/>
      <c r="D5" s="19"/>
      <c r="E5" s="19"/>
      <c r="F5" s="19"/>
      <c r="G5" s="19"/>
      <c r="H5" s="19"/>
      <c r="I5" s="19"/>
      <c r="J5" s="15"/>
      <c r="K5" s="15"/>
      <c r="L5" s="15"/>
      <c r="M5" s="15"/>
      <c r="N5" s="15"/>
    </row>
    <row r="6" spans="1:14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</row>
    <row r="7" spans="1:14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</row>
    <row r="8" spans="1:14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</row>
    <row r="9" spans="1:14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</row>
    <row r="10" spans="1:14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</row>
    <row r="11" spans="1:14">
      <c r="A11" s="19"/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5"/>
      <c r="N11" s="15"/>
    </row>
    <row r="12" spans="1:14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</row>
    <row r="13" spans="1:14">
      <c r="A13" s="15"/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</row>
    <row r="14" spans="1:14">
      <c r="A14" s="15"/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</row>
    <row r="15" spans="1:14">
      <c r="A15" s="15"/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</row>
    <row r="16" spans="1:14">
      <c r="A16" s="15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</row>
    <row r="17" spans="1:14">
      <c r="A17" s="15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</row>
  </sheetData>
  <sheetProtection algorithmName="SHA-512" hashValue="gzOGC/AhO+b52ZiVH7k3SWbuc6mCKezgyrDb3mO4sJorheNqyreQA9pEDFyMDbzmYh5v1ezPCD/AwwDl8cpS0w==" saltValue="v/dDf+jv7+jqGDQPm+R3vw==" spinCount="100000" sheet="1" objects="1" scenarios="1"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K22"/>
  <sheetViews>
    <sheetView topLeftCell="F1" zoomScale="150" zoomScaleNormal="150" workbookViewId="0">
      <selection activeCell="K1" sqref="K1"/>
    </sheetView>
  </sheetViews>
  <sheetFormatPr defaultColWidth="9" defaultRowHeight="14.4"/>
  <cols>
    <col min="1" max="1" width="36.33203125" customWidth="1"/>
    <col min="2" max="2" width="23.5546875" customWidth="1"/>
    <col min="3" max="3" width="22.5546875" customWidth="1"/>
    <col min="4" max="4" width="20.88671875" customWidth="1"/>
    <col min="5" max="5" width="22.5546875" customWidth="1"/>
    <col min="6" max="6" width="24.6640625" customWidth="1"/>
    <col min="7" max="7" width="22.44140625" customWidth="1"/>
    <col min="8" max="8" width="24.33203125" customWidth="1"/>
    <col min="9" max="9" width="22.5546875" customWidth="1"/>
    <col min="10" max="10" width="21.6640625" customWidth="1"/>
    <col min="11" max="12" width="20.6640625" customWidth="1"/>
    <col min="13" max="13" width="20.5546875" customWidth="1"/>
  </cols>
  <sheetData>
    <row r="1" spans="1:11" ht="15.6">
      <c r="A1" s="1" t="s">
        <v>273</v>
      </c>
      <c r="B1" s="2">
        <v>45779</v>
      </c>
      <c r="C1" s="2">
        <v>45786</v>
      </c>
      <c r="D1" s="2">
        <v>45793</v>
      </c>
      <c r="E1" s="2">
        <v>45800</v>
      </c>
      <c r="F1" s="2">
        <v>45807</v>
      </c>
      <c r="G1" s="2">
        <v>45813</v>
      </c>
      <c r="H1" s="2">
        <v>45821</v>
      </c>
      <c r="I1" s="2">
        <v>45828</v>
      </c>
      <c r="J1" s="2">
        <v>45835</v>
      </c>
    </row>
    <row r="2" spans="1:11">
      <c r="A2" s="3" t="s">
        <v>17</v>
      </c>
      <c r="B2" s="4">
        <v>38729991583.780006</v>
      </c>
      <c r="C2" s="4">
        <v>40052509206.349998</v>
      </c>
      <c r="D2" s="4">
        <v>40696491951.950005</v>
      </c>
      <c r="E2" s="4">
        <v>41222274085.630005</v>
      </c>
      <c r="F2" s="4">
        <v>41941704345.110001</v>
      </c>
      <c r="G2" s="4">
        <v>42835043182.520004</v>
      </c>
      <c r="H2" s="4">
        <v>42622857191.780403</v>
      </c>
      <c r="I2" s="4">
        <v>45399164105.915703</v>
      </c>
      <c r="J2" s="4">
        <v>47767435566.352699</v>
      </c>
    </row>
    <row r="3" spans="1:11">
      <c r="A3" s="3" t="s">
        <v>54</v>
      </c>
      <c r="B3" s="4">
        <v>2781211975883.1699</v>
      </c>
      <c r="C3" s="4">
        <v>2849135060100.6763</v>
      </c>
      <c r="D3" s="4">
        <v>2909623160997.8462</v>
      </c>
      <c r="E3" s="4">
        <v>2955969352323.3311</v>
      </c>
      <c r="F3" s="4">
        <v>2990664241362.4419</v>
      </c>
      <c r="G3" s="4">
        <v>3044846889135.2236</v>
      </c>
      <c r="H3" s="4">
        <v>3096275132899.1284</v>
      </c>
      <c r="I3" s="4">
        <v>3113167425546.7334</v>
      </c>
      <c r="J3" s="4">
        <v>3143972127991.3154</v>
      </c>
    </row>
    <row r="4" spans="1:11">
      <c r="A4" s="3" t="s">
        <v>274</v>
      </c>
      <c r="B4" s="5">
        <v>207828394902.42545</v>
      </c>
      <c r="C4" s="5">
        <v>208791291417.70242</v>
      </c>
      <c r="D4" s="5">
        <v>208401438383.2999</v>
      </c>
      <c r="E4" s="5">
        <v>209025769943.79047</v>
      </c>
      <c r="F4" s="5">
        <v>209159742342.28909</v>
      </c>
      <c r="G4" s="5">
        <v>210586835111.91571</v>
      </c>
      <c r="H4" s="5">
        <v>202341287400.03244</v>
      </c>
      <c r="I4" s="5">
        <v>210070664052.05121</v>
      </c>
      <c r="J4" s="5">
        <v>209229734710.64914</v>
      </c>
    </row>
    <row r="5" spans="1:11">
      <c r="A5" s="3" t="s">
        <v>154</v>
      </c>
      <c r="B5" s="4">
        <v>1957941795296.7214</v>
      </c>
      <c r="C5" s="4">
        <v>1970845618406.8262</v>
      </c>
      <c r="D5" s="4">
        <v>1962901357676.8562</v>
      </c>
      <c r="E5" s="4">
        <v>1929073604440.7039</v>
      </c>
      <c r="F5" s="4">
        <v>1938034504366.4832</v>
      </c>
      <c r="G5" s="4">
        <v>1924601424924.0278</v>
      </c>
      <c r="H5" s="4">
        <v>1913220478334.1814</v>
      </c>
      <c r="I5" s="4">
        <v>1920956396176.9661</v>
      </c>
      <c r="J5" s="4">
        <v>1919903068979.0251</v>
      </c>
    </row>
    <row r="6" spans="1:11">
      <c r="A6" s="3" t="s">
        <v>275</v>
      </c>
      <c r="B6" s="6">
        <v>102351541673.75938</v>
      </c>
      <c r="C6" s="6">
        <v>102440757490.53162</v>
      </c>
      <c r="D6" s="6">
        <v>353913355615.99237</v>
      </c>
      <c r="E6" s="6">
        <v>354567498315.10614</v>
      </c>
      <c r="F6" s="6">
        <v>355725329056.43384</v>
      </c>
      <c r="G6" s="6">
        <v>356681164790.01733</v>
      </c>
      <c r="H6" s="6">
        <v>357629608042.17529</v>
      </c>
      <c r="I6" s="6">
        <v>358535779287.37018</v>
      </c>
      <c r="J6" s="6">
        <v>358384976471.11237</v>
      </c>
    </row>
    <row r="7" spans="1:11">
      <c r="A7" s="3" t="s">
        <v>191</v>
      </c>
      <c r="B7" s="7">
        <v>59306649006.764648</v>
      </c>
      <c r="C7" s="7">
        <v>60348931993.098541</v>
      </c>
      <c r="D7" s="7">
        <v>60537200481.56192</v>
      </c>
      <c r="E7" s="7">
        <v>60839325442.61261</v>
      </c>
      <c r="F7" s="7">
        <v>60841613029.135788</v>
      </c>
      <c r="G7" s="7">
        <v>61815946486.813843</v>
      </c>
      <c r="H7" s="7">
        <v>61694711710.161476</v>
      </c>
      <c r="I7" s="7">
        <v>63650811988.436371</v>
      </c>
      <c r="J7" s="7">
        <v>65741491816.116287</v>
      </c>
    </row>
    <row r="8" spans="1:11">
      <c r="A8" s="3" t="s">
        <v>221</v>
      </c>
      <c r="B8" s="6">
        <v>6938267747.5299997</v>
      </c>
      <c r="C8" s="6">
        <v>7090375954.5700006</v>
      </c>
      <c r="D8" s="6">
        <v>5933942499.0900002</v>
      </c>
      <c r="E8" s="6">
        <v>5993726972.2399998</v>
      </c>
      <c r="F8" s="6">
        <v>5992665978.8000002</v>
      </c>
      <c r="G8" s="6">
        <v>6131520024.7600002</v>
      </c>
      <c r="H8" s="6">
        <v>6161637634.4500008</v>
      </c>
      <c r="I8" s="6">
        <v>6456038640.0900002</v>
      </c>
      <c r="J8" s="6">
        <v>6771356167.3599997</v>
      </c>
    </row>
    <row r="9" spans="1:11">
      <c r="A9" s="3" t="s">
        <v>276</v>
      </c>
      <c r="B9" s="6">
        <v>58110416203.200249</v>
      </c>
      <c r="C9" s="6">
        <v>58999122337.327522</v>
      </c>
      <c r="D9" s="6">
        <v>58754155718.644669</v>
      </c>
      <c r="E9" s="6">
        <v>58096299884.927956</v>
      </c>
      <c r="F9" s="6">
        <v>58641321245.814735</v>
      </c>
      <c r="G9" s="6">
        <v>59376004499.683235</v>
      </c>
      <c r="H9" s="6">
        <v>59275967620.142563</v>
      </c>
      <c r="I9" s="6">
        <v>60234449857.442543</v>
      </c>
      <c r="J9" s="6">
        <v>60500393707.422546</v>
      </c>
    </row>
    <row r="10" spans="1:11" ht="15.6">
      <c r="A10" s="8" t="s">
        <v>280</v>
      </c>
      <c r="B10" s="9">
        <f t="shared" ref="B10:J10" si="0">SUM(B2:B9)</f>
        <v>5212419032297.3516</v>
      </c>
      <c r="C10" s="9">
        <f t="shared" si="0"/>
        <v>5297703666907.082</v>
      </c>
      <c r="D10" s="9">
        <f t="shared" si="0"/>
        <v>5600761103325.2402</v>
      </c>
      <c r="E10" s="9">
        <f t="shared" si="0"/>
        <v>5614787851408.3418</v>
      </c>
      <c r="F10" s="9">
        <f t="shared" si="0"/>
        <v>5661001121726.5078</v>
      </c>
      <c r="G10" s="9">
        <f t="shared" si="0"/>
        <v>5706874828154.9619</v>
      </c>
      <c r="H10" s="9">
        <f t="shared" si="0"/>
        <v>5739221680832.0508</v>
      </c>
      <c r="I10" s="9">
        <f t="shared" si="0"/>
        <v>5778470729655.0049</v>
      </c>
      <c r="J10" s="9">
        <f t="shared" si="0"/>
        <v>5812270585409.3535</v>
      </c>
    </row>
    <row r="11" spans="1:11">
      <c r="A11" s="10"/>
      <c r="B11" s="11"/>
      <c r="C11" s="11"/>
      <c r="D11" s="11"/>
      <c r="E11" s="11"/>
      <c r="F11" s="11"/>
      <c r="G11" s="11"/>
      <c r="H11" s="11"/>
      <c r="I11" s="10"/>
      <c r="J11" s="10"/>
    </row>
    <row r="12" spans="1:11" ht="15.6">
      <c r="A12" s="12" t="s">
        <v>281</v>
      </c>
      <c r="B12" s="122" t="s">
        <v>282</v>
      </c>
      <c r="C12" s="13">
        <f>(B10+C10)/2</f>
        <v>5255061349602.2168</v>
      </c>
      <c r="D12" s="14">
        <f t="shared" ref="D12:J12" si="1">(C10+D10)/2</f>
        <v>5449232385116.1611</v>
      </c>
      <c r="E12" s="14">
        <f t="shared" si="1"/>
        <v>5607774477366.791</v>
      </c>
      <c r="F12" s="14">
        <f t="shared" si="1"/>
        <v>5637894486567.4248</v>
      </c>
      <c r="G12" s="14">
        <f t="shared" si="1"/>
        <v>5683937974940.7344</v>
      </c>
      <c r="H12" s="14">
        <f t="shared" si="1"/>
        <v>5723048254493.5059</v>
      </c>
      <c r="I12" s="14">
        <f t="shared" si="1"/>
        <v>5758846205243.5273</v>
      </c>
      <c r="J12" s="14">
        <f t="shared" si="1"/>
        <v>5795370657532.1797</v>
      </c>
    </row>
    <row r="13" spans="1:11">
      <c r="C13" s="15"/>
      <c r="D13" s="15"/>
      <c r="E13" s="15"/>
      <c r="F13" s="15"/>
      <c r="G13" s="15"/>
      <c r="H13" s="15"/>
      <c r="I13" s="15"/>
      <c r="J13" s="15"/>
      <c r="K13" s="15"/>
    </row>
    <row r="14" spans="1:11">
      <c r="A14" s="15"/>
      <c r="B14" s="15"/>
      <c r="C14" s="15"/>
      <c r="D14" s="15"/>
      <c r="E14" s="15"/>
      <c r="F14" s="15"/>
      <c r="G14" s="15"/>
      <c r="H14" s="15"/>
      <c r="I14" s="15"/>
      <c r="J14" s="15"/>
      <c r="K14" s="15"/>
    </row>
    <row r="15" spans="1:11">
      <c r="A15" s="15"/>
      <c r="B15" s="2">
        <v>45779</v>
      </c>
      <c r="C15" s="2">
        <v>45786</v>
      </c>
      <c r="D15" s="2">
        <v>45793</v>
      </c>
      <c r="E15" s="2">
        <v>45800</v>
      </c>
      <c r="F15" s="2">
        <v>45807</v>
      </c>
      <c r="G15" s="2">
        <v>45813</v>
      </c>
      <c r="H15" s="2">
        <v>45821</v>
      </c>
      <c r="I15" s="2">
        <v>45828</v>
      </c>
      <c r="J15" s="2">
        <v>45835</v>
      </c>
      <c r="K15" s="15"/>
    </row>
    <row r="16" spans="1:11">
      <c r="A16" s="16" t="s">
        <v>283</v>
      </c>
      <c r="B16" s="17">
        <v>13564027253.040001</v>
      </c>
      <c r="C16" s="17">
        <v>13893621057.049999</v>
      </c>
      <c r="D16" s="17">
        <v>13906596090.597998</v>
      </c>
      <c r="E16" s="17">
        <v>13574054999.743</v>
      </c>
      <c r="F16" s="17">
        <v>13663574619.923</v>
      </c>
      <c r="G16" s="17">
        <v>13910462089.52</v>
      </c>
      <c r="H16" s="17">
        <v>14097996343.838001</v>
      </c>
      <c r="I16" s="17">
        <v>14438197157.056999</v>
      </c>
      <c r="J16" s="17">
        <v>14649626500.49</v>
      </c>
      <c r="K16" s="15"/>
    </row>
    <row r="17" spans="1:11">
      <c r="A17" s="15"/>
      <c r="B17" s="15"/>
      <c r="C17" s="15"/>
      <c r="D17" s="15"/>
      <c r="E17" s="15"/>
      <c r="F17" s="15"/>
      <c r="G17" s="15"/>
      <c r="H17" s="15"/>
      <c r="I17" s="15"/>
      <c r="J17" s="15"/>
      <c r="K17" s="15"/>
    </row>
    <row r="18" spans="1:11">
      <c r="A18" s="15"/>
      <c r="B18" s="15"/>
      <c r="C18" s="18"/>
      <c r="D18" s="18"/>
      <c r="E18" s="18"/>
      <c r="F18" s="18"/>
      <c r="G18" s="18"/>
      <c r="H18" s="18"/>
      <c r="I18" s="18"/>
      <c r="J18" s="18"/>
      <c r="K18" s="15"/>
    </row>
    <row r="19" spans="1:11">
      <c r="A19" s="15"/>
      <c r="B19" s="15"/>
      <c r="C19" s="15"/>
      <c r="D19" s="15"/>
      <c r="E19" s="15"/>
      <c r="F19" s="15"/>
      <c r="G19" s="15"/>
      <c r="H19" s="15"/>
      <c r="I19" s="15"/>
      <c r="J19" s="15"/>
      <c r="K19" s="15"/>
    </row>
    <row r="20" spans="1:11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</row>
    <row r="21" spans="1:11">
      <c r="B21" s="15"/>
      <c r="C21" s="15"/>
      <c r="D21" s="15"/>
      <c r="E21" s="15"/>
      <c r="F21" s="15"/>
      <c r="G21" s="15"/>
      <c r="H21" s="15"/>
      <c r="I21" s="15"/>
      <c r="J21" s="129"/>
      <c r="K21" s="15"/>
    </row>
    <row r="22" spans="1:11">
      <c r="B22" s="15"/>
      <c r="C22" s="15"/>
      <c r="D22" s="15"/>
      <c r="E22" s="15"/>
      <c r="F22" s="15"/>
      <c r="G22" s="15"/>
      <c r="H22" s="15"/>
      <c r="I22" s="15"/>
      <c r="J22" s="15"/>
      <c r="K22" s="19"/>
    </row>
  </sheetData>
  <sheetProtection algorithmName="SHA-512" hashValue="vNAmO3dRQxcNFIRcm3gS+e0hsCc/UUzOHsQc2xjqoKXie5J3tYKntQM18vghTegeqrM8Ka6Ce8sw8MhXK/hgKQ==" saltValue="+RDYjSGef//GVOA4zI9cmQ==" spinCount="100000" sheet="1" objects="1" scenarios="1"/>
  <pageMargins left="0.7" right="0.7" top="0.75" bottom="0.75" header="0.3" footer="0.3"/>
  <pageSetup paperSize="9" orientation="portrait" horizontalDpi="300" verticalDpi="300" r:id="rId1"/>
  <ignoredErrors>
    <ignoredError sqref="B10:J10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Weekly Valuation</vt:lpstr>
      <vt:lpstr>NAV Comparison</vt:lpstr>
      <vt:lpstr>Market Share</vt:lpstr>
      <vt:lpstr>8-Week Movement in NAV</vt:lpstr>
      <vt:lpstr>8-Week Movement in ETFs</vt:lpstr>
      <vt:lpstr>NAV Trend</vt:lpstr>
      <vt:lpstr>FX_RATE</vt:lpstr>
      <vt:lpstr>'Weekly Valuation'!NFEM_RATE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 RV</dc:creator>
  <cp:lastModifiedBy>Isaac, Tunde</cp:lastModifiedBy>
  <dcterms:created xsi:type="dcterms:W3CDTF">2023-10-09T09:40:00Z</dcterms:created>
  <dcterms:modified xsi:type="dcterms:W3CDTF">2025-07-09T15:12:05Z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A438AA3AB3D54FD3925988ED903466DD_13</vt:lpwstr>
  </property>
  <property fmtid="{D5CDD505-2E9C-101B-9397-08002B2CF9AE}" pid="3" name="KSOProductBuildVer">
    <vt:lpwstr>1033-12.2.0.13266</vt:lpwstr>
  </property>
</Properties>
</file>