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definedNames>
    <definedName name="FX_RATE">'Weekly Valuation'!$W$133</definedName>
    <definedName name="NFEM_RATE" localSheetId="0">'Weekly Valuation'!$W$133</definedName>
  </definedNames>
  <calcPr calcId="162913"/>
</workbook>
</file>

<file path=xl/calcChain.xml><?xml version="1.0" encoding="utf-8"?>
<calcChain xmlns="http://schemas.openxmlformats.org/spreadsheetml/2006/main">
  <c r="K133" i="1" l="1"/>
  <c r="K119" i="1" l="1"/>
  <c r="N134" i="1" l="1"/>
  <c r="M134" i="1"/>
  <c r="K134" i="1"/>
  <c r="N143" i="1"/>
  <c r="M143" i="1"/>
  <c r="K142" i="1" l="1"/>
  <c r="K125" i="1"/>
  <c r="N114" i="1"/>
  <c r="M114" i="1"/>
  <c r="K114" i="1"/>
  <c r="N136" i="1"/>
  <c r="M136" i="1"/>
  <c r="K136" i="1"/>
  <c r="N133" i="1"/>
  <c r="M133" i="1"/>
  <c r="N126" i="1"/>
  <c r="M126" i="1"/>
  <c r="K126" i="1"/>
  <c r="N145" i="1"/>
  <c r="M145" i="1"/>
  <c r="K145" i="1"/>
  <c r="N120" i="1"/>
  <c r="M120" i="1"/>
  <c r="K120" i="1"/>
  <c r="K115" i="1" l="1"/>
  <c r="K148" i="1"/>
  <c r="K127" i="1"/>
  <c r="N225" i="1"/>
  <c r="M225" i="1"/>
  <c r="K225" i="1"/>
  <c r="N117" i="1"/>
  <c r="M117" i="1"/>
  <c r="K117" i="1"/>
  <c r="N116" i="1"/>
  <c r="M116" i="1"/>
  <c r="K116" i="1"/>
  <c r="K146" i="1"/>
  <c r="K130" i="1"/>
  <c r="N118" i="1"/>
  <c r="M118" i="1"/>
  <c r="K118" i="1"/>
  <c r="N227" i="1" l="1"/>
  <c r="M227" i="1"/>
  <c r="K227" i="1"/>
  <c r="N124" i="1"/>
  <c r="M124" i="1"/>
  <c r="K124" i="1"/>
  <c r="N123" i="1"/>
  <c r="M123" i="1"/>
  <c r="K123" i="1"/>
  <c r="N128" i="1" l="1"/>
  <c r="M128" i="1"/>
  <c r="K128" i="1"/>
  <c r="N129" i="1" l="1"/>
  <c r="M129" i="1"/>
  <c r="K129" i="1"/>
  <c r="N140" i="1" l="1"/>
  <c r="M140" i="1"/>
  <c r="K140" i="1"/>
  <c r="N121" i="1" l="1"/>
  <c r="M121" i="1"/>
  <c r="K121" i="1"/>
  <c r="M139" i="1" l="1"/>
  <c r="K139" i="1"/>
  <c r="G227" i="1" l="1"/>
  <c r="F227" i="1"/>
  <c r="G225" i="1"/>
  <c r="F225" i="1"/>
  <c r="D227" i="1"/>
  <c r="D225" i="1"/>
  <c r="K143" i="1" l="1"/>
  <c r="M127" i="1" l="1"/>
  <c r="N146" i="1"/>
  <c r="M146" i="1"/>
  <c r="N130" i="1"/>
  <c r="M130" i="1"/>
  <c r="K149" i="1" l="1"/>
  <c r="N142" i="1"/>
  <c r="M142" i="1"/>
  <c r="N149" i="1" l="1"/>
  <c r="M149" i="1"/>
  <c r="N139" i="1" l="1"/>
  <c r="N119" i="1" l="1"/>
  <c r="M119" i="1"/>
  <c r="N141" i="1" l="1"/>
  <c r="M141" i="1"/>
  <c r="N148" i="1" l="1"/>
  <c r="M148" i="1"/>
  <c r="N138" i="1" l="1"/>
  <c r="M138" i="1"/>
  <c r="R179" i="1" l="1"/>
  <c r="R81" i="1" l="1"/>
  <c r="R82" i="1"/>
  <c r="R104" i="1" l="1"/>
  <c r="S104" i="1"/>
  <c r="T104" i="1"/>
  <c r="U104" i="1"/>
  <c r="V104" i="1"/>
  <c r="N127" i="1" l="1"/>
  <c r="R15" i="1" l="1"/>
  <c r="V228" i="1" l="1"/>
  <c r="U228" i="1"/>
  <c r="T228" i="1"/>
  <c r="S228" i="1"/>
  <c r="R228" i="1"/>
  <c r="R234" i="1"/>
  <c r="R154" i="1" l="1"/>
  <c r="S154" i="1"/>
  <c r="T154" i="1"/>
  <c r="U154" i="1"/>
  <c r="V154" i="1"/>
  <c r="R126" i="1" l="1"/>
  <c r="R125" i="1"/>
  <c r="S133" i="1"/>
  <c r="R133" i="1"/>
  <c r="S149" i="1"/>
  <c r="R149" i="1"/>
  <c r="S121" i="1"/>
  <c r="S140" i="1"/>
  <c r="R140" i="1"/>
  <c r="R127" i="1"/>
  <c r="S145" i="1"/>
  <c r="R145" i="1"/>
  <c r="S136" i="1"/>
  <c r="R136" i="1"/>
  <c r="S120" i="1"/>
  <c r="R120" i="1"/>
  <c r="K159" i="1"/>
  <c r="L156" i="1" s="1"/>
  <c r="V218" i="1"/>
  <c r="U218" i="1"/>
  <c r="T218" i="1"/>
  <c r="S218" i="1"/>
  <c r="R218" i="1"/>
  <c r="K195" i="1"/>
  <c r="L218" i="1" s="1"/>
  <c r="D195" i="1"/>
  <c r="B19" i="2" s="1"/>
  <c r="B9" i="2" s="1"/>
  <c r="V219" i="1"/>
  <c r="U219" i="1"/>
  <c r="T219" i="1"/>
  <c r="S219" i="1"/>
  <c r="R219" i="1"/>
  <c r="K221" i="1"/>
  <c r="D221" i="1"/>
  <c r="S134" i="1"/>
  <c r="S148" i="1"/>
  <c r="R115" i="1"/>
  <c r="S143" i="1"/>
  <c r="R143" i="1"/>
  <c r="R128" i="1"/>
  <c r="S114" i="1"/>
  <c r="V234" i="1"/>
  <c r="M125" i="1"/>
  <c r="N125" i="1"/>
  <c r="S125" i="1" s="1"/>
  <c r="V226" i="1"/>
  <c r="U226" i="1"/>
  <c r="T226" i="1"/>
  <c r="S226" i="1"/>
  <c r="R226" i="1"/>
  <c r="K230" i="1"/>
  <c r="S138" i="1"/>
  <c r="U142" i="1"/>
  <c r="V142" i="1"/>
  <c r="N115" i="1"/>
  <c r="S115" i="1" s="1"/>
  <c r="M115" i="1"/>
  <c r="R227" i="1"/>
  <c r="S227" i="1"/>
  <c r="T227" i="1"/>
  <c r="U227" i="1"/>
  <c r="V227" i="1"/>
  <c r="V52" i="1"/>
  <c r="U52" i="1"/>
  <c r="T52" i="1"/>
  <c r="S52" i="1"/>
  <c r="R52" i="1"/>
  <c r="R148" i="1"/>
  <c r="V148" i="1"/>
  <c r="U148" i="1"/>
  <c r="T148" i="1"/>
  <c r="R167" i="1"/>
  <c r="S167" i="1"/>
  <c r="T167" i="1"/>
  <c r="U167" i="1"/>
  <c r="V167" i="1"/>
  <c r="V143" i="1"/>
  <c r="U143" i="1"/>
  <c r="T143" i="1"/>
  <c r="R58" i="1"/>
  <c r="V58" i="1"/>
  <c r="U58" i="1"/>
  <c r="S58" i="1"/>
  <c r="T58" i="1"/>
  <c r="R32" i="1"/>
  <c r="V32" i="1"/>
  <c r="U32" i="1"/>
  <c r="T32" i="1"/>
  <c r="S32" i="1"/>
  <c r="T137" i="1"/>
  <c r="V125" i="1"/>
  <c r="U125" i="1"/>
  <c r="T125" i="1"/>
  <c r="R45" i="1"/>
  <c r="S45" i="1"/>
  <c r="T45" i="1"/>
  <c r="U45" i="1"/>
  <c r="V45" i="1"/>
  <c r="O230" i="1"/>
  <c r="H230" i="1"/>
  <c r="D230" i="1"/>
  <c r="V225" i="1"/>
  <c r="U225" i="1"/>
  <c r="T225" i="1"/>
  <c r="S225" i="1"/>
  <c r="R225" i="1"/>
  <c r="V136" i="1"/>
  <c r="U136" i="1"/>
  <c r="T136" i="1"/>
  <c r="V82" i="1"/>
  <c r="U82" i="1"/>
  <c r="T82" i="1"/>
  <c r="S82" i="1"/>
  <c r="R171" i="1"/>
  <c r="V23" i="1"/>
  <c r="U23" i="1"/>
  <c r="T23" i="1"/>
  <c r="S23" i="1"/>
  <c r="R23" i="1"/>
  <c r="O221" i="1"/>
  <c r="H221" i="1"/>
  <c r="V220" i="1"/>
  <c r="U220" i="1"/>
  <c r="T220" i="1"/>
  <c r="S220" i="1"/>
  <c r="R220" i="1"/>
  <c r="R31" i="1"/>
  <c r="R117" i="1"/>
  <c r="S117" i="1"/>
  <c r="T117" i="1"/>
  <c r="U117" i="1"/>
  <c r="V117" i="1"/>
  <c r="R53" i="1"/>
  <c r="R212" i="1"/>
  <c r="V204" i="1"/>
  <c r="U204" i="1"/>
  <c r="T204" i="1"/>
  <c r="S204" i="1"/>
  <c r="R204" i="1"/>
  <c r="T145" i="1"/>
  <c r="U145" i="1"/>
  <c r="V145" i="1"/>
  <c r="R6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R94" i="1"/>
  <c r="V34" i="1"/>
  <c r="U34" i="1"/>
  <c r="T34" i="1"/>
  <c r="S34" i="1"/>
  <c r="R34" i="1"/>
  <c r="V76" i="1"/>
  <c r="V49" i="1"/>
  <c r="U49" i="1"/>
  <c r="T49" i="1"/>
  <c r="S49" i="1"/>
  <c r="R49" i="1"/>
  <c r="J10" i="4"/>
  <c r="I4" i="5" s="1"/>
  <c r="I3" i="5" s="1"/>
  <c r="I10" i="4"/>
  <c r="H4" i="5" s="1"/>
  <c r="H3" i="5" s="1"/>
  <c r="H10" i="4"/>
  <c r="G4" i="5" s="1"/>
  <c r="G3" i="5" s="1"/>
  <c r="G10" i="4"/>
  <c r="F4" i="5" s="1"/>
  <c r="F3" i="5" s="1"/>
  <c r="F10" i="4"/>
  <c r="E10" i="4"/>
  <c r="D10" i="4"/>
  <c r="E12" i="4" s="1"/>
  <c r="C10" i="4"/>
  <c r="D12" i="4" s="1"/>
  <c r="B10" i="4"/>
  <c r="I4" i="6"/>
  <c r="I3" i="6" s="1"/>
  <c r="H4" i="6"/>
  <c r="H3" i="6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V250" i="1"/>
  <c r="U250" i="1"/>
  <c r="S250" i="1"/>
  <c r="O250" i="1"/>
  <c r="K250" i="1"/>
  <c r="L247" i="1" s="1"/>
  <c r="H250" i="1"/>
  <c r="D250" i="1"/>
  <c r="E238" i="1" s="1"/>
  <c r="V249" i="1"/>
  <c r="U249" i="1"/>
  <c r="T249" i="1"/>
  <c r="S249" i="1"/>
  <c r="R249" i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O235" i="1"/>
  <c r="K235" i="1"/>
  <c r="L233" i="1" s="1"/>
  <c r="H235" i="1"/>
  <c r="D235" i="1"/>
  <c r="E233" i="1" s="1"/>
  <c r="U234" i="1"/>
  <c r="T234" i="1"/>
  <c r="S234" i="1"/>
  <c r="V233" i="1"/>
  <c r="U233" i="1"/>
  <c r="T233" i="1"/>
  <c r="S233" i="1"/>
  <c r="R233" i="1"/>
  <c r="V229" i="1"/>
  <c r="U229" i="1"/>
  <c r="T229" i="1"/>
  <c r="S229" i="1"/>
  <c r="R229" i="1"/>
  <c r="V221" i="1"/>
  <c r="U221" i="1"/>
  <c r="S221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R213" i="1"/>
  <c r="V212" i="1"/>
  <c r="U212" i="1"/>
  <c r="T212" i="1"/>
  <c r="S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3" i="1"/>
  <c r="U203" i="1"/>
  <c r="T203" i="1"/>
  <c r="S203" i="1"/>
  <c r="R203" i="1"/>
  <c r="V200" i="1"/>
  <c r="U200" i="1"/>
  <c r="T200" i="1"/>
  <c r="S200" i="1"/>
  <c r="R200" i="1"/>
  <c r="V199" i="1"/>
  <c r="U199" i="1"/>
  <c r="T199" i="1"/>
  <c r="S199" i="1"/>
  <c r="R199" i="1"/>
  <c r="V195" i="1"/>
  <c r="U195" i="1"/>
  <c r="S195" i="1"/>
  <c r="O195" i="1"/>
  <c r="H195" i="1"/>
  <c r="T195" i="1" s="1"/>
  <c r="V194" i="1"/>
  <c r="U194" i="1"/>
  <c r="T194" i="1"/>
  <c r="S194" i="1"/>
  <c r="R194" i="1"/>
  <c r="V193" i="1"/>
  <c r="U193" i="1"/>
  <c r="T193" i="1"/>
  <c r="S193" i="1"/>
  <c r="R193" i="1"/>
  <c r="V190" i="1"/>
  <c r="U190" i="1"/>
  <c r="S190" i="1"/>
  <c r="O190" i="1"/>
  <c r="K190" i="1"/>
  <c r="L179" i="1" s="1"/>
  <c r="H190" i="1"/>
  <c r="D190" i="1"/>
  <c r="E167" i="1" s="1"/>
  <c r="V159" i="1"/>
  <c r="U159" i="1"/>
  <c r="S159" i="1"/>
  <c r="O159" i="1"/>
  <c r="H159" i="1"/>
  <c r="D159" i="1"/>
  <c r="E153" i="1" s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T142" i="1"/>
  <c r="S142" i="1"/>
  <c r="V141" i="1"/>
  <c r="U141" i="1"/>
  <c r="T141" i="1"/>
  <c r="R141" i="1"/>
  <c r="S141" i="1"/>
  <c r="V140" i="1"/>
  <c r="U140" i="1"/>
  <c r="T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V133" i="1"/>
  <c r="U133" i="1"/>
  <c r="T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V127" i="1"/>
  <c r="U127" i="1"/>
  <c r="T127" i="1"/>
  <c r="S127" i="1"/>
  <c r="V126" i="1"/>
  <c r="U126" i="1"/>
  <c r="T126" i="1"/>
  <c r="S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V120" i="1"/>
  <c r="U120" i="1"/>
  <c r="T120" i="1"/>
  <c r="V119" i="1"/>
  <c r="U119" i="1"/>
  <c r="T119" i="1"/>
  <c r="S119" i="1"/>
  <c r="V118" i="1"/>
  <c r="U118" i="1"/>
  <c r="T118" i="1"/>
  <c r="S118" i="1"/>
  <c r="V116" i="1"/>
  <c r="U116" i="1"/>
  <c r="T116" i="1"/>
  <c r="S116" i="1"/>
  <c r="V115" i="1"/>
  <c r="U115" i="1"/>
  <c r="T115" i="1"/>
  <c r="V114" i="1"/>
  <c r="U114" i="1"/>
  <c r="T114" i="1"/>
  <c r="R114" i="1"/>
  <c r="V110" i="1"/>
  <c r="U110" i="1"/>
  <c r="S110" i="1"/>
  <c r="O110" i="1"/>
  <c r="K110" i="1"/>
  <c r="L104" i="1" s="1"/>
  <c r="H110" i="1"/>
  <c r="D110" i="1"/>
  <c r="E96" i="1" s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1" i="1"/>
  <c r="U81" i="1"/>
  <c r="T81" i="1"/>
  <c r="S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U77" i="1"/>
  <c r="V77" i="1" s="1"/>
  <c r="T77" i="1"/>
  <c r="S77" i="1"/>
  <c r="R77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69" i="1"/>
  <c r="U69" i="1"/>
  <c r="S69" i="1"/>
  <c r="O69" i="1"/>
  <c r="K69" i="1"/>
  <c r="L36" i="1" s="1"/>
  <c r="H69" i="1"/>
  <c r="D69" i="1"/>
  <c r="B14" i="2" s="1"/>
  <c r="B4" i="2" s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1" i="1"/>
  <c r="U51" i="1"/>
  <c r="T51" i="1"/>
  <c r="S51" i="1"/>
  <c r="R51" i="1"/>
  <c r="V50" i="1"/>
  <c r="U50" i="1"/>
  <c r="T50" i="1"/>
  <c r="S50" i="1"/>
  <c r="R50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D4" i="5"/>
  <c r="D3" i="5" s="1"/>
  <c r="D150" i="1"/>
  <c r="E139" i="1" s="1"/>
  <c r="R116" i="1"/>
  <c r="R119" i="1"/>
  <c r="R130" i="1"/>
  <c r="R134" i="1"/>
  <c r="R142" i="1"/>
  <c r="R146" i="1"/>
  <c r="L203" i="1" l="1"/>
  <c r="L208" i="1"/>
  <c r="F12" i="4"/>
  <c r="E88" i="1"/>
  <c r="E234" i="1"/>
  <c r="E98" i="1"/>
  <c r="E100" i="1"/>
  <c r="G12" i="4"/>
  <c r="E157" i="1"/>
  <c r="E4" i="5"/>
  <c r="E3" i="5" s="1"/>
  <c r="E91" i="1"/>
  <c r="E104" i="1"/>
  <c r="E78" i="1"/>
  <c r="L170" i="1"/>
  <c r="L188" i="1"/>
  <c r="L189" i="1"/>
  <c r="E103" i="1"/>
  <c r="E90" i="1"/>
  <c r="I12" i="4"/>
  <c r="H12" i="4"/>
  <c r="E45" i="1"/>
  <c r="E193" i="1"/>
  <c r="E194" i="1"/>
  <c r="E108" i="1"/>
  <c r="E13" i="1"/>
  <c r="E17" i="1"/>
  <c r="E15" i="1"/>
  <c r="E34" i="1"/>
  <c r="E14" i="1"/>
  <c r="C4" i="5"/>
  <c r="C3" i="5" s="1"/>
  <c r="C12" i="4"/>
  <c r="B4" i="5"/>
  <c r="B3" i="5" s="1"/>
  <c r="T159" i="1"/>
  <c r="E89" i="1"/>
  <c r="E106" i="1"/>
  <c r="E85" i="1"/>
  <c r="E79" i="1"/>
  <c r="E93" i="1"/>
  <c r="E248" i="1"/>
  <c r="E77" i="1"/>
  <c r="E74" i="1"/>
  <c r="E181" i="1"/>
  <c r="E109" i="1"/>
  <c r="E72" i="1"/>
  <c r="E185" i="1"/>
  <c r="E84" i="1"/>
  <c r="E81" i="1"/>
  <c r="T110" i="1"/>
  <c r="E80" i="1"/>
  <c r="E75" i="1"/>
  <c r="E140" i="1"/>
  <c r="E107" i="1"/>
  <c r="E97" i="1"/>
  <c r="B15" i="2"/>
  <c r="B5" i="2" s="1"/>
  <c r="E86" i="1"/>
  <c r="B16" i="2"/>
  <c r="B6" i="2" s="1"/>
  <c r="E82" i="1"/>
  <c r="E105" i="1"/>
  <c r="E102" i="1"/>
  <c r="E101" i="1"/>
  <c r="E16" i="1"/>
  <c r="E9" i="1"/>
  <c r="E20" i="1"/>
  <c r="E243" i="1"/>
  <c r="E18" i="1"/>
  <c r="B13" i="2"/>
  <c r="B3" i="2" s="1"/>
  <c r="E6" i="1"/>
  <c r="E10" i="1"/>
  <c r="E24" i="1"/>
  <c r="E11" i="1"/>
  <c r="E204" i="1"/>
  <c r="E228" i="1"/>
  <c r="E12" i="1"/>
  <c r="E21" i="1"/>
  <c r="E7" i="1"/>
  <c r="E22" i="1"/>
  <c r="E8" i="1"/>
  <c r="E126" i="1"/>
  <c r="E19" i="1"/>
  <c r="L234" i="1"/>
  <c r="R235" i="1"/>
  <c r="L78" i="1"/>
  <c r="L101" i="1"/>
  <c r="L227" i="1"/>
  <c r="L228" i="1"/>
  <c r="L226" i="1"/>
  <c r="R230" i="1"/>
  <c r="E205" i="1"/>
  <c r="B20" i="2"/>
  <c r="B10" i="2" s="1"/>
  <c r="E203" i="1"/>
  <c r="E210" i="1"/>
  <c r="E208" i="1"/>
  <c r="E226" i="1"/>
  <c r="E225" i="1"/>
  <c r="E213" i="1"/>
  <c r="E220" i="1"/>
  <c r="E211" i="1"/>
  <c r="E218" i="1"/>
  <c r="E180" i="1"/>
  <c r="E188" i="1"/>
  <c r="E169" i="1"/>
  <c r="E163" i="1"/>
  <c r="E175" i="1"/>
  <c r="E184" i="1"/>
  <c r="E48" i="1"/>
  <c r="E166" i="1"/>
  <c r="E186" i="1"/>
  <c r="E177" i="1"/>
  <c r="E168" i="1"/>
  <c r="E189" i="1"/>
  <c r="E179" i="1"/>
  <c r="E164" i="1"/>
  <c r="E176" i="1"/>
  <c r="E170" i="1"/>
  <c r="E182" i="1"/>
  <c r="E171" i="1"/>
  <c r="E183" i="1"/>
  <c r="E162" i="1"/>
  <c r="E187" i="1"/>
  <c r="E174" i="1"/>
  <c r="E165" i="1"/>
  <c r="E178" i="1"/>
  <c r="E172" i="1"/>
  <c r="B18" i="2"/>
  <c r="B8" i="2" s="1"/>
  <c r="E173" i="1"/>
  <c r="E156" i="1"/>
  <c r="E158" i="1"/>
  <c r="E143" i="1"/>
  <c r="E116" i="1"/>
  <c r="E133" i="1"/>
  <c r="E145" i="1"/>
  <c r="E125" i="1"/>
  <c r="E117" i="1"/>
  <c r="E141" i="1"/>
  <c r="E118" i="1"/>
  <c r="E136" i="1"/>
  <c r="L225" i="1"/>
  <c r="L158" i="1"/>
  <c r="L153" i="1"/>
  <c r="B6" i="3"/>
  <c r="L229" i="1"/>
  <c r="T221" i="1"/>
  <c r="L155" i="1"/>
  <c r="L154" i="1"/>
  <c r="L157" i="1"/>
  <c r="C17" i="2"/>
  <c r="C7" i="2" s="1"/>
  <c r="E247" i="1"/>
  <c r="E245" i="1"/>
  <c r="L239" i="1"/>
  <c r="R195" i="1"/>
  <c r="L194" i="1"/>
  <c r="L193" i="1"/>
  <c r="B2" i="3"/>
  <c r="C19" i="2"/>
  <c r="C9" i="2" s="1"/>
  <c r="L210" i="1"/>
  <c r="L200" i="1"/>
  <c r="L211" i="1"/>
  <c r="L213" i="1"/>
  <c r="C20" i="2"/>
  <c r="C10" i="2" s="1"/>
  <c r="L199" i="1"/>
  <c r="L215" i="1"/>
  <c r="L209" i="1"/>
  <c r="L206" i="1"/>
  <c r="B4" i="3"/>
  <c r="L204" i="1"/>
  <c r="L214" i="1"/>
  <c r="L212" i="1"/>
  <c r="T25" i="1"/>
  <c r="L23" i="1"/>
  <c r="L11" i="1"/>
  <c r="B3" i="3"/>
  <c r="L20" i="1"/>
  <c r="L17" i="1"/>
  <c r="L22" i="1"/>
  <c r="L16" i="1"/>
  <c r="L18" i="1"/>
  <c r="L7" i="1"/>
  <c r="L13" i="1"/>
  <c r="L14" i="1"/>
  <c r="L12" i="1"/>
  <c r="L9" i="1"/>
  <c r="L10" i="1"/>
  <c r="L34" i="1"/>
  <c r="L8" i="1"/>
  <c r="L6" i="1"/>
  <c r="L24" i="1"/>
  <c r="C13" i="2"/>
  <c r="C3" i="2" s="1"/>
  <c r="L21" i="1"/>
  <c r="R25" i="1"/>
  <c r="L15" i="1"/>
  <c r="L94" i="1"/>
  <c r="L90" i="1"/>
  <c r="L248" i="1"/>
  <c r="L243" i="1"/>
  <c r="L245" i="1"/>
  <c r="L241" i="1"/>
  <c r="L207" i="1"/>
  <c r="L219" i="1"/>
  <c r="L205" i="1"/>
  <c r="L220" i="1"/>
  <c r="E30" i="1"/>
  <c r="T250" i="1"/>
  <c r="L246" i="1"/>
  <c r="L249" i="1"/>
  <c r="L244" i="1"/>
  <c r="L242" i="1"/>
  <c r="L240" i="1"/>
  <c r="L238" i="1"/>
  <c r="K150" i="1"/>
  <c r="L118" i="1" s="1"/>
  <c r="R118" i="1"/>
  <c r="R121" i="1"/>
  <c r="T69" i="1"/>
  <c r="L32" i="1"/>
  <c r="E55" i="1"/>
  <c r="L33" i="1"/>
  <c r="L43" i="1"/>
  <c r="E68" i="1"/>
  <c r="L63" i="1"/>
  <c r="L62" i="1"/>
  <c r="L67" i="1"/>
  <c r="E63" i="1"/>
  <c r="L47" i="1"/>
  <c r="E46" i="1"/>
  <c r="L31" i="1"/>
  <c r="E35" i="1"/>
  <c r="E61" i="1"/>
  <c r="E43" i="1"/>
  <c r="L29" i="1"/>
  <c r="E47" i="1"/>
  <c r="E31" i="1"/>
  <c r="E66" i="1"/>
  <c r="E95" i="1"/>
  <c r="L60" i="1"/>
  <c r="L42" i="1"/>
  <c r="E28" i="1"/>
  <c r="L46" i="1"/>
  <c r="L30" i="1"/>
  <c r="E64" i="1"/>
  <c r="L44" i="1"/>
  <c r="E59" i="1"/>
  <c r="E41" i="1"/>
  <c r="E44" i="1"/>
  <c r="E29" i="1"/>
  <c r="E62" i="1"/>
  <c r="E58" i="1"/>
  <c r="L57" i="1"/>
  <c r="L40" i="1"/>
  <c r="E42" i="1"/>
  <c r="L28" i="1"/>
  <c r="E60" i="1"/>
  <c r="B9" i="3"/>
  <c r="E56" i="1"/>
  <c r="E39" i="1"/>
  <c r="L41" i="1"/>
  <c r="E57" i="1"/>
  <c r="L95" i="1"/>
  <c r="L68" i="1"/>
  <c r="L55" i="1"/>
  <c r="E40" i="1"/>
  <c r="L51" i="1"/>
  <c r="L49" i="1"/>
  <c r="L52" i="1"/>
  <c r="E67" i="1"/>
  <c r="E54" i="1"/>
  <c r="E38" i="1"/>
  <c r="L39" i="1"/>
  <c r="L54" i="1"/>
  <c r="E49" i="1"/>
  <c r="L45" i="1"/>
  <c r="E52" i="1"/>
  <c r="C14" i="2"/>
  <c r="C4" i="2" s="1"/>
  <c r="L66" i="1"/>
  <c r="L53" i="1"/>
  <c r="L37" i="1"/>
  <c r="L65" i="1"/>
  <c r="L35" i="1"/>
  <c r="L58" i="1"/>
  <c r="E65" i="1"/>
  <c r="E51" i="1"/>
  <c r="E36" i="1"/>
  <c r="L38" i="1"/>
  <c r="E50" i="1"/>
  <c r="L56" i="1"/>
  <c r="E32" i="1"/>
  <c r="L64" i="1"/>
  <c r="L50" i="1"/>
  <c r="E33" i="1"/>
  <c r="E37" i="1"/>
  <c r="E53" i="1"/>
  <c r="L59" i="1"/>
  <c r="L61" i="1"/>
  <c r="R69" i="1"/>
  <c r="E241" i="1"/>
  <c r="E239" i="1"/>
  <c r="E242" i="1"/>
  <c r="E244" i="1"/>
  <c r="E246" i="1"/>
  <c r="E249" i="1"/>
  <c r="E240" i="1"/>
  <c r="R250" i="1"/>
  <c r="E219" i="1"/>
  <c r="E206" i="1"/>
  <c r="E199" i="1"/>
  <c r="E200" i="1"/>
  <c r="E215" i="1"/>
  <c r="E209" i="1"/>
  <c r="E227" i="1"/>
  <c r="E229" i="1"/>
  <c r="E214" i="1"/>
  <c r="R221" i="1"/>
  <c r="E212" i="1"/>
  <c r="T190" i="1"/>
  <c r="H222" i="1"/>
  <c r="H251" i="1" s="1"/>
  <c r="B17" i="2"/>
  <c r="B7" i="2" s="1"/>
  <c r="E155" i="1"/>
  <c r="R159" i="1"/>
  <c r="T150" i="1"/>
  <c r="E122" i="1"/>
  <c r="E149" i="1"/>
  <c r="E135" i="1"/>
  <c r="E123" i="1"/>
  <c r="E146" i="1"/>
  <c r="E128" i="1"/>
  <c r="E127" i="1"/>
  <c r="E138" i="1"/>
  <c r="E142" i="1"/>
  <c r="E130" i="1"/>
  <c r="E144" i="1"/>
  <c r="E134" i="1"/>
  <c r="E124" i="1"/>
  <c r="E119" i="1"/>
  <c r="E114" i="1"/>
  <c r="E137" i="1"/>
  <c r="E129" i="1"/>
  <c r="E115" i="1"/>
  <c r="E121" i="1"/>
  <c r="E83" i="1"/>
  <c r="E99" i="1"/>
  <c r="E94" i="1"/>
  <c r="E73" i="1"/>
  <c r="E87" i="1"/>
  <c r="E92" i="1"/>
  <c r="D222" i="1"/>
  <c r="E25" i="1" s="1"/>
  <c r="J12" i="4"/>
  <c r="O222" i="1"/>
  <c r="O251" i="1" s="1"/>
  <c r="L171" i="1"/>
  <c r="L182" i="1"/>
  <c r="R190" i="1"/>
  <c r="B5" i="3"/>
  <c r="L162" i="1"/>
  <c r="L183" i="1"/>
  <c r="L48" i="1"/>
  <c r="L174" i="1"/>
  <c r="L173" i="1"/>
  <c r="L186" i="1"/>
  <c r="L172" i="1"/>
  <c r="L165" i="1"/>
  <c r="L166" i="1"/>
  <c r="L181" i="1"/>
  <c r="L178" i="1"/>
  <c r="C18" i="2"/>
  <c r="C8" i="2" s="1"/>
  <c r="L177" i="1"/>
  <c r="L185" i="1"/>
  <c r="L167" i="1"/>
  <c r="L184" i="1"/>
  <c r="L163" i="1"/>
  <c r="L169" i="1"/>
  <c r="L164" i="1"/>
  <c r="L175" i="1"/>
  <c r="L176" i="1"/>
  <c r="L187" i="1"/>
  <c r="L180" i="1"/>
  <c r="L168" i="1"/>
  <c r="L72" i="1"/>
  <c r="L98" i="1"/>
  <c r="L75" i="1"/>
  <c r="L96" i="1"/>
  <c r="L99" i="1"/>
  <c r="L106" i="1"/>
  <c r="L92" i="1"/>
  <c r="L73" i="1"/>
  <c r="L82" i="1"/>
  <c r="L136" i="1"/>
  <c r="L83" i="1"/>
  <c r="E76" i="1"/>
  <c r="L88" i="1"/>
  <c r="R110" i="1"/>
  <c r="L91" i="1"/>
  <c r="L86" i="1"/>
  <c r="L80" i="1"/>
  <c r="L84" i="1"/>
  <c r="C15" i="2"/>
  <c r="C5" i="2" s="1"/>
  <c r="L89" i="1"/>
  <c r="L97" i="1"/>
  <c r="L105" i="1"/>
  <c r="L81" i="1"/>
  <c r="B7" i="3"/>
  <c r="L87" i="1"/>
  <c r="L79" i="1"/>
  <c r="L107" i="1"/>
  <c r="L77" i="1"/>
  <c r="L102" i="1"/>
  <c r="L76" i="1"/>
  <c r="L93" i="1"/>
  <c r="L103" i="1"/>
  <c r="L109" i="1"/>
  <c r="L100" i="1"/>
  <c r="L74" i="1"/>
  <c r="L85" i="1"/>
  <c r="L108" i="1"/>
  <c r="L142" i="1" l="1"/>
  <c r="B8" i="3"/>
  <c r="L137" i="1"/>
  <c r="L128" i="1"/>
  <c r="L146" i="1"/>
  <c r="L143" i="1"/>
  <c r="L123" i="1"/>
  <c r="L140" i="1"/>
  <c r="L129" i="1"/>
  <c r="L124" i="1"/>
  <c r="R150" i="1"/>
  <c r="L121" i="1"/>
  <c r="L120" i="1"/>
  <c r="C16" i="2"/>
  <c r="C6" i="2" s="1"/>
  <c r="L147" i="1"/>
  <c r="L135" i="1"/>
  <c r="L145" i="1"/>
  <c r="K222" i="1"/>
  <c r="L150" i="1" s="1"/>
  <c r="L117" i="1"/>
  <c r="L116" i="1"/>
  <c r="L130" i="1"/>
  <c r="L148" i="1"/>
  <c r="L119" i="1"/>
  <c r="L114" i="1"/>
  <c r="L141" i="1"/>
  <c r="L139" i="1"/>
  <c r="L122" i="1"/>
  <c r="L138" i="1"/>
  <c r="L125" i="1"/>
  <c r="L144" i="1"/>
  <c r="L126" i="1"/>
  <c r="L133" i="1"/>
  <c r="L134" i="1"/>
  <c r="L115" i="1"/>
  <c r="L127" i="1"/>
  <c r="L149" i="1"/>
  <c r="E221" i="1"/>
  <c r="D251" i="1"/>
  <c r="E159" i="1"/>
  <c r="E195" i="1"/>
  <c r="E110" i="1"/>
  <c r="E190" i="1"/>
  <c r="E150" i="1"/>
  <c r="E69" i="1"/>
  <c r="L25" i="1" l="1"/>
  <c r="L69" i="1"/>
  <c r="L159" i="1"/>
  <c r="R222" i="1"/>
  <c r="L195" i="1"/>
  <c r="L190" i="1"/>
  <c r="K251" i="1"/>
  <c r="L221" i="1"/>
  <c r="L110" i="1"/>
</calcChain>
</file>

<file path=xl/sharedStrings.xml><?xml version="1.0" encoding="utf-8"?>
<sst xmlns="http://schemas.openxmlformats.org/spreadsheetml/2006/main" count="513" uniqueCount="324">
  <si>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</si>
  <si>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</si>
  <si>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</si>
  <si>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</si>
  <si>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</si>
  <si>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</si>
  <si>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</si>
  <si>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</si>
  <si>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</si>
  <si>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</si>
  <si>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</si>
  <si>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</si>
  <si>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</si>
  <si>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</si>
  <si>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</si>
  <si>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</si>
  <si>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</si>
  <si>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</si>
  <si>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</si>
  <si>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</si>
  <si>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</si>
  <si>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</si>
  <si>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</si>
  <si>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</si>
  <si>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</si>
  <si>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</si>
  <si>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</si>
  <si>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</si>
  <si>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</si>
  <si>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</si>
  <si>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</si>
  <si>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</si>
  <si>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</si>
  <si>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</si>
  <si>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</si>
  <si>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</si>
  <si>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</si>
  <si>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</si>
  <si>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</si>
  <si>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</si>
  <si>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</si>
  <si>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</si>
  <si>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</si>
  <si>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</si>
  <si>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</si>
  <si>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</si>
  <si>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</si>
  <si>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</si>
  <si>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</si>
  <si>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</si>
  <si>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</si>
  <si>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</si>
  <si>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</si>
  <si>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</si>
  <si>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</si>
  <si>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</si>
  <si>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</si>
  <si>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</si>
  <si>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</si>
  <si>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</si>
  <si>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</si>
  <si>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</si>
  <si>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</si>
  <si>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</si>
  <si>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</si>
  <si>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</si>
  <si>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</si>
  <si>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</si>
  <si>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</si>
  <si>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</si>
  <si>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</si>
  <si>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</si>
  <si>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</si>
  <si>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</si>
  <si>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</si>
  <si>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</si>
  <si>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</si>
  <si>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</si>
  <si>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</si>
  <si>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</si>
  <si>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</si>
  <si>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</si>
  <si>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</si>
  <si>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</si>
  <si>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</si>
  <si>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</si>
  <si>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</si>
  <si>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</si>
  <si>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</si>
  <si>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</si>
  <si>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</si>
  <si>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</si>
  <si>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</si>
  <si>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</si>
  <si>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</si>
  <si>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</si>
  <si>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</si>
  <si>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</si>
  <si>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</si>
  <si>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</si>
  <si>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</si>
  <si>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</si>
  <si>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</si>
  <si>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</si>
  <si>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</si>
  <si>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</si>
  <si>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</si>
  <si>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</si>
  <si>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</si>
  <si>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</si>
  <si>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</si>
  <si>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</si>
  <si>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</si>
  <si>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</si>
  <si>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</si>
  <si>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</si>
  <si>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</si>
  <si>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</si>
  <si>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</si>
  <si>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</si>
  <si>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</si>
  <si>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</si>
  <si>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</si>
  <si>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</si>
  <si>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</si>
  <si>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</si>
  <si>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</si>
  <si>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</si>
  <si>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</si>
  <si>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</si>
  <si>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</si>
  <si>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</si>
  <si>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</si>
  <si>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</si>
  <si>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</si>
  <si>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</si>
  <si>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</si>
  <si>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</si>
  <si>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</si>
  <si>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</si>
  <si>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</si>
  <si>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</si>
  <si>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</si>
  <si>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</si>
  <si>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</si>
  <si>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</si>
  <si>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</si>
  <si>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</si>
  <si>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</si>
  <si>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</si>
  <si>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</si>
  <si>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</si>
  <si>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</si>
  <si>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</si>
  <si>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</si>
  <si>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</si>
  <si>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</si>
  <si>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</si>
  <si>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</si>
  <si>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</si>
  <si>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</si>
  <si>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</si>
  <si>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</si>
  <si>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</si>
  <si>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</si>
  <si>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</si>
  <si>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</si>
  <si>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</si>
  <si>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</si>
  <si>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</si>
  <si>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</si>
  <si>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</si>
  <si>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</si>
  <si>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</si>
  <si>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</si>
  <si>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</si>
  <si>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</si>
  <si>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</si>
  <si>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</si>
  <si>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</si>
  <si>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</si>
  <si>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</si>
  <si>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</si>
  <si>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</si>
  <si>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</si>
  <si>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</si>
  <si>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</si>
  <si>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</si>
  <si>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</si>
  <si>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</si>
  <si>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</si>
  <si>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</si>
  <si>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</si>
  <si>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</si>
  <si>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</si>
  <si>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</si>
  <si>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</si>
  <si>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</si>
  <si>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</si>
  <si>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</si>
  <si>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</si>
  <si>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</si>
  <si>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</si>
  <si>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</si>
  <si>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</si>
  <si>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</si>
  <si>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</si>
  <si>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</si>
  <si>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</si>
  <si>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</si>
  <si>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</si>
  <si>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</si>
  <si>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</si>
  <si>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</si>
  <si>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</si>
  <si>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</si>
  <si>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</si>
  <si>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</si>
  <si>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</si>
  <si>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</si>
  <si>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</si>
  <si>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</si>
  <si>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</si>
  <si>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</si>
  <si>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</si>
  <si>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</si>
  <si>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</si>
  <si>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</si>
  <si>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</si>
  <si>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</si>
  <si>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</si>
  <si>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</si>
  <si>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</si>
  <si>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</si>
  <si>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</si>
  <si>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</si>
  <si>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</si>
  <si>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</si>
  <si>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</si>
  <si>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</si>
  <si>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</si>
  <si>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</si>
  <si>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</si>
  <si>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</si>
  <si>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</si>
  <si>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</si>
  <si>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</si>
  <si>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</si>
  <si>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</si>
  <si>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</si>
  <si>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</si>
  <si>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</si>
  <si>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</si>
  <si>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</si>
  <si>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</si>
  <si>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</si>
  <si>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</si>
  <si>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</si>
  <si>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</si>
  <si>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</si>
  <si>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</si>
  <si>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</si>
  <si>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</si>
  <si>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</si>
  <si>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</si>
  <si>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</si>
  <si>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</si>
  <si>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</si>
  <si>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</si>
  <si>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</si>
  <si>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</si>
  <si>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</si>
  <si>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</si>
  <si>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</si>
  <si>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</si>
  <si>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</si>
  <si>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</si>
  <si>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</si>
  <si>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</si>
  <si>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</si>
  <si>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</si>
  <si>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</si>
  <si>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</si>
  <si>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</si>
  <si>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</si>
  <si>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</si>
  <si>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</si>
  <si>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</si>
  <si>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</si>
  <si>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</si>
  <si>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</si>
  <si>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</si>
  <si>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</si>
  <si>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</si>
  <si>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</si>
  <si>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</si>
  <si>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</si>
  <si>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</si>
  <si>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</si>
  <si>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</si>
  <si>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</si>
  <si>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</si>
  <si>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</si>
  <si>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</si>
  <si>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</si>
  <si>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</si>
  <si>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</si>
  <si>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</si>
  <si>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Mango Asset Management Limited</t>
  </si>
  <si>
    <t>Mango Naira Money Market Fund</t>
  </si>
  <si>
    <t>FBN Blended Dollar Fund</t>
  </si>
  <si>
    <t>ValuAlliance Money Market Fund</t>
  </si>
  <si>
    <t>ARM Specialized Dollar Fund</t>
  </si>
  <si>
    <t>ARM Halal Balanced Fund</t>
  </si>
  <si>
    <t>MOFI Real Estate Investment Fund</t>
  </si>
  <si>
    <t>United Capital Children Investment Fund</t>
  </si>
  <si>
    <t>Trustbanc Fixed Income Fund</t>
  </si>
  <si>
    <t>First Asset Management Limited</t>
  </si>
  <si>
    <t>NAV, Unit Price and Yield as at Week Ended July 11, 2025</t>
  </si>
  <si>
    <t>Week Ended July 11, 2025</t>
  </si>
  <si>
    <t>WEEKLY VALUATION REPORT OF COLLECTIVE INVESTMENT SCHEMES AS AT WEEK ENDED FRIDAY, JULY 18, 2025</t>
  </si>
  <si>
    <t>NAV, Unit Price and Yield as at Week Ended July 18, 2025</t>
  </si>
  <si>
    <t>NFEM RATE NG₦/US$ as at 18th July, 2025 = N1532.3405</t>
  </si>
  <si>
    <t>Week Ended July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</si>
</sst>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  <numFmt numFmtId="167" formatCode="_-* #,##0.0000_-;\-* #,##0.0000_-;_-* &quot;-&quot;??_-;_-@_-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4" fontId="5" fillId="2" borderId="0" xfId="0" applyNumberFormat="1" applyFont="1" applyFill="1" applyAlignment="1">
      <alignment horizontal="right"/>
    </xf>
    <xf numFmtId="167" fontId="41" fillId="0" borderId="0" xfId="1" applyNumberFormat="1" applyFont="1"/>
    <xf numFmtId="0" fontId="42" fillId="0" borderId="0" xfId="0" applyFont="1"/>
    <xf numFmtId="4" fontId="5" fillId="2" borderId="0" xfId="0" applyNumberFormat="1" applyFont="1" applyFill="1"/>
    <xf numFmtId="0" fontId="9" fillId="0" borderId="0" xfId="0" applyFont="1" applyAlignment="1">
      <alignment horizontal="right"/>
    </xf>
    <xf numFmtId="0" fontId="44" fillId="0" borderId="0" xfId="0" applyFont="1" applyBorder="1" applyAlignment="1">
      <alignment horizontal="right"/>
    </xf>
    <xf numFmtId="16" fontId="45" fillId="2" borderId="0" xfId="0" applyNumberFormat="1" applyFont="1" applyFill="1" applyBorder="1"/>
    <xf numFmtId="0" fontId="45" fillId="0" borderId="0" xfId="0" applyFont="1" applyBorder="1" applyAlignment="1">
      <alignment horizontal="right"/>
    </xf>
    <xf numFmtId="4" fontId="46" fillId="2" borderId="0" xfId="0" applyNumberFormat="1" applyFont="1" applyFill="1" applyBorder="1"/>
    <xf numFmtId="164" fontId="46" fillId="2" borderId="0" xfId="1" applyFont="1" applyFill="1" applyBorder="1" applyAlignment="1">
      <alignment horizontal="right" vertical="top" wrapText="1"/>
    </xf>
    <xf numFmtId="4" fontId="46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0" xfId="1" applyFont="1" applyBorder="1"/>
    <xf numFmtId="0" fontId="43" fillId="0" borderId="0" xfId="0" applyFont="1"/>
    <xf numFmtId="16" fontId="47" fillId="2" borderId="0" xfId="0" applyNumberFormat="1" applyFont="1" applyFill="1"/>
    <xf numFmtId="164" fontId="48" fillId="0" borderId="0" xfId="1" applyFont="1"/>
    <xf numFmtId="43" fontId="48" fillId="0" borderId="0" xfId="0" applyNumberFormat="1" applyFont="1"/>
    <xf numFmtId="4" fontId="48" fillId="0" borderId="0" xfId="0" applyNumberFormat="1" applyFont="1"/>
    <xf numFmtId="0" fontId="49" fillId="0" borderId="0" xfId="0" applyFont="1" applyBorder="1" applyAlignment="1">
      <alignment horizontal="right"/>
    </xf>
    <xf numFmtId="16" fontId="49" fillId="2" borderId="0" xfId="0" applyNumberFormat="1" applyFont="1" applyFill="1" applyBorder="1" applyAlignment="1">
      <alignment horizontal="center" wrapText="1"/>
    </xf>
    <xf numFmtId="0" fontId="50" fillId="0" borderId="0" xfId="0" applyFont="1" applyBorder="1"/>
    <xf numFmtId="0" fontId="49" fillId="0" borderId="0" xfId="0" applyFont="1" applyBorder="1" applyAlignment="1">
      <alignment horizontal="right" wrapText="1"/>
    </xf>
    <xf numFmtId="4" fontId="51" fillId="2" borderId="0" xfId="0" applyNumberFormat="1" applyFont="1" applyFill="1" applyBorder="1"/>
    <xf numFmtId="4" fontId="51" fillId="2" borderId="0" xfId="0" applyNumberFormat="1" applyFont="1" applyFill="1" applyBorder="1" applyAlignment="1">
      <alignment horizontal="right"/>
    </xf>
    <xf numFmtId="164" fontId="51" fillId="2" borderId="0" xfId="1" applyFont="1" applyFill="1" applyBorder="1" applyAlignment="1">
      <alignment horizontal="right" vertical="top" wrapText="1"/>
    </xf>
    <xf numFmtId="0" fontId="52" fillId="0" borderId="0" xfId="0" applyFont="1" applyBorder="1" applyAlignment="1">
      <alignment horizontal="right" wrapText="1"/>
    </xf>
    <xf numFmtId="164" fontId="41" fillId="0" borderId="0" xfId="1" applyFont="1" applyBorder="1"/>
    <xf numFmtId="4" fontId="41" fillId="2" borderId="0" xfId="0" applyNumberFormat="1" applyFont="1" applyFill="1" applyBorder="1"/>
    <xf numFmtId="0" fontId="52" fillId="0" borderId="0" xfId="0" applyFont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164" fontId="41" fillId="2" borderId="0" xfId="1" applyFont="1" applyFill="1" applyBorder="1" applyAlignment="1">
      <alignment horizontal="right" vertical="top" wrapText="1"/>
    </xf>
    <xf numFmtId="0" fontId="45" fillId="0" borderId="0" xfId="0" applyFont="1" applyAlignment="1">
      <alignment horizontal="right"/>
    </xf>
    <xf numFmtId="4" fontId="46" fillId="2" borderId="0" xfId="0" applyNumberFormat="1" applyFont="1" applyFill="1"/>
    <xf numFmtId="0" fontId="16" fillId="0" borderId="1" xfId="0" applyFont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4" fontId="16" fillId="0" borderId="1" xfId="0" applyNumberFormat="1" applyFont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7" fillId="2" borderId="0" xfId="0" applyFont="1" applyFill="1" applyAlignment="1">
      <alignment horizontal="center" wrapText="1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July 11,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52.269878832034998</c:v>
                </c:pt>
                <c:pt idx="1">
                  <c:v>3306.8002389559247</c:v>
                </c:pt>
                <c:pt idx="2">
                  <c:v>217.09711959670133</c:v>
                </c:pt>
                <c:pt idx="3">
                  <c:v>1936.1466696702039</c:v>
                </c:pt>
                <c:pt idx="4">
                  <c:v>360.49414577505428</c:v>
                </c:pt>
                <c:pt idx="5" formatCode="_-* #,##0.00_-;\-* #,##0.00_-;_-* &quot;-&quot;??_-;_-@_-">
                  <c:v>67.08446815660588</c:v>
                </c:pt>
                <c:pt idx="6">
                  <c:v>7.2839068880599998</c:v>
                </c:pt>
                <c:pt idx="7">
                  <c:v>61.847346140690554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July 18,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54.748473127348902</c:v>
                </c:pt>
                <c:pt idx="1">
                  <c:v>3358.1880605559186</c:v>
                </c:pt>
                <c:pt idx="2">
                  <c:v>217.4348858070386</c:v>
                </c:pt>
                <c:pt idx="3">
                  <c:v>1944.5231280365656</c:v>
                </c:pt>
                <c:pt idx="4">
                  <c:v>364.31083834493245</c:v>
                </c:pt>
                <c:pt idx="5" formatCode="_-* #,##0.00_-;\-* #,##0.00_-;_-* &quot;-&quot;??_-;_-@_-">
                  <c:v>70.484807160729034</c:v>
                </c:pt>
                <c:pt idx="6">
                  <c:v>7.4822681718400004</c:v>
                </c:pt>
                <c:pt idx="7">
                  <c:v>62.862819875793413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18TH JULY,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4175604054306885"/>
          <c:y val="1.653327529846503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18-Jul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25613431746621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7482268171.8400002</c:v>
                </c:pt>
                <c:pt idx="1">
                  <c:v>54748473127.3489</c:v>
                </c:pt>
                <c:pt idx="2" formatCode="_-* #,##0.00_-;\-* #,##0.00_-;_-* &quot;-&quot;??_-;_-@_-">
                  <c:v>62862819875.793411</c:v>
                </c:pt>
                <c:pt idx="3">
                  <c:v>70484807160.729034</c:v>
                </c:pt>
                <c:pt idx="4">
                  <c:v>364310838344.93243</c:v>
                </c:pt>
                <c:pt idx="5">
                  <c:v>217434885807.0386</c:v>
                </c:pt>
                <c:pt idx="6">
                  <c:v>1944523128036.5657</c:v>
                </c:pt>
                <c:pt idx="7">
                  <c:v>3358188060555.9185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45807</c:v>
                </c:pt>
                <c:pt idx="1">
                  <c:v>45813</c:v>
                </c:pt>
                <c:pt idx="2">
                  <c:v>45821</c:v>
                </c:pt>
                <c:pt idx="3">
                  <c:v>45828</c:v>
                </c:pt>
                <c:pt idx="4">
                  <c:v>45835</c:v>
                </c:pt>
                <c:pt idx="5">
                  <c:v>45842</c:v>
                </c:pt>
                <c:pt idx="6">
                  <c:v>45849</c:v>
                </c:pt>
                <c:pt idx="7">
                  <c:v>45856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5661.0011217265082</c:v>
                </c:pt>
                <c:pt idx="1">
                  <c:v>5706.8748281549615</c:v>
                </c:pt>
                <c:pt idx="2">
                  <c:v>5739.2216808320509</c:v>
                </c:pt>
                <c:pt idx="3">
                  <c:v>5778.470729655005</c:v>
                </c:pt>
                <c:pt idx="4">
                  <c:v>5812.2705854093538</c:v>
                </c:pt>
                <c:pt idx="5">
                  <c:v>5912.1449998326807</c:v>
                </c:pt>
                <c:pt idx="6">
                  <c:v>6009.0237740152752</c:v>
                </c:pt>
                <c:pt idx="7">
                  <c:v>6080.0352810801669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 sz="1600"/>
              <a:t>AGGREGATE </a:t>
            </a:r>
            <a:r>
              <a: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45807</c:v>
                </c:pt>
                <c:pt idx="1">
                  <c:v>45813</c:v>
                </c:pt>
                <c:pt idx="2">
                  <c:v>45821</c:v>
                </c:pt>
                <c:pt idx="3">
                  <c:v>45828</c:v>
                </c:pt>
                <c:pt idx="4">
                  <c:v>45835</c:v>
                </c:pt>
                <c:pt idx="5">
                  <c:v>45842</c:v>
                </c:pt>
                <c:pt idx="6">
                  <c:v>45849</c:v>
                </c:pt>
                <c:pt idx="7">
                  <c:v>45856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13.663574619923001</c:v>
                </c:pt>
                <c:pt idx="1">
                  <c:v>13.910462089520001</c:v>
                </c:pt>
                <c:pt idx="2">
                  <c:v>14.097996343838002</c:v>
                </c:pt>
                <c:pt idx="3">
                  <c:v>14.438197157056999</c:v>
                </c:pt>
                <c:pt idx="4">
                  <c:v>14.649626500489999</c:v>
                </c:pt>
                <c:pt idx="5">
                  <c:v>14.538175757549999</c:v>
                </c:pt>
                <c:pt idx="6">
                  <c:v>15.344019261460002</c:v>
                </c:pt>
                <c:pt idx="7">
                  <c:v>16.012018416058002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8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76" t="s">
        <v>320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25" ht="15" customHeight="1">
      <c r="A2" s="132"/>
      <c r="B2" s="21"/>
      <c r="C2" s="123"/>
      <c r="D2" s="177" t="s">
        <v>318</v>
      </c>
      <c r="E2" s="177"/>
      <c r="F2" s="177"/>
      <c r="G2" s="177"/>
      <c r="H2" s="177"/>
      <c r="I2" s="177"/>
      <c r="J2" s="177"/>
      <c r="K2" s="177" t="s">
        <v>321</v>
      </c>
      <c r="L2" s="177"/>
      <c r="M2" s="177"/>
      <c r="N2" s="177"/>
      <c r="O2" s="177"/>
      <c r="P2" s="177"/>
      <c r="Q2" s="177"/>
      <c r="R2" s="177" t="s">
        <v>0</v>
      </c>
      <c r="S2" s="177"/>
      <c r="T2" s="177"/>
      <c r="U2" s="177" t="s">
        <v>1</v>
      </c>
      <c r="V2" s="177"/>
    </row>
    <row r="3" spans="1:25" ht="20.399999999999999">
      <c r="A3" s="22" t="s">
        <v>2</v>
      </c>
      <c r="B3" s="23" t="s">
        <v>3</v>
      </c>
      <c r="C3" s="24" t="s">
        <v>4</v>
      </c>
      <c r="D3" s="25" t="s">
        <v>5</v>
      </c>
      <c r="E3" s="26" t="s">
        <v>6</v>
      </c>
      <c r="F3" s="26" t="s">
        <v>284</v>
      </c>
      <c r="G3" s="26" t="s">
        <v>8</v>
      </c>
      <c r="H3" s="26" t="s">
        <v>9</v>
      </c>
      <c r="I3" s="26" t="s">
        <v>10</v>
      </c>
      <c r="J3" s="26" t="s">
        <v>11</v>
      </c>
      <c r="K3" s="47" t="s">
        <v>5</v>
      </c>
      <c r="L3" s="26" t="s">
        <v>6</v>
      </c>
      <c r="M3" s="26" t="s">
        <v>7</v>
      </c>
      <c r="N3" s="26" t="s">
        <v>8</v>
      </c>
      <c r="O3" s="26" t="s">
        <v>9</v>
      </c>
      <c r="P3" s="26" t="s">
        <v>10</v>
      </c>
      <c r="Q3" s="26" t="s">
        <v>11</v>
      </c>
      <c r="R3" s="25" t="s">
        <v>12</v>
      </c>
      <c r="S3" s="26" t="s">
        <v>13</v>
      </c>
      <c r="T3" s="26" t="s">
        <v>14</v>
      </c>
      <c r="U3" s="26" t="s">
        <v>15</v>
      </c>
      <c r="V3" s="26" t="s">
        <v>16</v>
      </c>
    </row>
    <row r="4" spans="1:25" ht="5.25" customHeight="1">
      <c r="A4" s="133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</row>
    <row r="5" spans="1:25" ht="15" customHeight="1">
      <c r="A5" s="179" t="s">
        <v>17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</row>
    <row r="6" spans="1:25">
      <c r="A6" s="171">
        <v>1</v>
      </c>
      <c r="B6" s="168" t="s">
        <v>18</v>
      </c>
      <c r="C6" s="169" t="s">
        <v>19</v>
      </c>
      <c r="D6" s="27">
        <v>2003603543.48</v>
      </c>
      <c r="E6" s="28">
        <f t="shared" ref="E6:E22" si="0">(D6/$D$25)</f>
        <v>3.8331895696915946E-2</v>
      </c>
      <c r="F6" s="29">
        <v>489.1037</v>
      </c>
      <c r="G6" s="29">
        <v>493.67219999999998</v>
      </c>
      <c r="H6" s="30">
        <v>1689</v>
      </c>
      <c r="I6" s="48">
        <v>1.9599999999999999E-2</v>
      </c>
      <c r="J6" s="48">
        <v>0.23039999999999999</v>
      </c>
      <c r="K6" s="27">
        <v>2460999930.5500002</v>
      </c>
      <c r="L6" s="28">
        <f t="shared" ref="L6:L22" si="1">(K6/$K$25)</f>
        <v>4.4951024018981073E-2</v>
      </c>
      <c r="M6" s="29">
        <v>540.65350000000001</v>
      </c>
      <c r="N6" s="29">
        <v>545.35760000000005</v>
      </c>
      <c r="O6" s="30">
        <v>1690</v>
      </c>
      <c r="P6" s="48">
        <v>4.8899999999999999E-2</v>
      </c>
      <c r="Q6" s="48">
        <v>0.36009999999999998</v>
      </c>
      <c r="R6" s="54">
        <f>((K6-D6)/D6)</f>
        <v>0.22828687269915776</v>
      </c>
      <c r="S6" s="54">
        <f>((N6-G6)/G6)</f>
        <v>0.10469578801480026</v>
      </c>
      <c r="T6" s="54">
        <f>((O6-H6)/H6)</f>
        <v>5.9206631142687976E-4</v>
      </c>
      <c r="U6" s="55">
        <f>P6-I6</f>
        <v>2.93E-2</v>
      </c>
      <c r="V6" s="56">
        <f>Q6-J6</f>
        <v>0.12969999999999998</v>
      </c>
    </row>
    <row r="7" spans="1:25">
      <c r="A7" s="171">
        <v>2</v>
      </c>
      <c r="B7" s="168" t="s">
        <v>20</v>
      </c>
      <c r="C7" s="169" t="s">
        <v>21</v>
      </c>
      <c r="D7" s="31">
        <v>886337414.83000004</v>
      </c>
      <c r="E7" s="28">
        <f t="shared" si="0"/>
        <v>1.6956944126045773E-2</v>
      </c>
      <c r="F7" s="31">
        <v>356.52780000000001</v>
      </c>
      <c r="G7" s="31">
        <v>360.88819999999998</v>
      </c>
      <c r="H7" s="30">
        <v>518</v>
      </c>
      <c r="I7" s="48">
        <v>2.7654000000000001E-2</v>
      </c>
      <c r="J7" s="48">
        <v>0.38450000000000001</v>
      </c>
      <c r="K7" s="31">
        <v>930816931.67999995</v>
      </c>
      <c r="L7" s="28">
        <f t="shared" si="1"/>
        <v>1.7001696641198605E-2</v>
      </c>
      <c r="M7" s="31">
        <v>373.00060000000002</v>
      </c>
      <c r="N7" s="31">
        <v>377.5856</v>
      </c>
      <c r="O7" s="30">
        <v>523</v>
      </c>
      <c r="P7" s="48">
        <v>4.3670000000000002E-3</v>
      </c>
      <c r="Q7" s="48">
        <v>0.44850000000000001</v>
      </c>
      <c r="R7" s="54">
        <f t="shared" ref="R7:R25" si="2">((K7-D7)/D7)</f>
        <v>5.0183503602328573E-2</v>
      </c>
      <c r="S7" s="54">
        <f t="shared" ref="S7:S25" si="3">((N7-G7)/G7)</f>
        <v>4.6267514426905666E-2</v>
      </c>
      <c r="T7" s="54">
        <f t="shared" ref="T7:T25" si="4">((O7-H7)/H7)</f>
        <v>9.6525096525096523E-3</v>
      </c>
      <c r="U7" s="55">
        <f t="shared" ref="U7:U25" si="5">P7-I7</f>
        <v>-2.3287000000000002E-2</v>
      </c>
      <c r="V7" s="56">
        <f t="shared" ref="V7:V25" si="6">Q7-J7</f>
        <v>6.4000000000000001E-2</v>
      </c>
    </row>
    <row r="8" spans="1:25">
      <c r="A8" s="171">
        <v>3</v>
      </c>
      <c r="B8" s="168" t="s">
        <v>22</v>
      </c>
      <c r="C8" s="169" t="s">
        <v>23</v>
      </c>
      <c r="D8" s="31">
        <v>5022188288.2299995</v>
      </c>
      <c r="E8" s="28">
        <f t="shared" si="0"/>
        <v>9.6081881199082037E-2</v>
      </c>
      <c r="F8" s="31">
        <v>43.348300000000002</v>
      </c>
      <c r="G8" s="31">
        <v>44.655299999999997</v>
      </c>
      <c r="H8" s="32">
        <v>6797</v>
      </c>
      <c r="I8" s="49">
        <v>0.22725999999999999</v>
      </c>
      <c r="J8" s="49">
        <v>0.42320000000000002</v>
      </c>
      <c r="K8" s="31">
        <v>5224184084.1899996</v>
      </c>
      <c r="L8" s="28">
        <f t="shared" si="1"/>
        <v>9.5421548506716719E-2</v>
      </c>
      <c r="M8" s="31">
        <v>44.997799999999998</v>
      </c>
      <c r="N8" s="31">
        <v>46.354500000000002</v>
      </c>
      <c r="O8" s="32">
        <v>6797</v>
      </c>
      <c r="P8" s="49">
        <v>1.9841</v>
      </c>
      <c r="Q8" s="49">
        <v>0.49370000000000003</v>
      </c>
      <c r="R8" s="54">
        <f t="shared" si="2"/>
        <v>4.0220673612217483E-2</v>
      </c>
      <c r="S8" s="54">
        <f t="shared" si="3"/>
        <v>3.8051474293085141E-2</v>
      </c>
      <c r="T8" s="54">
        <f t="shared" si="4"/>
        <v>0</v>
      </c>
      <c r="U8" s="55">
        <f t="shared" si="5"/>
        <v>1.75684</v>
      </c>
      <c r="V8" s="56">
        <f t="shared" si="6"/>
        <v>7.0500000000000007E-2</v>
      </c>
      <c r="X8" s="57"/>
      <c r="Y8" s="57"/>
    </row>
    <row r="9" spans="1:25">
      <c r="A9" s="171">
        <v>4</v>
      </c>
      <c r="B9" s="168" t="s">
        <v>24</v>
      </c>
      <c r="C9" s="169" t="s">
        <v>25</v>
      </c>
      <c r="D9" s="31">
        <v>824210512.35000002</v>
      </c>
      <c r="E9" s="28">
        <f t="shared" si="0"/>
        <v>1.5768364701944947E-2</v>
      </c>
      <c r="F9" s="31">
        <v>270.08530000000002</v>
      </c>
      <c r="G9" s="31">
        <v>270.08530000000002</v>
      </c>
      <c r="H9" s="30">
        <v>1993</v>
      </c>
      <c r="I9" s="48">
        <v>6.9400000000000003E-2</v>
      </c>
      <c r="J9" s="48">
        <v>0.2334</v>
      </c>
      <c r="K9" s="31">
        <v>940580068.29999995</v>
      </c>
      <c r="L9" s="28">
        <f t="shared" si="1"/>
        <v>1.7180023744445674E-2</v>
      </c>
      <c r="M9" s="31">
        <v>283.3245</v>
      </c>
      <c r="N9" s="31">
        <v>283.3245</v>
      </c>
      <c r="O9" s="30">
        <v>2018</v>
      </c>
      <c r="P9" s="48">
        <v>4.9000000000000002E-2</v>
      </c>
      <c r="Q9" s="48">
        <v>0.29389999999999999</v>
      </c>
      <c r="R9" s="54">
        <f t="shared" si="2"/>
        <v>0.14118911880680277</v>
      </c>
      <c r="S9" s="54">
        <f t="shared" si="3"/>
        <v>4.9018587831325816E-2</v>
      </c>
      <c r="T9" s="54">
        <f t="shared" si="4"/>
        <v>1.2543903662819869E-2</v>
      </c>
      <c r="U9" s="55">
        <f t="shared" si="5"/>
        <v>-2.0400000000000001E-2</v>
      </c>
      <c r="V9" s="56">
        <f t="shared" si="6"/>
        <v>6.0499999999999998E-2</v>
      </c>
    </row>
    <row r="10" spans="1:25">
      <c r="A10" s="171">
        <v>5</v>
      </c>
      <c r="B10" s="168" t="s">
        <v>26</v>
      </c>
      <c r="C10" s="169" t="s">
        <v>27</v>
      </c>
      <c r="D10" s="31">
        <v>1287466913.5</v>
      </c>
      <c r="E10" s="28">
        <f t="shared" si="0"/>
        <v>2.4631144021534278E-2</v>
      </c>
      <c r="F10" s="31">
        <v>1.5407999999999999</v>
      </c>
      <c r="G10" s="31">
        <v>1.5572999999999999</v>
      </c>
      <c r="H10" s="30">
        <v>549</v>
      </c>
      <c r="I10" s="48">
        <v>3.3799999999999997E-2</v>
      </c>
      <c r="J10" s="48">
        <v>0.24260000000000001</v>
      </c>
      <c r="K10" s="31">
        <v>1324663470.5799999</v>
      </c>
      <c r="L10" s="28">
        <f t="shared" si="1"/>
        <v>2.4195441350459895E-2</v>
      </c>
      <c r="M10" s="31">
        <v>1.5790999999999999</v>
      </c>
      <c r="N10" s="31">
        <v>1.597</v>
      </c>
      <c r="O10" s="30">
        <v>565</v>
      </c>
      <c r="P10" s="48">
        <v>2.52E-2</v>
      </c>
      <c r="Q10" s="48">
        <v>0.27389999999999998</v>
      </c>
      <c r="R10" s="54">
        <f t="shared" si="2"/>
        <v>2.8891272226080334E-2</v>
      </c>
      <c r="S10" s="54">
        <f t="shared" si="3"/>
        <v>2.549284017209277E-2</v>
      </c>
      <c r="T10" s="54">
        <f t="shared" si="4"/>
        <v>2.9143897996357013E-2</v>
      </c>
      <c r="U10" s="55">
        <f t="shared" si="5"/>
        <v>-8.5999999999999965E-3</v>
      </c>
      <c r="V10" s="56">
        <f t="shared" si="6"/>
        <v>3.1299999999999967E-2</v>
      </c>
    </row>
    <row r="11" spans="1:25">
      <c r="A11" s="171">
        <v>6</v>
      </c>
      <c r="B11" s="168" t="s">
        <v>28</v>
      </c>
      <c r="C11" s="169" t="s">
        <v>29</v>
      </c>
      <c r="D11" s="33">
        <v>179288810.28</v>
      </c>
      <c r="E11" s="28">
        <f t="shared" si="0"/>
        <v>3.4300598028193258E-3</v>
      </c>
      <c r="F11" s="31">
        <v>186.8587</v>
      </c>
      <c r="G11" s="31">
        <v>188.16329999999999</v>
      </c>
      <c r="H11" s="32">
        <v>78</v>
      </c>
      <c r="I11" s="49">
        <v>7.5719999999999997E-3</v>
      </c>
      <c r="J11" s="49">
        <v>0.1802</v>
      </c>
      <c r="K11" s="33">
        <v>185019673.36000001</v>
      </c>
      <c r="L11" s="28">
        <f t="shared" si="1"/>
        <v>3.3794490109273169E-3</v>
      </c>
      <c r="M11" s="31">
        <v>192.8768</v>
      </c>
      <c r="N11" s="31">
        <v>194.2304</v>
      </c>
      <c r="O11" s="32">
        <v>78</v>
      </c>
      <c r="P11" s="49">
        <v>6.5909999999999996E-3</v>
      </c>
      <c r="Q11" s="49">
        <v>0.156</v>
      </c>
      <c r="R11" s="54">
        <f t="shared" si="2"/>
        <v>3.1964421377162218E-2</v>
      </c>
      <c r="S11" s="54">
        <f t="shared" si="3"/>
        <v>3.2243800996262346E-2</v>
      </c>
      <c r="T11" s="54">
        <f t="shared" si="4"/>
        <v>0</v>
      </c>
      <c r="U11" s="55">
        <f t="shared" si="5"/>
        <v>-9.810000000000001E-4</v>
      </c>
      <c r="V11" s="56">
        <f t="shared" si="6"/>
        <v>-2.4199999999999999E-2</v>
      </c>
    </row>
    <row r="12" spans="1:25">
      <c r="A12" s="171">
        <v>7</v>
      </c>
      <c r="B12" s="168" t="s">
        <v>30</v>
      </c>
      <c r="C12" s="169" t="s">
        <v>31</v>
      </c>
      <c r="D12" s="31">
        <v>1955813745.8399999</v>
      </c>
      <c r="E12" s="28">
        <f t="shared" si="0"/>
        <v>3.741760626851362E-2</v>
      </c>
      <c r="F12" s="31">
        <v>439.41</v>
      </c>
      <c r="G12" s="31">
        <v>444.95</v>
      </c>
      <c r="H12" s="32">
        <v>1691</v>
      </c>
      <c r="I12" s="49">
        <v>3.6799999999999999E-2</v>
      </c>
      <c r="J12" s="49">
        <v>0.35699999999999998</v>
      </c>
      <c r="K12" s="31">
        <v>2029188082.02</v>
      </c>
      <c r="L12" s="28">
        <f t="shared" si="1"/>
        <v>3.7063829657860266E-2</v>
      </c>
      <c r="M12" s="31">
        <v>451.07</v>
      </c>
      <c r="N12" s="31">
        <v>456.75</v>
      </c>
      <c r="O12" s="32">
        <v>1691</v>
      </c>
      <c r="P12" s="49">
        <v>2.6499999999999999E-2</v>
      </c>
      <c r="Q12" s="49">
        <v>0.35699999999999998</v>
      </c>
      <c r="R12" s="54">
        <f t="shared" si="2"/>
        <v>3.7516014158335213E-2</v>
      </c>
      <c r="S12" s="54">
        <f t="shared" si="3"/>
        <v>2.6519833689178585E-2</v>
      </c>
      <c r="T12" s="54">
        <f t="shared" si="4"/>
        <v>0</v>
      </c>
      <c r="U12" s="55">
        <f t="shared" si="5"/>
        <v>-1.03E-2</v>
      </c>
      <c r="V12" s="56">
        <f t="shared" si="6"/>
        <v>0</v>
      </c>
    </row>
    <row r="13" spans="1:25">
      <c r="A13" s="171">
        <v>8</v>
      </c>
      <c r="B13" s="168" t="s">
        <v>32</v>
      </c>
      <c r="C13" s="169" t="s">
        <v>33</v>
      </c>
      <c r="D13" s="27">
        <v>478406849.98000002</v>
      </c>
      <c r="E13" s="28">
        <f t="shared" si="0"/>
        <v>9.1526297873641815E-3</v>
      </c>
      <c r="F13" s="31">
        <v>238.41</v>
      </c>
      <c r="G13" s="31">
        <v>250</v>
      </c>
      <c r="H13" s="30">
        <v>2469</v>
      </c>
      <c r="I13" s="48">
        <v>5.1700000000000003E-2</v>
      </c>
      <c r="J13" s="48">
        <v>0.12570000000000001</v>
      </c>
      <c r="K13" s="27">
        <v>486581200.06</v>
      </c>
      <c r="L13" s="28">
        <f t="shared" si="1"/>
        <v>8.8875757124436509E-3</v>
      </c>
      <c r="M13" s="31">
        <v>242.47</v>
      </c>
      <c r="N13" s="31">
        <v>254.34</v>
      </c>
      <c r="O13" s="30">
        <v>2469</v>
      </c>
      <c r="P13" s="48">
        <v>1.7000000000000001E-2</v>
      </c>
      <c r="Q13" s="48">
        <v>0.1449</v>
      </c>
      <c r="R13" s="54">
        <f t="shared" si="2"/>
        <v>1.7086607518980373E-2</v>
      </c>
      <c r="S13" s="54">
        <f t="shared" si="3"/>
        <v>1.7360000000000014E-2</v>
      </c>
      <c r="T13" s="54">
        <f t="shared" si="4"/>
        <v>0</v>
      </c>
      <c r="U13" s="55">
        <f t="shared" si="5"/>
        <v>-3.4700000000000002E-2</v>
      </c>
      <c r="V13" s="56">
        <f t="shared" si="6"/>
        <v>1.9199999999999995E-2</v>
      </c>
    </row>
    <row r="14" spans="1:25">
      <c r="A14" s="171">
        <v>9</v>
      </c>
      <c r="B14" s="168" t="s">
        <v>34</v>
      </c>
      <c r="C14" s="169" t="s">
        <v>35</v>
      </c>
      <c r="D14" s="33">
        <v>82570294.704999998</v>
      </c>
      <c r="E14" s="28">
        <f t="shared" si="0"/>
        <v>1.5796917182519768E-3</v>
      </c>
      <c r="F14" s="31">
        <v>291.68</v>
      </c>
      <c r="G14" s="31">
        <v>301.08999999999997</v>
      </c>
      <c r="H14" s="30">
        <v>18</v>
      </c>
      <c r="I14" s="48">
        <v>4.8000000000000001E-2</v>
      </c>
      <c r="J14" s="48">
        <v>0.3206</v>
      </c>
      <c r="K14" s="33">
        <v>84702104.668899998</v>
      </c>
      <c r="L14" s="28">
        <f t="shared" si="1"/>
        <v>1.5471135509455541E-3</v>
      </c>
      <c r="M14" s="31">
        <v>304.52</v>
      </c>
      <c r="N14" s="31">
        <v>314.63</v>
      </c>
      <c r="O14" s="30">
        <v>18</v>
      </c>
      <c r="P14" s="48">
        <v>4.4499999999999998E-2</v>
      </c>
      <c r="Q14" s="48">
        <v>0.37940000000000002</v>
      </c>
      <c r="R14" s="54">
        <f t="shared" si="2"/>
        <v>2.5818122261962926E-2</v>
      </c>
      <c r="S14" s="54">
        <f t="shared" si="3"/>
        <v>4.4969942542097116E-2</v>
      </c>
      <c r="T14" s="54">
        <f t="shared" si="4"/>
        <v>0</v>
      </c>
      <c r="U14" s="55">
        <f t="shared" si="5"/>
        <v>-3.5000000000000031E-3</v>
      </c>
      <c r="V14" s="56">
        <f t="shared" si="6"/>
        <v>5.8800000000000019E-2</v>
      </c>
    </row>
    <row r="15" spans="1:25" ht="14.25" customHeight="1">
      <c r="A15" s="171">
        <v>10</v>
      </c>
      <c r="B15" s="168" t="s">
        <v>36</v>
      </c>
      <c r="C15" s="169" t="s">
        <v>37</v>
      </c>
      <c r="D15" s="27">
        <v>1265253563.5</v>
      </c>
      <c r="E15" s="28">
        <f t="shared" si="0"/>
        <v>2.4206169820400567E-2</v>
      </c>
      <c r="F15" s="31">
        <v>3.27169</v>
      </c>
      <c r="G15" s="31">
        <v>3.2984559999999998</v>
      </c>
      <c r="H15" s="30">
        <v>717</v>
      </c>
      <c r="I15" s="48">
        <v>8.0044119776567779E-3</v>
      </c>
      <c r="J15" s="48">
        <v>0.56189999999999996</v>
      </c>
      <c r="K15" s="27">
        <v>1372751430.0799999</v>
      </c>
      <c r="L15" s="28">
        <f t="shared" si="1"/>
        <v>2.5073784740752149E-2</v>
      </c>
      <c r="M15" s="31">
        <v>3.4236740000000001</v>
      </c>
      <c r="N15" s="31">
        <v>3.4465819999999998</v>
      </c>
      <c r="O15" s="30">
        <v>752</v>
      </c>
      <c r="P15" s="48">
        <v>4.65E-2</v>
      </c>
      <c r="Q15" s="48">
        <v>0.63449999999999995</v>
      </c>
      <c r="R15" s="54">
        <f t="shared" si="2"/>
        <v>8.4961520505529811E-2</v>
      </c>
      <c r="S15" s="54">
        <f t="shared" si="3"/>
        <v>4.4907678016623528E-2</v>
      </c>
      <c r="T15" s="54">
        <f t="shared" si="4"/>
        <v>4.8814504881450491E-2</v>
      </c>
      <c r="U15" s="55">
        <f t="shared" si="5"/>
        <v>3.8495588022343222E-2</v>
      </c>
      <c r="V15" s="56">
        <f t="shared" si="6"/>
        <v>7.2599999999999998E-2</v>
      </c>
    </row>
    <row r="16" spans="1:25" ht="14.25" customHeight="1">
      <c r="A16" s="171">
        <v>11</v>
      </c>
      <c r="B16" s="168" t="s">
        <v>38</v>
      </c>
      <c r="C16" s="169" t="s">
        <v>39</v>
      </c>
      <c r="D16" s="27">
        <v>45884602.479999997</v>
      </c>
      <c r="E16" s="28">
        <f t="shared" si="0"/>
        <v>8.7784023045942841E-4</v>
      </c>
      <c r="F16" s="31">
        <v>19.350000000000001</v>
      </c>
      <c r="G16" s="31">
        <v>19.98</v>
      </c>
      <c r="H16" s="30">
        <v>31</v>
      </c>
      <c r="I16" s="48">
        <v>1.32E-2</v>
      </c>
      <c r="J16" s="48">
        <v>0.93</v>
      </c>
      <c r="K16" s="27">
        <v>48525988.850000001</v>
      </c>
      <c r="L16" s="28">
        <f t="shared" si="1"/>
        <v>8.8634414949116571E-4</v>
      </c>
      <c r="M16" s="31">
        <v>20.32</v>
      </c>
      <c r="N16" s="31">
        <v>20.96</v>
      </c>
      <c r="O16" s="30">
        <v>31</v>
      </c>
      <c r="P16" s="48">
        <v>4.7399999999999998E-2</v>
      </c>
      <c r="Q16" s="48">
        <v>1.03</v>
      </c>
      <c r="R16" s="54">
        <f t="shared" ref="R16" si="7">((K16-D16)/D16)</f>
        <v>5.7565854932519513E-2</v>
      </c>
      <c r="S16" s="54">
        <f t="shared" ref="S16" si="8">((N16-G16)/G16)</f>
        <v>4.9049049049049068E-2</v>
      </c>
      <c r="T16" s="54">
        <f t="shared" ref="T16" si="9">((O16-H16)/H16)</f>
        <v>0</v>
      </c>
      <c r="U16" s="55">
        <f t="shared" ref="U16" si="10">P16-I16</f>
        <v>3.4199999999999994E-2</v>
      </c>
      <c r="V16" s="56">
        <f t="shared" ref="V16" si="11">Q16-J16</f>
        <v>9.9999999999999978E-2</v>
      </c>
    </row>
    <row r="17" spans="1:22">
      <c r="A17" s="171">
        <v>12</v>
      </c>
      <c r="B17" s="168" t="s">
        <v>40</v>
      </c>
      <c r="C17" s="169" t="s">
        <v>41</v>
      </c>
      <c r="D17" s="126">
        <v>2327259736.3400002</v>
      </c>
      <c r="E17" s="28">
        <f t="shared" si="0"/>
        <v>4.4523916801461505E-2</v>
      </c>
      <c r="F17" s="31">
        <v>4.74</v>
      </c>
      <c r="G17" s="31">
        <v>4.84</v>
      </c>
      <c r="H17" s="30">
        <v>3639</v>
      </c>
      <c r="I17" s="48">
        <v>4.7500000000000001E-2</v>
      </c>
      <c r="J17" s="48">
        <v>0.3029</v>
      </c>
      <c r="K17" s="126">
        <v>2449162257.73</v>
      </c>
      <c r="L17" s="28">
        <f t="shared" si="1"/>
        <v>4.4734804786848978E-2</v>
      </c>
      <c r="M17" s="31">
        <v>4.99</v>
      </c>
      <c r="N17" s="31">
        <v>5.0999999999999996</v>
      </c>
      <c r="O17" s="30">
        <v>3639</v>
      </c>
      <c r="P17" s="48">
        <v>4.1200000000000001E-2</v>
      </c>
      <c r="Q17" s="48">
        <v>0.37109999999999999</v>
      </c>
      <c r="R17" s="54">
        <f t="shared" si="2"/>
        <v>5.2380282048668833E-2</v>
      </c>
      <c r="S17" s="54">
        <f t="shared" si="3"/>
        <v>5.371900826446277E-2</v>
      </c>
      <c r="T17" s="54">
        <f t="shared" si="4"/>
        <v>0</v>
      </c>
      <c r="U17" s="55">
        <f t="shared" si="5"/>
        <v>-6.3E-3</v>
      </c>
      <c r="V17" s="56">
        <f t="shared" si="6"/>
        <v>6.8199999999999983E-2</v>
      </c>
    </row>
    <row r="18" spans="1:22">
      <c r="A18" s="171">
        <v>13</v>
      </c>
      <c r="B18" s="168" t="s">
        <v>42</v>
      </c>
      <c r="C18" s="169" t="s">
        <v>43</v>
      </c>
      <c r="D18" s="31">
        <v>1247002675.1299999</v>
      </c>
      <c r="E18" s="28">
        <f t="shared" si="0"/>
        <v>2.3857003363966876E-2</v>
      </c>
      <c r="F18" s="31">
        <v>30.367296</v>
      </c>
      <c r="G18" s="31">
        <v>30.524872999999999</v>
      </c>
      <c r="H18" s="30">
        <v>523</v>
      </c>
      <c r="I18" s="48">
        <v>5.79E-2</v>
      </c>
      <c r="J18" s="48">
        <v>0.2954</v>
      </c>
      <c r="K18" s="31">
        <v>1288704754.3599999</v>
      </c>
      <c r="L18" s="28">
        <f t="shared" si="1"/>
        <v>2.3538642828675415E-2</v>
      </c>
      <c r="M18" s="31">
        <v>31.221512000000001</v>
      </c>
      <c r="N18" s="31">
        <v>31.388839000000001</v>
      </c>
      <c r="O18" s="30">
        <v>534</v>
      </c>
      <c r="P18" s="48">
        <v>5.79E-2</v>
      </c>
      <c r="Q18" s="48">
        <v>0.33050000000000002</v>
      </c>
      <c r="R18" s="54">
        <f t="shared" si="2"/>
        <v>3.3441852260383147E-2</v>
      </c>
      <c r="S18" s="54">
        <f t="shared" si="3"/>
        <v>2.8303672221666618E-2</v>
      </c>
      <c r="T18" s="54">
        <f t="shared" si="4"/>
        <v>2.1032504780114723E-2</v>
      </c>
      <c r="U18" s="55">
        <f t="shared" si="5"/>
        <v>0</v>
      </c>
      <c r="V18" s="56">
        <f t="shared" si="6"/>
        <v>3.510000000000002E-2</v>
      </c>
    </row>
    <row r="19" spans="1:22">
      <c r="A19" s="171">
        <v>14</v>
      </c>
      <c r="B19" s="168" t="s">
        <v>44</v>
      </c>
      <c r="C19" s="169" t="s">
        <v>45</v>
      </c>
      <c r="D19" s="31">
        <v>157101633.96000001</v>
      </c>
      <c r="E19" s="28">
        <f t="shared" si="0"/>
        <v>3.0055863428502163E-3</v>
      </c>
      <c r="F19" s="31">
        <v>1.70943</v>
      </c>
      <c r="G19" s="31">
        <v>1.776816</v>
      </c>
      <c r="H19" s="30">
        <v>22</v>
      </c>
      <c r="I19" s="48">
        <v>0.1464</v>
      </c>
      <c r="J19" s="48">
        <v>0.2271</v>
      </c>
      <c r="K19" s="31">
        <v>168092101.21000001</v>
      </c>
      <c r="L19" s="28">
        <f t="shared" si="1"/>
        <v>3.0702609882654747E-3</v>
      </c>
      <c r="M19" s="31">
        <v>1.829018</v>
      </c>
      <c r="N19" s="31">
        <v>1.8971359999999999</v>
      </c>
      <c r="O19" s="30">
        <v>22</v>
      </c>
      <c r="P19" s="48">
        <v>7.3499999999999996E-2</v>
      </c>
      <c r="Q19" s="48">
        <v>0.3115</v>
      </c>
      <c r="R19" s="54">
        <f t="shared" si="2"/>
        <v>6.9957689000219481E-2</v>
      </c>
      <c r="S19" s="54">
        <f t="shared" si="3"/>
        <v>6.7716634699372349E-2</v>
      </c>
      <c r="T19" s="54">
        <f t="shared" si="4"/>
        <v>0</v>
      </c>
      <c r="U19" s="55">
        <f t="shared" si="5"/>
        <v>-7.2900000000000006E-2</v>
      </c>
      <c r="V19" s="56">
        <f t="shared" si="6"/>
        <v>8.4400000000000003E-2</v>
      </c>
    </row>
    <row r="20" spans="1:22">
      <c r="A20" s="171">
        <v>15</v>
      </c>
      <c r="B20" s="168" t="s">
        <v>46</v>
      </c>
      <c r="C20" s="169" t="s">
        <v>47</v>
      </c>
      <c r="D20" s="27">
        <v>4908076886.6099997</v>
      </c>
      <c r="E20" s="28">
        <f t="shared" si="0"/>
        <v>9.3898761510079365E-2</v>
      </c>
      <c r="F20" s="31">
        <v>46.11</v>
      </c>
      <c r="G20" s="31">
        <v>43.9</v>
      </c>
      <c r="H20" s="30">
        <v>8944</v>
      </c>
      <c r="I20" s="48">
        <v>6.1199999999999997E-2</v>
      </c>
      <c r="J20" s="48">
        <v>0.5141</v>
      </c>
      <c r="K20" s="27">
        <v>5143901992.7700005</v>
      </c>
      <c r="L20" s="28">
        <f t="shared" si="1"/>
        <v>9.3955168042858708E-2</v>
      </c>
      <c r="M20" s="31">
        <v>47.46</v>
      </c>
      <c r="N20" s="31">
        <v>47.92</v>
      </c>
      <c r="O20" s="30">
        <v>8944</v>
      </c>
      <c r="P20" s="48">
        <v>4.4400000000000002E-2</v>
      </c>
      <c r="Q20" s="48">
        <v>0.5585</v>
      </c>
      <c r="R20" s="54">
        <f t="shared" si="2"/>
        <v>4.8048372429406828E-2</v>
      </c>
      <c r="S20" s="54">
        <f t="shared" si="3"/>
        <v>9.1571753986332646E-2</v>
      </c>
      <c r="T20" s="54">
        <f t="shared" si="4"/>
        <v>0</v>
      </c>
      <c r="U20" s="55">
        <f t="shared" si="5"/>
        <v>-1.6799999999999995E-2</v>
      </c>
      <c r="V20" s="56">
        <f t="shared" si="6"/>
        <v>4.4399999999999995E-2</v>
      </c>
    </row>
    <row r="21" spans="1:22" ht="12.75" customHeight="1">
      <c r="A21" s="171">
        <v>16</v>
      </c>
      <c r="B21" s="168" t="s">
        <v>48</v>
      </c>
      <c r="C21" s="169" t="s">
        <v>49</v>
      </c>
      <c r="D21" s="31">
        <v>1399627499.3299999</v>
      </c>
      <c r="E21" s="28">
        <f t="shared" si="0"/>
        <v>2.6776941722547111E-2</v>
      </c>
      <c r="F21" s="31">
        <v>11035.39</v>
      </c>
      <c r="G21" s="31">
        <v>11154.66</v>
      </c>
      <c r="H21" s="30">
        <v>24</v>
      </c>
      <c r="I21" s="48">
        <v>3.7900000000000003E-2</v>
      </c>
      <c r="J21" s="48">
        <v>0.37530000000000002</v>
      </c>
      <c r="K21" s="31">
        <v>1437662606.23</v>
      </c>
      <c r="L21" s="28">
        <f t="shared" si="1"/>
        <v>2.6259410064019374E-2</v>
      </c>
      <c r="M21" s="31">
        <v>11325.9</v>
      </c>
      <c r="N21" s="31">
        <v>11464.22</v>
      </c>
      <c r="O21" s="30">
        <v>24</v>
      </c>
      <c r="P21" s="48">
        <v>2.7799999999999998E-2</v>
      </c>
      <c r="Q21" s="48">
        <v>0.41339999999999999</v>
      </c>
      <c r="R21" s="54">
        <f t="shared" si="2"/>
        <v>2.7175164047725169E-2</v>
      </c>
      <c r="S21" s="54">
        <f t="shared" si="3"/>
        <v>2.7751630260357509E-2</v>
      </c>
      <c r="T21" s="54">
        <f t="shared" si="4"/>
        <v>0</v>
      </c>
      <c r="U21" s="55">
        <f t="shared" si="5"/>
        <v>-1.0100000000000005E-2</v>
      </c>
      <c r="V21" s="56">
        <f t="shared" si="6"/>
        <v>3.8099999999999967E-2</v>
      </c>
    </row>
    <row r="22" spans="1:22">
      <c r="A22" s="171">
        <v>17</v>
      </c>
      <c r="B22" s="168" t="s">
        <v>50</v>
      </c>
      <c r="C22" s="169" t="s">
        <v>49</v>
      </c>
      <c r="D22" s="31">
        <v>18195078444.759998</v>
      </c>
      <c r="E22" s="28">
        <f t="shared" si="0"/>
        <v>0.34809873011621861</v>
      </c>
      <c r="F22" s="31">
        <v>35017.519999999997</v>
      </c>
      <c r="G22" s="31">
        <v>35500</v>
      </c>
      <c r="H22" s="30">
        <v>17992</v>
      </c>
      <c r="I22" s="48">
        <v>3.78E-2</v>
      </c>
      <c r="J22" s="48">
        <v>0.38119999999999998</v>
      </c>
      <c r="K22" s="31">
        <v>18902871179.09</v>
      </c>
      <c r="L22" s="28">
        <f t="shared" si="1"/>
        <v>0.34526754993003289</v>
      </c>
      <c r="M22" s="31">
        <v>36111.5</v>
      </c>
      <c r="N22" s="31">
        <v>36613.599999999999</v>
      </c>
      <c r="O22" s="30">
        <v>18035</v>
      </c>
      <c r="P22" s="48">
        <v>3.1399999999999997E-2</v>
      </c>
      <c r="Q22" s="48">
        <v>0.42459999999999998</v>
      </c>
      <c r="R22" s="54">
        <f t="shared" si="2"/>
        <v>3.8900229887925498E-2</v>
      </c>
      <c r="S22" s="54">
        <f t="shared" si="3"/>
        <v>3.1369014084506999E-2</v>
      </c>
      <c r="T22" s="54">
        <f t="shared" si="4"/>
        <v>2.3899510893730545E-3</v>
      </c>
      <c r="U22" s="55">
        <f t="shared" si="5"/>
        <v>-6.4000000000000029E-3</v>
      </c>
      <c r="V22" s="56">
        <f t="shared" si="6"/>
        <v>4.3399999999999994E-2</v>
      </c>
    </row>
    <row r="23" spans="1:22">
      <c r="A23" s="171">
        <v>18</v>
      </c>
      <c r="B23" s="169" t="s">
        <v>51</v>
      </c>
      <c r="C23" s="169" t="s">
        <v>52</v>
      </c>
      <c r="D23" s="31">
        <v>5288347894.1099997</v>
      </c>
      <c r="E23" s="28">
        <f t="shared" ref="E23" si="12">(D23/$D$25)</f>
        <v>0.10117390765537597</v>
      </c>
      <c r="F23" s="31">
        <v>1.6979</v>
      </c>
      <c r="G23" s="29">
        <v>1.7148000000000001</v>
      </c>
      <c r="H23" s="30">
        <v>5229</v>
      </c>
      <c r="I23" s="48">
        <v>3.2899999999999999E-2</v>
      </c>
      <c r="J23" s="48">
        <v>0.32350000000000001</v>
      </c>
      <c r="K23" s="31">
        <v>5288347894.1099997</v>
      </c>
      <c r="L23" s="28">
        <f t="shared" ref="L23" si="13">(K23/$K$25)</f>
        <v>9.6593522924537475E-2</v>
      </c>
      <c r="M23" s="31">
        <v>1.6979</v>
      </c>
      <c r="N23" s="29">
        <v>1.7148000000000001</v>
      </c>
      <c r="O23" s="30">
        <v>5229</v>
      </c>
      <c r="P23" s="48">
        <v>3.2899999999999999E-2</v>
      </c>
      <c r="Q23" s="48">
        <v>0.32350000000000001</v>
      </c>
      <c r="R23" s="54">
        <f t="shared" ref="R23" si="14">((K23-D23)/D23)</f>
        <v>0</v>
      </c>
      <c r="S23" s="54">
        <f t="shared" ref="S23" si="15">((N23-G23)/G23)</f>
        <v>0</v>
      </c>
      <c r="T23" s="54">
        <f t="shared" ref="T23" si="16">((O23-H23)/H23)</f>
        <v>0</v>
      </c>
      <c r="U23" s="55">
        <f t="shared" ref="U23" si="17">P23-I23</f>
        <v>0</v>
      </c>
      <c r="V23" s="56">
        <f t="shared" ref="V23" si="18">Q23-J23</f>
        <v>0</v>
      </c>
    </row>
    <row r="24" spans="1:22">
      <c r="A24" s="171">
        <v>19</v>
      </c>
      <c r="B24" s="169" t="s">
        <v>292</v>
      </c>
      <c r="C24" s="169" t="s">
        <v>293</v>
      </c>
      <c r="D24" s="31">
        <v>4716359522.6199999</v>
      </c>
      <c r="E24" s="28">
        <f>(D24/$D$25)</f>
        <v>9.0230925114168289E-2</v>
      </c>
      <c r="F24" s="31">
        <v>191.07</v>
      </c>
      <c r="G24" s="29">
        <v>194.28</v>
      </c>
      <c r="H24" s="30">
        <v>43</v>
      </c>
      <c r="I24" s="48">
        <v>8.5199999999999998E-2</v>
      </c>
      <c r="J24" s="48">
        <v>0.56989999999999996</v>
      </c>
      <c r="K24" s="31">
        <v>4981717377.5100002</v>
      </c>
      <c r="L24" s="28">
        <f>(K24/$K$25)</f>
        <v>9.0992809350539619E-2</v>
      </c>
      <c r="M24" s="31">
        <v>199.66</v>
      </c>
      <c r="N24" s="29">
        <v>203.16</v>
      </c>
      <c r="O24" s="30">
        <v>45</v>
      </c>
      <c r="P24" s="48">
        <v>4.5400000000000003E-2</v>
      </c>
      <c r="Q24" s="48">
        <v>0.6411</v>
      </c>
      <c r="R24" s="54">
        <f t="shared" si="2"/>
        <v>5.6263279679448726E-2</v>
      </c>
      <c r="S24" s="54">
        <f t="shared" si="3"/>
        <v>4.5707226683137717E-2</v>
      </c>
      <c r="T24" s="54">
        <f t="shared" si="4"/>
        <v>4.6511627906976744E-2</v>
      </c>
      <c r="U24" s="55">
        <f t="shared" si="5"/>
        <v>-3.9799999999999995E-2</v>
      </c>
      <c r="V24" s="56">
        <f t="shared" si="6"/>
        <v>7.1200000000000041E-2</v>
      </c>
    </row>
    <row r="25" spans="1:22">
      <c r="A25" s="34"/>
      <c r="B25" s="35"/>
      <c r="C25" s="36" t="s">
        <v>53</v>
      </c>
      <c r="D25" s="37">
        <f>SUM(D6:D24)</f>
        <v>52269878832.034996</v>
      </c>
      <c r="E25" s="38">
        <f>(D25/$D$222)</f>
        <v>8.6985641591342654E-3</v>
      </c>
      <c r="F25" s="39"/>
      <c r="G25" s="40"/>
      <c r="H25" s="41">
        <f>SUM(H6:H24)</f>
        <v>52966</v>
      </c>
      <c r="I25" s="50"/>
      <c r="J25" s="30">
        <v>0</v>
      </c>
      <c r="K25" s="37">
        <f>SUM(K6:K24)</f>
        <v>54748473127.3489</v>
      </c>
      <c r="L25" s="38">
        <f>(K25/$K$222)</f>
        <v>9.0046308280011152E-3</v>
      </c>
      <c r="M25" s="39"/>
      <c r="N25" s="40"/>
      <c r="O25" s="41">
        <f>SUM(O6:O24)</f>
        <v>53104</v>
      </c>
      <c r="P25" s="50"/>
      <c r="Q25" s="41"/>
      <c r="R25" s="54">
        <f t="shared" si="2"/>
        <v>4.7419170480166313E-2</v>
      </c>
      <c r="S25" s="54" t="e">
        <f t="shared" si="3"/>
        <v>#DIV/0!</v>
      </c>
      <c r="T25" s="54">
        <f t="shared" si="4"/>
        <v>2.6054450024544048E-3</v>
      </c>
      <c r="U25" s="55">
        <f t="shared" si="5"/>
        <v>0</v>
      </c>
      <c r="V25" s="56">
        <f t="shared" si="6"/>
        <v>0</v>
      </c>
    </row>
    <row r="26" spans="1:22" ht="4.5" customHeight="1">
      <c r="A26" s="34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</row>
    <row r="27" spans="1:22" ht="15" customHeight="1">
      <c r="A27" s="179" t="s">
        <v>54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</row>
    <row r="28" spans="1:22">
      <c r="A28" s="167">
        <v>20</v>
      </c>
      <c r="B28" s="168" t="s">
        <v>55</v>
      </c>
      <c r="C28" s="169" t="s">
        <v>19</v>
      </c>
      <c r="D28" s="42">
        <v>3666649765.3600001</v>
      </c>
      <c r="E28" s="28">
        <f t="shared" ref="E28:E33" si="19">(D28/$K$69)</f>
        <v>1.091853612496323E-3</v>
      </c>
      <c r="F28" s="29">
        <v>100</v>
      </c>
      <c r="G28" s="29">
        <v>100</v>
      </c>
      <c r="H28" s="30">
        <v>851</v>
      </c>
      <c r="I28" s="48">
        <v>0.18540000000000001</v>
      </c>
      <c r="J28" s="48">
        <v>0.18540000000000001</v>
      </c>
      <c r="K28" s="42">
        <v>3831845776.54</v>
      </c>
      <c r="L28" s="28">
        <f t="shared" ref="L28:L33" si="20">(K28/$K$69)</f>
        <v>1.1410456196743405E-3</v>
      </c>
      <c r="M28" s="29">
        <v>100</v>
      </c>
      <c r="N28" s="29">
        <v>100</v>
      </c>
      <c r="O28" s="30">
        <v>861</v>
      </c>
      <c r="P28" s="48">
        <v>0.17910000000000001</v>
      </c>
      <c r="Q28" s="48">
        <v>0.17910000000000001</v>
      </c>
      <c r="R28" s="54">
        <f>((K28-D28)/D28)</f>
        <v>4.5053665267039897E-2</v>
      </c>
      <c r="S28" s="54">
        <f>((N28-G28)/G28)</f>
        <v>0</v>
      </c>
      <c r="T28" s="54">
        <f>((O28-H28)/H28)</f>
        <v>1.1750881316098707E-2</v>
      </c>
      <c r="U28" s="55">
        <f>P28-I28</f>
        <v>-6.3E-3</v>
      </c>
      <c r="V28" s="56">
        <f>Q28-J28</f>
        <v>-6.3E-3</v>
      </c>
    </row>
    <row r="29" spans="1:22">
      <c r="A29" s="167">
        <v>21</v>
      </c>
      <c r="B29" s="168" t="s">
        <v>56</v>
      </c>
      <c r="C29" s="169" t="s">
        <v>57</v>
      </c>
      <c r="D29" s="42">
        <v>22112202047.959999</v>
      </c>
      <c r="E29" s="28">
        <f t="shared" si="19"/>
        <v>6.5845633565558915E-3</v>
      </c>
      <c r="F29" s="29">
        <v>100</v>
      </c>
      <c r="G29" s="29">
        <v>100</v>
      </c>
      <c r="H29" s="30">
        <v>3025</v>
      </c>
      <c r="I29" s="48">
        <v>0.20394100000000001</v>
      </c>
      <c r="J29" s="48">
        <v>0.20394100000000001</v>
      </c>
      <c r="K29" s="42">
        <v>22659159873.709999</v>
      </c>
      <c r="L29" s="28">
        <f t="shared" si="20"/>
        <v>6.7474362558358255E-3</v>
      </c>
      <c r="M29" s="29">
        <v>100</v>
      </c>
      <c r="N29" s="29">
        <v>100</v>
      </c>
      <c r="O29" s="30">
        <v>3057</v>
      </c>
      <c r="P29" s="48">
        <v>0.203148</v>
      </c>
      <c r="Q29" s="48">
        <v>0.203148</v>
      </c>
      <c r="R29" s="54">
        <f t="shared" ref="R29:R69" si="21">((K29-D29)/D29)</f>
        <v>2.4735565664771076E-2</v>
      </c>
      <c r="S29" s="54">
        <f t="shared" ref="S29:S69" si="22">((N29-G29)/G29)</f>
        <v>0</v>
      </c>
      <c r="T29" s="54">
        <f t="shared" ref="T29:T69" si="23">((O29-H29)/H29)</f>
        <v>1.0578512396694216E-2</v>
      </c>
      <c r="U29" s="55">
        <f t="shared" ref="U29:U69" si="24">P29-I29</f>
        <v>-7.9300000000001591E-4</v>
      </c>
      <c r="V29" s="56">
        <f t="shared" ref="V29:V69" si="25">Q29-J29</f>
        <v>-7.9300000000001591E-4</v>
      </c>
    </row>
    <row r="30" spans="1:22">
      <c r="A30" s="167">
        <v>22</v>
      </c>
      <c r="B30" s="168" t="s">
        <v>58</v>
      </c>
      <c r="C30" s="169" t="s">
        <v>21</v>
      </c>
      <c r="D30" s="42">
        <v>2227203910.75</v>
      </c>
      <c r="E30" s="28">
        <f t="shared" si="19"/>
        <v>6.6321595770943995E-4</v>
      </c>
      <c r="F30" s="29">
        <v>100</v>
      </c>
      <c r="G30" s="29">
        <v>100</v>
      </c>
      <c r="H30" s="30">
        <v>2062</v>
      </c>
      <c r="I30" s="48">
        <v>0.19789999999999999</v>
      </c>
      <c r="J30" s="48">
        <v>0.19789999999999999</v>
      </c>
      <c r="K30" s="42">
        <v>2302304264.7399998</v>
      </c>
      <c r="L30" s="28">
        <f t="shared" si="20"/>
        <v>6.8557931337498521E-4</v>
      </c>
      <c r="M30" s="29">
        <v>100</v>
      </c>
      <c r="N30" s="29">
        <v>100</v>
      </c>
      <c r="O30" s="30">
        <v>2068</v>
      </c>
      <c r="P30" s="48">
        <v>0.19650000000000001</v>
      </c>
      <c r="Q30" s="48">
        <v>0.19650000000000001</v>
      </c>
      <c r="R30" s="54">
        <f t="shared" si="21"/>
        <v>3.3719568121946271E-2</v>
      </c>
      <c r="S30" s="54">
        <f t="shared" si="22"/>
        <v>0</v>
      </c>
      <c r="T30" s="54">
        <f t="shared" si="23"/>
        <v>2.9097963142580021E-3</v>
      </c>
      <c r="U30" s="55">
        <f t="shared" si="24"/>
        <v>-1.3999999999999846E-3</v>
      </c>
      <c r="V30" s="56">
        <f t="shared" si="25"/>
        <v>-1.3999999999999846E-3</v>
      </c>
    </row>
    <row r="31" spans="1:22">
      <c r="A31" s="167">
        <v>23</v>
      </c>
      <c r="B31" s="168" t="s">
        <v>59</v>
      </c>
      <c r="C31" s="169" t="s">
        <v>23</v>
      </c>
      <c r="D31" s="42">
        <v>234691061325.10999</v>
      </c>
      <c r="E31" s="28">
        <f t="shared" si="19"/>
        <v>6.9886217535494108E-2</v>
      </c>
      <c r="F31" s="29">
        <v>1</v>
      </c>
      <c r="G31" s="29">
        <v>1</v>
      </c>
      <c r="H31" s="30">
        <v>72295</v>
      </c>
      <c r="I31" s="48">
        <v>0.2127</v>
      </c>
      <c r="J31" s="48">
        <v>0.2127</v>
      </c>
      <c r="K31" s="42">
        <v>237210431643.41</v>
      </c>
      <c r="L31" s="28">
        <f t="shared" si="20"/>
        <v>7.0636434698103809E-2</v>
      </c>
      <c r="M31" s="29">
        <v>1</v>
      </c>
      <c r="N31" s="29">
        <v>1</v>
      </c>
      <c r="O31" s="30">
        <v>72492</v>
      </c>
      <c r="P31" s="48">
        <v>0.21049999999999999</v>
      </c>
      <c r="Q31" s="48">
        <v>0.21049999999999999</v>
      </c>
      <c r="R31" s="54">
        <f t="shared" si="21"/>
        <v>1.0734837126199773E-2</v>
      </c>
      <c r="S31" s="54">
        <f t="shared" si="22"/>
        <v>0</v>
      </c>
      <c r="T31" s="54">
        <f t="shared" si="23"/>
        <v>2.7249464001659865E-3</v>
      </c>
      <c r="U31" s="55">
        <f t="shared" si="24"/>
        <v>-2.2000000000000075E-3</v>
      </c>
      <c r="V31" s="56">
        <f t="shared" si="25"/>
        <v>-2.2000000000000075E-3</v>
      </c>
    </row>
    <row r="32" spans="1:22">
      <c r="A32" s="167">
        <v>24</v>
      </c>
      <c r="B32" s="168" t="s">
        <v>301</v>
      </c>
      <c r="C32" s="169" t="s">
        <v>115</v>
      </c>
      <c r="D32" s="42">
        <v>970633156</v>
      </c>
      <c r="E32" s="28">
        <f t="shared" si="19"/>
        <v>2.8903478259621952E-4</v>
      </c>
      <c r="F32" s="29">
        <v>1</v>
      </c>
      <c r="G32" s="29">
        <v>1</v>
      </c>
      <c r="H32" s="30">
        <v>290</v>
      </c>
      <c r="I32" s="48">
        <v>0.20300000000000001</v>
      </c>
      <c r="J32" s="48">
        <v>0.20300000000000001</v>
      </c>
      <c r="K32" s="42">
        <v>1016241861.04</v>
      </c>
      <c r="L32" s="28">
        <f t="shared" si="20"/>
        <v>3.0261612593303366E-4</v>
      </c>
      <c r="M32" s="29">
        <v>1</v>
      </c>
      <c r="N32" s="29">
        <v>1</v>
      </c>
      <c r="O32" s="30">
        <v>290</v>
      </c>
      <c r="P32" s="48">
        <v>0.1948</v>
      </c>
      <c r="Q32" s="48">
        <v>0.1948</v>
      </c>
      <c r="R32" s="54">
        <f t="shared" si="21"/>
        <v>4.698861228680299E-2</v>
      </c>
      <c r="S32" s="54">
        <f t="shared" si="22"/>
        <v>0</v>
      </c>
      <c r="T32" s="54">
        <f t="shared" si="23"/>
        <v>0</v>
      </c>
      <c r="U32" s="55">
        <f t="shared" si="24"/>
        <v>-8.2000000000000128E-3</v>
      </c>
      <c r="V32" s="56">
        <f t="shared" si="25"/>
        <v>-8.2000000000000128E-3</v>
      </c>
    </row>
    <row r="33" spans="1:22">
      <c r="A33" s="167">
        <v>25</v>
      </c>
      <c r="B33" s="168" t="s">
        <v>60</v>
      </c>
      <c r="C33" s="169" t="s">
        <v>25</v>
      </c>
      <c r="D33" s="42">
        <v>134245100703.24001</v>
      </c>
      <c r="E33" s="28">
        <f t="shared" si="19"/>
        <v>3.9975456490967606E-2</v>
      </c>
      <c r="F33" s="29">
        <v>1</v>
      </c>
      <c r="G33" s="29">
        <v>1</v>
      </c>
      <c r="H33" s="30">
        <v>34579</v>
      </c>
      <c r="I33" s="48">
        <v>0.1946</v>
      </c>
      <c r="J33" s="48">
        <v>0.1946</v>
      </c>
      <c r="K33" s="42">
        <v>132604916943.09</v>
      </c>
      <c r="L33" s="28">
        <f t="shared" si="20"/>
        <v>3.9487043176831028E-2</v>
      </c>
      <c r="M33" s="29">
        <v>1</v>
      </c>
      <c r="N33" s="29">
        <v>1</v>
      </c>
      <c r="O33" s="30">
        <v>34694</v>
      </c>
      <c r="P33" s="48">
        <v>0.19769999999999999</v>
      </c>
      <c r="Q33" s="48">
        <v>0.19769999999999999</v>
      </c>
      <c r="R33" s="54">
        <f t="shared" si="21"/>
        <v>-1.2217829563670797E-2</v>
      </c>
      <c r="S33" s="54">
        <f t="shared" si="22"/>
        <v>0</v>
      </c>
      <c r="T33" s="54">
        <f t="shared" si="23"/>
        <v>3.3257179212817026E-3</v>
      </c>
      <c r="U33" s="55">
        <f t="shared" si="24"/>
        <v>3.0999999999999917E-3</v>
      </c>
      <c r="V33" s="56">
        <f t="shared" si="25"/>
        <v>3.0999999999999917E-3</v>
      </c>
    </row>
    <row r="34" spans="1:22">
      <c r="A34" s="167">
        <v>26</v>
      </c>
      <c r="B34" s="168" t="s">
        <v>286</v>
      </c>
      <c r="C34" s="169" t="s">
        <v>27</v>
      </c>
      <c r="D34" s="31">
        <v>7630834884.3599997</v>
      </c>
      <c r="E34" s="28">
        <f t="shared" ref="E34" si="26">(D34/$D$25)</f>
        <v>0.14598914431925636</v>
      </c>
      <c r="F34" s="31">
        <v>1</v>
      </c>
      <c r="G34" s="31">
        <v>1</v>
      </c>
      <c r="H34" s="30">
        <v>1010</v>
      </c>
      <c r="I34" s="48">
        <v>0.2162</v>
      </c>
      <c r="J34" s="48">
        <v>0.2162</v>
      </c>
      <c r="K34" s="31">
        <v>8026147523.3599997</v>
      </c>
      <c r="L34" s="28">
        <f t="shared" ref="L34" si="27">(K34/$K$25)</f>
        <v>0.14660039020066554</v>
      </c>
      <c r="M34" s="31">
        <v>1</v>
      </c>
      <c r="N34" s="31">
        <v>1</v>
      </c>
      <c r="O34" s="30">
        <v>1013</v>
      </c>
      <c r="P34" s="48">
        <v>0.2099</v>
      </c>
      <c r="Q34" s="48">
        <v>0.2099</v>
      </c>
      <c r="R34" s="54">
        <f t="shared" si="21"/>
        <v>5.1804638023320956E-2</v>
      </c>
      <c r="S34" s="54">
        <f t="shared" si="22"/>
        <v>0</v>
      </c>
      <c r="T34" s="54">
        <f t="shared" si="23"/>
        <v>2.9702970297029703E-3</v>
      </c>
      <c r="U34" s="55">
        <f t="shared" si="24"/>
        <v>-6.3E-3</v>
      </c>
      <c r="V34" s="56">
        <f t="shared" si="25"/>
        <v>-6.3E-3</v>
      </c>
    </row>
    <row r="35" spans="1:22" ht="15" customHeight="1">
      <c r="A35" s="167">
        <v>27</v>
      </c>
      <c r="B35" s="168" t="s">
        <v>61</v>
      </c>
      <c r="C35" s="169" t="s">
        <v>47</v>
      </c>
      <c r="D35" s="42">
        <v>25720827284</v>
      </c>
      <c r="E35" s="28">
        <f t="shared" ref="E35:E47" si="28">(D35/$K$69)</f>
        <v>7.6591384461482913E-3</v>
      </c>
      <c r="F35" s="29">
        <v>100</v>
      </c>
      <c r="G35" s="29">
        <v>100</v>
      </c>
      <c r="H35" s="30">
        <v>2083</v>
      </c>
      <c r="I35" s="48">
        <v>0.21659999999999999</v>
      </c>
      <c r="J35" s="48">
        <v>0.21659999999999999</v>
      </c>
      <c r="K35" s="42">
        <v>25986914169</v>
      </c>
      <c r="L35" s="28">
        <f t="shared" ref="L35:L47" si="29">(K35/$K$69)</f>
        <v>7.7383737004586024E-3</v>
      </c>
      <c r="M35" s="29">
        <v>100</v>
      </c>
      <c r="N35" s="29">
        <v>100</v>
      </c>
      <c r="O35" s="30">
        <v>2083</v>
      </c>
      <c r="P35" s="48">
        <v>0.2172</v>
      </c>
      <c r="Q35" s="48">
        <v>0.2172</v>
      </c>
      <c r="R35" s="54">
        <f t="shared" si="21"/>
        <v>1.0345191546988968E-2</v>
      </c>
      <c r="S35" s="54">
        <f t="shared" si="22"/>
        <v>0</v>
      </c>
      <c r="T35" s="54">
        <f t="shared" si="23"/>
        <v>0</v>
      </c>
      <c r="U35" s="55">
        <f t="shared" si="24"/>
        <v>6.0000000000001719E-4</v>
      </c>
      <c r="V35" s="56">
        <f t="shared" si="25"/>
        <v>6.0000000000001719E-4</v>
      </c>
    </row>
    <row r="36" spans="1:22" ht="15" customHeight="1">
      <c r="A36" s="167">
        <v>28</v>
      </c>
      <c r="B36" s="168" t="s">
        <v>62</v>
      </c>
      <c r="C36" s="169" t="s">
        <v>63</v>
      </c>
      <c r="D36" s="42">
        <v>1395842458.49</v>
      </c>
      <c r="E36" s="28">
        <f t="shared" si="28"/>
        <v>4.1565345159941117E-4</v>
      </c>
      <c r="F36" s="29">
        <v>1</v>
      </c>
      <c r="G36" s="29">
        <v>1</v>
      </c>
      <c r="H36" s="30">
        <v>485</v>
      </c>
      <c r="I36" s="48">
        <v>0.2</v>
      </c>
      <c r="J36" s="48">
        <v>0.2</v>
      </c>
      <c r="K36" s="42">
        <v>1444793542.8299999</v>
      </c>
      <c r="L36" s="28">
        <f t="shared" si="29"/>
        <v>4.3023008740934748E-4</v>
      </c>
      <c r="M36" s="29">
        <v>1</v>
      </c>
      <c r="N36" s="29">
        <v>1</v>
      </c>
      <c r="O36" s="30">
        <v>487</v>
      </c>
      <c r="P36" s="48">
        <v>0.2</v>
      </c>
      <c r="Q36" s="48">
        <v>0.2</v>
      </c>
      <c r="R36" s="54">
        <f t="shared" si="21"/>
        <v>3.5069204294698425E-2</v>
      </c>
      <c r="S36" s="54">
        <f t="shared" si="22"/>
        <v>0</v>
      </c>
      <c r="T36" s="54">
        <f t="shared" si="23"/>
        <v>4.1237113402061857E-3</v>
      </c>
      <c r="U36" s="55">
        <f t="shared" si="24"/>
        <v>0</v>
      </c>
      <c r="V36" s="56">
        <f t="shared" si="25"/>
        <v>0</v>
      </c>
    </row>
    <row r="37" spans="1:22">
      <c r="A37" s="167">
        <v>29</v>
      </c>
      <c r="B37" s="168" t="s">
        <v>64</v>
      </c>
      <c r="C37" s="169" t="s">
        <v>65</v>
      </c>
      <c r="D37" s="42">
        <v>64699870568.669998</v>
      </c>
      <c r="E37" s="28">
        <f t="shared" si="28"/>
        <v>1.9266303554768612E-2</v>
      </c>
      <c r="F37" s="29">
        <v>100</v>
      </c>
      <c r="G37" s="29">
        <v>100</v>
      </c>
      <c r="H37" s="30">
        <v>4578</v>
      </c>
      <c r="I37" s="48">
        <v>0.20305694010702299</v>
      </c>
      <c r="J37" s="48">
        <v>0.20305694010702299</v>
      </c>
      <c r="K37" s="42">
        <v>65442644733.5</v>
      </c>
      <c r="L37" s="28">
        <f t="shared" si="29"/>
        <v>1.9487486571156037E-2</v>
      </c>
      <c r="M37" s="29">
        <v>100</v>
      </c>
      <c r="N37" s="29">
        <v>100</v>
      </c>
      <c r="O37" s="30">
        <v>4634</v>
      </c>
      <c r="P37" s="48">
        <v>0.20343765606356801</v>
      </c>
      <c r="Q37" s="48">
        <v>0.20343765606356801</v>
      </c>
      <c r="R37" s="54">
        <f t="shared" si="21"/>
        <v>1.14803037208807E-2</v>
      </c>
      <c r="S37" s="54">
        <f t="shared" si="22"/>
        <v>0</v>
      </c>
      <c r="T37" s="54">
        <f t="shared" si="23"/>
        <v>1.2232415902140673E-2</v>
      </c>
      <c r="U37" s="55">
        <f t="shared" si="24"/>
        <v>3.8071595654501356E-4</v>
      </c>
      <c r="V37" s="56">
        <f t="shared" si="25"/>
        <v>3.8071595654501356E-4</v>
      </c>
    </row>
    <row r="38" spans="1:22">
      <c r="A38" s="167">
        <v>30</v>
      </c>
      <c r="B38" s="168" t="s">
        <v>66</v>
      </c>
      <c r="C38" s="169" t="s">
        <v>67</v>
      </c>
      <c r="D38" s="42">
        <v>27780184420.889999</v>
      </c>
      <c r="E38" s="28">
        <f t="shared" si="28"/>
        <v>8.2723730535481793E-3</v>
      </c>
      <c r="F38" s="29">
        <v>100</v>
      </c>
      <c r="G38" s="29">
        <v>100</v>
      </c>
      <c r="H38" s="30">
        <v>5073</v>
      </c>
      <c r="I38" s="48">
        <v>0.20710000000000001</v>
      </c>
      <c r="J38" s="48">
        <v>0.20710000000000001</v>
      </c>
      <c r="K38" s="42">
        <v>26716804678.150002</v>
      </c>
      <c r="L38" s="28">
        <f t="shared" si="29"/>
        <v>7.9557202266174656E-3</v>
      </c>
      <c r="M38" s="29">
        <v>100</v>
      </c>
      <c r="N38" s="29">
        <v>100</v>
      </c>
      <c r="O38" s="30">
        <v>5094</v>
      </c>
      <c r="P38" s="48">
        <v>0.2092</v>
      </c>
      <c r="Q38" s="48">
        <v>0.2092</v>
      </c>
      <c r="R38" s="54">
        <f t="shared" si="21"/>
        <v>-3.8278354334478897E-2</v>
      </c>
      <c r="S38" s="54">
        <f t="shared" si="22"/>
        <v>0</v>
      </c>
      <c r="T38" s="54">
        <f t="shared" si="23"/>
        <v>4.139562389118865E-3</v>
      </c>
      <c r="U38" s="55">
        <f t="shared" si="24"/>
        <v>2.0999999999999908E-3</v>
      </c>
      <c r="V38" s="56">
        <f t="shared" si="25"/>
        <v>2.0999999999999908E-3</v>
      </c>
    </row>
    <row r="39" spans="1:22">
      <c r="A39" s="167">
        <v>31</v>
      </c>
      <c r="B39" s="168" t="s">
        <v>68</v>
      </c>
      <c r="C39" s="169" t="s">
        <v>296</v>
      </c>
      <c r="D39" s="42">
        <v>35138249183.18</v>
      </c>
      <c r="E39" s="28">
        <f t="shared" si="28"/>
        <v>1.04634548600483E-2</v>
      </c>
      <c r="F39" s="29">
        <v>1</v>
      </c>
      <c r="G39" s="29">
        <v>1</v>
      </c>
      <c r="H39" s="30">
        <v>7103</v>
      </c>
      <c r="I39" s="48">
        <v>0.223</v>
      </c>
      <c r="J39" s="48">
        <v>0.223</v>
      </c>
      <c r="K39" s="42">
        <v>36906283755.300003</v>
      </c>
      <c r="L39" s="28">
        <f t="shared" si="29"/>
        <v>1.0989939541739211E-2</v>
      </c>
      <c r="M39" s="29">
        <v>1</v>
      </c>
      <c r="N39" s="29">
        <v>1</v>
      </c>
      <c r="O39" s="30">
        <v>7269</v>
      </c>
      <c r="P39" s="48">
        <v>0.21199999999999999</v>
      </c>
      <c r="Q39" s="48">
        <v>0.21199999999999999</v>
      </c>
      <c r="R39" s="54">
        <f t="shared" si="21"/>
        <v>5.0316524392066943E-2</v>
      </c>
      <c r="S39" s="54">
        <f t="shared" si="22"/>
        <v>0</v>
      </c>
      <c r="T39" s="54">
        <f t="shared" si="23"/>
        <v>2.3370406870336476E-2</v>
      </c>
      <c r="U39" s="55">
        <f t="shared" si="24"/>
        <v>-1.100000000000001E-2</v>
      </c>
      <c r="V39" s="56">
        <f t="shared" si="25"/>
        <v>-1.100000000000001E-2</v>
      </c>
    </row>
    <row r="40" spans="1:22">
      <c r="A40" s="167">
        <v>32</v>
      </c>
      <c r="B40" s="168" t="s">
        <v>69</v>
      </c>
      <c r="C40" s="169" t="s">
        <v>70</v>
      </c>
      <c r="D40" s="42">
        <v>71197695096.470001</v>
      </c>
      <c r="E40" s="28">
        <f t="shared" si="28"/>
        <v>2.1201223342055434E-2</v>
      </c>
      <c r="F40" s="43">
        <v>100</v>
      </c>
      <c r="G40" s="43">
        <v>100</v>
      </c>
      <c r="H40" s="30">
        <v>3848</v>
      </c>
      <c r="I40" s="48">
        <v>0.1978</v>
      </c>
      <c r="J40" s="48">
        <v>0.1978</v>
      </c>
      <c r="K40" s="42">
        <v>74275972919.039993</v>
      </c>
      <c r="L40" s="28">
        <f t="shared" si="29"/>
        <v>2.2117871774799968E-2</v>
      </c>
      <c r="M40" s="43">
        <v>100</v>
      </c>
      <c r="N40" s="43">
        <v>100</v>
      </c>
      <c r="O40" s="30">
        <v>3848</v>
      </c>
      <c r="P40" s="48">
        <v>0.1966</v>
      </c>
      <c r="Q40" s="48">
        <v>0.1966</v>
      </c>
      <c r="R40" s="54">
        <f t="shared" si="21"/>
        <v>4.3235638715537768E-2</v>
      </c>
      <c r="S40" s="54">
        <f t="shared" si="22"/>
        <v>0</v>
      </c>
      <c r="T40" s="54">
        <f t="shared" si="23"/>
        <v>0</v>
      </c>
      <c r="U40" s="55">
        <f t="shared" si="24"/>
        <v>-1.2000000000000066E-3</v>
      </c>
      <c r="V40" s="56">
        <f t="shared" si="25"/>
        <v>-1.2000000000000066E-3</v>
      </c>
    </row>
    <row r="41" spans="1:22">
      <c r="A41" s="167">
        <v>33</v>
      </c>
      <c r="B41" s="168" t="s">
        <v>71</v>
      </c>
      <c r="C41" s="169" t="s">
        <v>70</v>
      </c>
      <c r="D41" s="42">
        <v>7972133346.1999998</v>
      </c>
      <c r="E41" s="28">
        <f t="shared" si="28"/>
        <v>2.3739389225510745E-3</v>
      </c>
      <c r="F41" s="43">
        <v>1000000</v>
      </c>
      <c r="G41" s="43">
        <v>1000000</v>
      </c>
      <c r="H41" s="30">
        <v>26</v>
      </c>
      <c r="I41" s="48">
        <v>0.2029</v>
      </c>
      <c r="J41" s="48">
        <v>0.2029</v>
      </c>
      <c r="K41" s="42">
        <v>8266231149.5900002</v>
      </c>
      <c r="L41" s="28">
        <f t="shared" si="29"/>
        <v>2.4615152577910121E-3</v>
      </c>
      <c r="M41" s="43">
        <v>1000000</v>
      </c>
      <c r="N41" s="43">
        <v>1000000</v>
      </c>
      <c r="O41" s="30">
        <v>26</v>
      </c>
      <c r="P41" s="48">
        <v>0.2046</v>
      </c>
      <c r="Q41" s="48">
        <v>0.2046</v>
      </c>
      <c r="R41" s="54">
        <f t="shared" si="21"/>
        <v>3.6890728067184818E-2</v>
      </c>
      <c r="S41" s="54">
        <f t="shared" si="22"/>
        <v>0</v>
      </c>
      <c r="T41" s="54">
        <f t="shared" si="23"/>
        <v>0</v>
      </c>
      <c r="U41" s="55">
        <f t="shared" si="24"/>
        <v>1.7000000000000071E-3</v>
      </c>
      <c r="V41" s="56">
        <f t="shared" si="25"/>
        <v>1.7000000000000071E-3</v>
      </c>
    </row>
    <row r="42" spans="1:22">
      <c r="A42" s="167">
        <v>34</v>
      </c>
      <c r="B42" s="168" t="s">
        <v>72</v>
      </c>
      <c r="C42" s="169" t="s">
        <v>73</v>
      </c>
      <c r="D42" s="42">
        <v>5144936763.6000004</v>
      </c>
      <c r="E42" s="28">
        <f t="shared" si="28"/>
        <v>1.5320573686836054E-3</v>
      </c>
      <c r="F42" s="29">
        <v>1</v>
      </c>
      <c r="G42" s="29">
        <v>1</v>
      </c>
      <c r="H42" s="30">
        <v>952</v>
      </c>
      <c r="I42" s="48">
        <v>0.2102</v>
      </c>
      <c r="J42" s="48">
        <v>0.2102</v>
      </c>
      <c r="K42" s="42">
        <v>5276802968.6199999</v>
      </c>
      <c r="L42" s="28">
        <f t="shared" si="29"/>
        <v>1.5713244384968933E-3</v>
      </c>
      <c r="M42" s="29">
        <v>1</v>
      </c>
      <c r="N42" s="29">
        <v>1</v>
      </c>
      <c r="O42" s="30">
        <v>956</v>
      </c>
      <c r="P42" s="48">
        <v>0.18770000000000001</v>
      </c>
      <c r="Q42" s="48">
        <v>0.18770000000000001</v>
      </c>
      <c r="R42" s="54">
        <f t="shared" si="21"/>
        <v>2.5630286839080692E-2</v>
      </c>
      <c r="S42" s="54">
        <f t="shared" si="22"/>
        <v>0</v>
      </c>
      <c r="T42" s="54">
        <f t="shared" si="23"/>
        <v>4.2016806722689074E-3</v>
      </c>
      <c r="U42" s="55">
        <f t="shared" si="24"/>
        <v>-2.2499999999999992E-2</v>
      </c>
      <c r="V42" s="56">
        <f t="shared" si="25"/>
        <v>-2.2499999999999992E-2</v>
      </c>
    </row>
    <row r="43" spans="1:22">
      <c r="A43" s="167">
        <v>35</v>
      </c>
      <c r="B43" s="168" t="s">
        <v>74</v>
      </c>
      <c r="C43" s="169" t="s">
        <v>317</v>
      </c>
      <c r="D43" s="42">
        <v>554426531953.35999</v>
      </c>
      <c r="E43" s="28">
        <f t="shared" si="28"/>
        <v>0.1650969278538795</v>
      </c>
      <c r="F43" s="29">
        <v>100</v>
      </c>
      <c r="G43" s="29">
        <v>100</v>
      </c>
      <c r="H43" s="30">
        <v>15301</v>
      </c>
      <c r="I43" s="48">
        <v>0.2051</v>
      </c>
      <c r="J43" s="48">
        <v>0.2051</v>
      </c>
      <c r="K43" s="42">
        <v>558614329648.47998</v>
      </c>
      <c r="L43" s="28">
        <f t="shared" si="29"/>
        <v>0.16634396870436324</v>
      </c>
      <c r="M43" s="29">
        <v>100</v>
      </c>
      <c r="N43" s="29">
        <v>100</v>
      </c>
      <c r="O43" s="30">
        <v>15301</v>
      </c>
      <c r="P43" s="48">
        <v>0.20480000000000001</v>
      </c>
      <c r="Q43" s="48">
        <v>0.20480000000000001</v>
      </c>
      <c r="R43" s="54">
        <f t="shared" si="21"/>
        <v>7.5533861634751011E-3</v>
      </c>
      <c r="S43" s="54">
        <f t="shared" si="22"/>
        <v>0</v>
      </c>
      <c r="T43" s="54">
        <f t="shared" si="23"/>
        <v>0</v>
      </c>
      <c r="U43" s="55">
        <f t="shared" si="24"/>
        <v>-2.9999999999999472E-4</v>
      </c>
      <c r="V43" s="56">
        <f t="shared" si="25"/>
        <v>-2.9999999999999472E-4</v>
      </c>
    </row>
    <row r="44" spans="1:22">
      <c r="A44" s="167">
        <v>36</v>
      </c>
      <c r="B44" s="168" t="s">
        <v>75</v>
      </c>
      <c r="C44" s="169" t="s">
        <v>76</v>
      </c>
      <c r="D44" s="42">
        <v>2296291551</v>
      </c>
      <c r="E44" s="28">
        <f t="shared" si="28"/>
        <v>6.8378884969886678E-4</v>
      </c>
      <c r="F44" s="29">
        <v>1</v>
      </c>
      <c r="G44" s="29">
        <v>1</v>
      </c>
      <c r="H44" s="44">
        <v>1358</v>
      </c>
      <c r="I44" s="51">
        <v>0.20069999999999999</v>
      </c>
      <c r="J44" s="51">
        <v>0.20069999999999999</v>
      </c>
      <c r="K44" s="42">
        <v>2288407949.9299998</v>
      </c>
      <c r="L44" s="28">
        <f t="shared" si="29"/>
        <v>6.8144127388481454E-4</v>
      </c>
      <c r="M44" s="29">
        <v>1</v>
      </c>
      <c r="N44" s="29">
        <v>1</v>
      </c>
      <c r="O44" s="44">
        <v>1361</v>
      </c>
      <c r="P44" s="51">
        <v>0.20369999999999999</v>
      </c>
      <c r="Q44" s="51">
        <v>0.20369999999999999</v>
      </c>
      <c r="R44" s="54">
        <f t="shared" si="21"/>
        <v>-3.4331882058125343E-3</v>
      </c>
      <c r="S44" s="54">
        <f t="shared" si="22"/>
        <v>0</v>
      </c>
      <c r="T44" s="54">
        <f t="shared" si="23"/>
        <v>2.2091310751104565E-3</v>
      </c>
      <c r="U44" s="55">
        <f t="shared" si="24"/>
        <v>3.0000000000000027E-3</v>
      </c>
      <c r="V44" s="56">
        <f t="shared" si="25"/>
        <v>3.0000000000000027E-3</v>
      </c>
    </row>
    <row r="45" spans="1:22">
      <c r="A45" s="167">
        <v>37</v>
      </c>
      <c r="B45" s="168" t="s">
        <v>298</v>
      </c>
      <c r="C45" s="169" t="s">
        <v>299</v>
      </c>
      <c r="D45" s="42">
        <v>1841790718.1700001</v>
      </c>
      <c r="E45" s="28">
        <f t="shared" si="28"/>
        <v>5.4844775961269661E-4</v>
      </c>
      <c r="F45" s="29">
        <v>1</v>
      </c>
      <c r="G45" s="29">
        <v>1</v>
      </c>
      <c r="H45" s="44">
        <v>287</v>
      </c>
      <c r="I45" s="51">
        <v>0.18379999999999999</v>
      </c>
      <c r="J45" s="51">
        <v>0.18379999999999999</v>
      </c>
      <c r="K45" s="42">
        <v>1863695777.1199999</v>
      </c>
      <c r="L45" s="28">
        <f t="shared" si="29"/>
        <v>5.5497063997407027E-4</v>
      </c>
      <c r="M45" s="29">
        <v>1</v>
      </c>
      <c r="N45" s="29">
        <v>1</v>
      </c>
      <c r="O45" s="44">
        <v>296</v>
      </c>
      <c r="P45" s="51">
        <v>0.18429999999999999</v>
      </c>
      <c r="Q45" s="51">
        <v>0.18429999999999999</v>
      </c>
      <c r="R45" s="54">
        <f t="shared" si="21"/>
        <v>1.1893348540579374E-2</v>
      </c>
      <c r="S45" s="54">
        <f t="shared" si="22"/>
        <v>0</v>
      </c>
      <c r="T45" s="54">
        <f t="shared" si="23"/>
        <v>3.1358885017421602E-2</v>
      </c>
      <c r="U45" s="55">
        <f t="shared" si="24"/>
        <v>5.0000000000000044E-4</v>
      </c>
      <c r="V45" s="56">
        <f t="shared" si="25"/>
        <v>5.0000000000000044E-4</v>
      </c>
    </row>
    <row r="46" spans="1:22">
      <c r="A46" s="167">
        <v>38</v>
      </c>
      <c r="B46" s="168" t="s">
        <v>77</v>
      </c>
      <c r="C46" s="169" t="s">
        <v>78</v>
      </c>
      <c r="D46" s="42">
        <v>1225549676.5999999</v>
      </c>
      <c r="E46" s="28">
        <f t="shared" si="28"/>
        <v>3.6494372992235607E-4</v>
      </c>
      <c r="F46" s="29">
        <v>10</v>
      </c>
      <c r="G46" s="29">
        <v>10</v>
      </c>
      <c r="H46" s="30">
        <v>472</v>
      </c>
      <c r="I46" s="48">
        <v>0.18149999999999999</v>
      </c>
      <c r="J46" s="48">
        <v>0.18149999999999999</v>
      </c>
      <c r="K46" s="42">
        <v>1246637809.9400001</v>
      </c>
      <c r="L46" s="28">
        <f t="shared" si="29"/>
        <v>3.7122334647739474E-4</v>
      </c>
      <c r="M46" s="29">
        <v>10</v>
      </c>
      <c r="N46" s="29">
        <v>10</v>
      </c>
      <c r="O46" s="30">
        <v>471</v>
      </c>
      <c r="P46" s="48">
        <v>0.18240000000000001</v>
      </c>
      <c r="Q46" s="48">
        <v>0.18240000000000001</v>
      </c>
      <c r="R46" s="54">
        <f t="shared" si="21"/>
        <v>1.7207081640708544E-2</v>
      </c>
      <c r="S46" s="54">
        <f t="shared" si="22"/>
        <v>0</v>
      </c>
      <c r="T46" s="54">
        <f t="shared" si="23"/>
        <v>-2.1186440677966102E-3</v>
      </c>
      <c r="U46" s="55">
        <f t="shared" si="24"/>
        <v>9.000000000000119E-4</v>
      </c>
      <c r="V46" s="56">
        <f t="shared" si="25"/>
        <v>9.000000000000119E-4</v>
      </c>
    </row>
    <row r="47" spans="1:22">
      <c r="A47" s="167">
        <v>39</v>
      </c>
      <c r="B47" s="168" t="s">
        <v>79</v>
      </c>
      <c r="C47" s="169" t="s">
        <v>80</v>
      </c>
      <c r="D47" s="42">
        <v>7889793974.7799997</v>
      </c>
      <c r="E47" s="28">
        <f t="shared" si="28"/>
        <v>2.3494199349496565E-3</v>
      </c>
      <c r="F47" s="29">
        <v>100</v>
      </c>
      <c r="G47" s="29">
        <v>100</v>
      </c>
      <c r="H47" s="30">
        <v>929</v>
      </c>
      <c r="I47" s="48">
        <v>0.17560000000000001</v>
      </c>
      <c r="J47" s="48">
        <v>0.17560000000000001</v>
      </c>
      <c r="K47" s="42">
        <v>7844242134.1400003</v>
      </c>
      <c r="L47" s="28">
        <f t="shared" si="29"/>
        <v>2.3358555246728663E-3</v>
      </c>
      <c r="M47" s="29">
        <v>100</v>
      </c>
      <c r="N47" s="29">
        <v>100</v>
      </c>
      <c r="O47" s="30">
        <v>932</v>
      </c>
      <c r="P47" s="48">
        <v>0.20238300000000001</v>
      </c>
      <c r="Q47" s="48">
        <v>0.20238300000000001</v>
      </c>
      <c r="R47" s="54">
        <f t="shared" si="21"/>
        <v>-5.7735145918394607E-3</v>
      </c>
      <c r="S47" s="54">
        <f t="shared" si="22"/>
        <v>0</v>
      </c>
      <c r="T47" s="54">
        <f t="shared" si="23"/>
        <v>3.2292787944025836E-3</v>
      </c>
      <c r="U47" s="55">
        <f t="shared" si="24"/>
        <v>2.6783000000000001E-2</v>
      </c>
      <c r="V47" s="56">
        <f t="shared" si="25"/>
        <v>2.6783000000000001E-2</v>
      </c>
    </row>
    <row r="48" spans="1:22">
      <c r="A48" s="167">
        <v>40</v>
      </c>
      <c r="B48" s="168" t="s">
        <v>81</v>
      </c>
      <c r="C48" s="168" t="s">
        <v>82</v>
      </c>
      <c r="D48" s="130">
        <v>102113299.88295925</v>
      </c>
      <c r="E48" s="28">
        <f>(D48/$D$190)</f>
        <v>1.5221600869605172E-3</v>
      </c>
      <c r="F48" s="31">
        <v>1</v>
      </c>
      <c r="G48" s="31">
        <v>1</v>
      </c>
      <c r="H48" s="30">
        <v>88</v>
      </c>
      <c r="I48" s="48">
        <v>0.17879999999999999</v>
      </c>
      <c r="J48" s="48">
        <v>0.17879999999999999</v>
      </c>
      <c r="K48" s="130">
        <v>102409294.27379325</v>
      </c>
      <c r="L48" s="52">
        <f>(K48/$K$190)</f>
        <v>1.4529272108280819E-3</v>
      </c>
      <c r="M48" s="31">
        <v>1</v>
      </c>
      <c r="N48" s="31">
        <v>1</v>
      </c>
      <c r="O48" s="30">
        <v>88</v>
      </c>
      <c r="P48" s="48">
        <v>2.3031390763343165E-2</v>
      </c>
      <c r="Q48" s="48">
        <v>0.17475773037667452</v>
      </c>
      <c r="R48" s="55">
        <f t="shared" si="21"/>
        <v>2.8986859808983558E-3</v>
      </c>
      <c r="S48" s="55">
        <f t="shared" si="22"/>
        <v>0</v>
      </c>
      <c r="T48" s="55">
        <f t="shared" si="23"/>
        <v>0</v>
      </c>
      <c r="U48" s="55">
        <f t="shared" si="24"/>
        <v>-0.15576860923665681</v>
      </c>
      <c r="V48" s="56">
        <f t="shared" si="25"/>
        <v>-4.0422696233254618E-3</v>
      </c>
    </row>
    <row r="49" spans="1:22">
      <c r="A49" s="167">
        <v>41</v>
      </c>
      <c r="B49" s="168" t="s">
        <v>285</v>
      </c>
      <c r="C49" s="169" t="s">
        <v>37</v>
      </c>
      <c r="D49" s="42">
        <v>528155490.94999999</v>
      </c>
      <c r="E49" s="28">
        <f t="shared" ref="E49" si="30">(D49/$K$69)</f>
        <v>1.5727394696965496E-4</v>
      </c>
      <c r="F49" s="29">
        <v>100</v>
      </c>
      <c r="G49" s="29">
        <v>100</v>
      </c>
      <c r="H49" s="30">
        <v>3319</v>
      </c>
      <c r="I49" s="48">
        <v>0.19489999999999999</v>
      </c>
      <c r="J49" s="48">
        <v>0.19489999999999999</v>
      </c>
      <c r="K49" s="42">
        <v>534999938.32999998</v>
      </c>
      <c r="L49" s="28">
        <f t="shared" ref="L49" si="31">(K49/$K$69)</f>
        <v>1.5931208398181114E-4</v>
      </c>
      <c r="M49" s="29">
        <v>100</v>
      </c>
      <c r="N49" s="29">
        <v>100</v>
      </c>
      <c r="O49" s="30">
        <v>3444</v>
      </c>
      <c r="P49" s="48">
        <v>0.18932378</v>
      </c>
      <c r="Q49" s="48">
        <v>0.18932378</v>
      </c>
      <c r="R49" s="54">
        <f t="shared" ref="R49" si="32">((K49-D49)/D49)</f>
        <v>1.2959152176357763E-2</v>
      </c>
      <c r="S49" s="54">
        <f t="shared" ref="S49" si="33">((N49-G49)/G49)</f>
        <v>0</v>
      </c>
      <c r="T49" s="54">
        <f t="shared" ref="T49" si="34">((O49-H49)/H49)</f>
        <v>3.7661946369388369E-2</v>
      </c>
      <c r="U49" s="55">
        <f t="shared" ref="U49" si="35">P49-I49</f>
        <v>-5.5762199999999928E-3</v>
      </c>
      <c r="V49" s="56">
        <f t="shared" ref="V49" si="36">Q49-J49</f>
        <v>-5.5762199999999928E-3</v>
      </c>
    </row>
    <row r="50" spans="1:22">
      <c r="A50" s="167">
        <v>42</v>
      </c>
      <c r="B50" s="168" t="s">
        <v>83</v>
      </c>
      <c r="C50" s="169" t="s">
        <v>37</v>
      </c>
      <c r="D50" s="42">
        <v>104567843075.24001</v>
      </c>
      <c r="E50" s="28">
        <f t="shared" ref="E50:E68" si="37">(D50/$K$69)</f>
        <v>3.1138173678674125E-2</v>
      </c>
      <c r="F50" s="29">
        <v>100</v>
      </c>
      <c r="G50" s="29">
        <v>100</v>
      </c>
      <c r="H50" s="30">
        <v>13298</v>
      </c>
      <c r="I50" s="48">
        <v>0.20563999999999999</v>
      </c>
      <c r="J50" s="48">
        <v>0.20563999999999999</v>
      </c>
      <c r="K50" s="42">
        <v>109632107399.92999</v>
      </c>
      <c r="L50" s="28">
        <f t="shared" ref="L50:L68" si="38">(K50/$K$69)</f>
        <v>3.2646208438303292E-2</v>
      </c>
      <c r="M50" s="29">
        <v>100</v>
      </c>
      <c r="N50" s="29">
        <v>100</v>
      </c>
      <c r="O50" s="30">
        <v>13510</v>
      </c>
      <c r="P50" s="48">
        <v>0.2056867</v>
      </c>
      <c r="Q50" s="48">
        <v>0.2056867</v>
      </c>
      <c r="R50" s="54">
        <f t="shared" si="21"/>
        <v>4.8430417762811484E-2</v>
      </c>
      <c r="S50" s="54">
        <f t="shared" si="22"/>
        <v>0</v>
      </c>
      <c r="T50" s="54">
        <f t="shared" si="23"/>
        <v>1.5942246954429237E-2</v>
      </c>
      <c r="U50" s="55">
        <f t="shared" si="24"/>
        <v>4.6700000000010622E-5</v>
      </c>
      <c r="V50" s="56">
        <f t="shared" si="25"/>
        <v>4.6700000000010622E-5</v>
      </c>
    </row>
    <row r="51" spans="1:22">
      <c r="A51" s="167">
        <v>43</v>
      </c>
      <c r="B51" s="168" t="s">
        <v>84</v>
      </c>
      <c r="C51" s="169" t="s">
        <v>41</v>
      </c>
      <c r="D51" s="42">
        <v>23862857549.84</v>
      </c>
      <c r="E51" s="28">
        <f t="shared" si="37"/>
        <v>7.1058729051313805E-3</v>
      </c>
      <c r="F51" s="29">
        <v>1</v>
      </c>
      <c r="G51" s="29">
        <v>1</v>
      </c>
      <c r="H51" s="30">
        <v>1962</v>
      </c>
      <c r="I51" s="48">
        <v>0.19869999999999999</v>
      </c>
      <c r="J51" s="48">
        <v>0.19869999999999999</v>
      </c>
      <c r="K51" s="42">
        <v>25685178874.049999</v>
      </c>
      <c r="L51" s="28">
        <f t="shared" si="38"/>
        <v>7.648523075803576E-3</v>
      </c>
      <c r="M51" s="29">
        <v>1</v>
      </c>
      <c r="N51" s="29">
        <v>1</v>
      </c>
      <c r="O51" s="30">
        <v>1996</v>
      </c>
      <c r="P51" s="48">
        <v>0.1983</v>
      </c>
      <c r="Q51" s="48">
        <v>0.1983</v>
      </c>
      <c r="R51" s="54">
        <f t="shared" si="21"/>
        <v>7.636643350042617E-2</v>
      </c>
      <c r="S51" s="54">
        <f t="shared" si="22"/>
        <v>0</v>
      </c>
      <c r="T51" s="54">
        <f t="shared" si="23"/>
        <v>1.7329255861365953E-2</v>
      </c>
      <c r="U51" s="55">
        <f t="shared" si="24"/>
        <v>-3.999999999999837E-4</v>
      </c>
      <c r="V51" s="56">
        <f t="shared" si="25"/>
        <v>-3.999999999999837E-4</v>
      </c>
    </row>
    <row r="52" spans="1:22">
      <c r="A52" s="167">
        <v>44</v>
      </c>
      <c r="B52" s="168" t="s">
        <v>309</v>
      </c>
      <c r="C52" s="169" t="s">
        <v>308</v>
      </c>
      <c r="D52" s="42">
        <v>2092936294.6379189</v>
      </c>
      <c r="E52" s="28">
        <f t="shared" si="37"/>
        <v>6.2323379658834591E-4</v>
      </c>
      <c r="F52" s="29">
        <v>100</v>
      </c>
      <c r="G52" s="29">
        <v>100</v>
      </c>
      <c r="H52" s="30">
        <v>156</v>
      </c>
      <c r="I52" s="48">
        <v>0.2029</v>
      </c>
      <c r="J52" s="48">
        <v>0.2029</v>
      </c>
      <c r="K52" s="42">
        <v>2134548595.4611106</v>
      </c>
      <c r="L52" s="28">
        <f t="shared" si="38"/>
        <v>6.3562509215393814E-4</v>
      </c>
      <c r="M52" s="29">
        <v>100</v>
      </c>
      <c r="N52" s="29">
        <v>100</v>
      </c>
      <c r="O52" s="30">
        <v>156</v>
      </c>
      <c r="P52" s="48">
        <v>0.20269999999999999</v>
      </c>
      <c r="Q52" s="48">
        <v>0.20269999999999999</v>
      </c>
      <c r="R52" s="54">
        <f t="shared" si="21"/>
        <v>1.9882258685943725E-2</v>
      </c>
      <c r="S52" s="54">
        <f t="shared" si="22"/>
        <v>0</v>
      </c>
      <c r="T52" s="54">
        <f t="shared" si="23"/>
        <v>0</v>
      </c>
      <c r="U52" s="55">
        <f t="shared" si="24"/>
        <v>-2.0000000000000573E-4</v>
      </c>
      <c r="V52" s="56">
        <f t="shared" si="25"/>
        <v>-2.0000000000000573E-4</v>
      </c>
    </row>
    <row r="53" spans="1:22">
      <c r="A53" s="167">
        <v>45</v>
      </c>
      <c r="B53" s="168" t="s">
        <v>85</v>
      </c>
      <c r="C53" s="169" t="s">
        <v>43</v>
      </c>
      <c r="D53" s="45">
        <v>45859423509.270004</v>
      </c>
      <c r="E53" s="28">
        <f t="shared" si="37"/>
        <v>1.365600218996621E-2</v>
      </c>
      <c r="F53" s="29">
        <v>10</v>
      </c>
      <c r="G53" s="29">
        <v>10</v>
      </c>
      <c r="H53" s="30">
        <v>5542</v>
      </c>
      <c r="I53" s="48">
        <v>0.219</v>
      </c>
      <c r="J53" s="48">
        <v>0.219</v>
      </c>
      <c r="K53" s="45">
        <v>46870331274.379997</v>
      </c>
      <c r="L53" s="28">
        <f t="shared" si="38"/>
        <v>1.3957029930783873E-2</v>
      </c>
      <c r="M53" s="29">
        <v>10</v>
      </c>
      <c r="N53" s="29">
        <v>10</v>
      </c>
      <c r="O53" s="30">
        <v>5643</v>
      </c>
      <c r="P53" s="48">
        <v>0.22109999999999999</v>
      </c>
      <c r="Q53" s="48">
        <v>0.22109999999999999</v>
      </c>
      <c r="R53" s="54">
        <f t="shared" si="21"/>
        <v>2.2043621305131506E-2</v>
      </c>
      <c r="S53" s="54">
        <f t="shared" si="22"/>
        <v>0</v>
      </c>
      <c r="T53" s="54">
        <f t="shared" si="23"/>
        <v>1.8224467701190905E-2</v>
      </c>
      <c r="U53" s="55">
        <f t="shared" si="24"/>
        <v>2.0999999999999908E-3</v>
      </c>
      <c r="V53" s="56">
        <f t="shared" si="25"/>
        <v>2.0999999999999908E-3</v>
      </c>
    </row>
    <row r="54" spans="1:22">
      <c r="A54" s="167">
        <v>46</v>
      </c>
      <c r="B54" s="168" t="s">
        <v>86</v>
      </c>
      <c r="C54" s="169" t="s">
        <v>87</v>
      </c>
      <c r="D54" s="42">
        <v>22466122963</v>
      </c>
      <c r="E54" s="28">
        <f t="shared" si="37"/>
        <v>6.6899537958814998E-3</v>
      </c>
      <c r="F54" s="29">
        <v>100</v>
      </c>
      <c r="G54" s="29">
        <v>100</v>
      </c>
      <c r="H54" s="30">
        <v>4403</v>
      </c>
      <c r="I54" s="48">
        <v>0.20899999999999999</v>
      </c>
      <c r="J54" s="48">
        <v>0.20899999999999999</v>
      </c>
      <c r="K54" s="42">
        <v>22869076363</v>
      </c>
      <c r="L54" s="28">
        <f t="shared" si="38"/>
        <v>6.8099451104635953E-3</v>
      </c>
      <c r="M54" s="29">
        <v>100</v>
      </c>
      <c r="N54" s="29">
        <v>100</v>
      </c>
      <c r="O54" s="30">
        <v>4442</v>
      </c>
      <c r="P54" s="48">
        <v>0.20469999999999999</v>
      </c>
      <c r="Q54" s="48">
        <v>0.20469999999999999</v>
      </c>
      <c r="R54" s="54">
        <f t="shared" si="21"/>
        <v>1.7936045336511053E-2</v>
      </c>
      <c r="S54" s="54">
        <f t="shared" si="22"/>
        <v>0</v>
      </c>
      <c r="T54" s="54">
        <f t="shared" si="23"/>
        <v>8.8575970928912104E-3</v>
      </c>
      <c r="U54" s="55">
        <f t="shared" si="24"/>
        <v>-4.2999999999999983E-3</v>
      </c>
      <c r="V54" s="56">
        <f t="shared" si="25"/>
        <v>-4.2999999999999983E-3</v>
      </c>
    </row>
    <row r="55" spans="1:22">
      <c r="A55" s="167">
        <v>47</v>
      </c>
      <c r="B55" s="168" t="s">
        <v>88</v>
      </c>
      <c r="C55" s="169" t="s">
        <v>89</v>
      </c>
      <c r="D55" s="42">
        <v>284636434.97000003</v>
      </c>
      <c r="E55" s="28">
        <f t="shared" si="37"/>
        <v>8.4758932447303429E-5</v>
      </c>
      <c r="F55" s="29">
        <v>1</v>
      </c>
      <c r="G55" s="29">
        <v>1</v>
      </c>
      <c r="H55" s="30">
        <v>100</v>
      </c>
      <c r="I55" s="48">
        <v>0.191</v>
      </c>
      <c r="J55" s="48">
        <v>0.191</v>
      </c>
      <c r="K55" s="42">
        <v>291476326.92000002</v>
      </c>
      <c r="L55" s="28">
        <f t="shared" si="38"/>
        <v>8.6795712945197208E-5</v>
      </c>
      <c r="M55" s="29">
        <v>1</v>
      </c>
      <c r="N55" s="29">
        <v>1</v>
      </c>
      <c r="O55" s="30">
        <v>102</v>
      </c>
      <c r="P55" s="48">
        <v>0.18590000000000001</v>
      </c>
      <c r="Q55" s="48">
        <v>0.18590000000000001</v>
      </c>
      <c r="R55" s="54">
        <f t="shared" si="21"/>
        <v>2.4030275501170099E-2</v>
      </c>
      <c r="S55" s="54">
        <f t="shared" si="22"/>
        <v>0</v>
      </c>
      <c r="T55" s="54">
        <f t="shared" si="23"/>
        <v>0.02</v>
      </c>
      <c r="U55" s="55">
        <f t="shared" si="24"/>
        <v>-5.0999999999999934E-3</v>
      </c>
      <c r="V55" s="56">
        <f t="shared" si="25"/>
        <v>-5.0999999999999934E-3</v>
      </c>
    </row>
    <row r="56" spans="1:22">
      <c r="A56" s="167">
        <v>48</v>
      </c>
      <c r="B56" s="168" t="s">
        <v>90</v>
      </c>
      <c r="C56" s="169" t="s">
        <v>45</v>
      </c>
      <c r="D56" s="45">
        <v>1420219959.5699999</v>
      </c>
      <c r="E56" s="28">
        <f t="shared" si="37"/>
        <v>4.2291257486482014E-4</v>
      </c>
      <c r="F56" s="29">
        <v>10</v>
      </c>
      <c r="G56" s="29">
        <v>10</v>
      </c>
      <c r="H56" s="30">
        <v>833</v>
      </c>
      <c r="I56" s="48">
        <v>-2.1000000000000001E-2</v>
      </c>
      <c r="J56" s="48">
        <v>0.1701</v>
      </c>
      <c r="K56" s="45">
        <v>1541361630.46</v>
      </c>
      <c r="L56" s="28">
        <f t="shared" si="38"/>
        <v>4.5898609686702334E-4</v>
      </c>
      <c r="M56" s="29">
        <v>10</v>
      </c>
      <c r="N56" s="29">
        <v>10</v>
      </c>
      <c r="O56" s="30">
        <v>835</v>
      </c>
      <c r="P56" s="48">
        <v>0.18459999999999999</v>
      </c>
      <c r="Q56" s="48">
        <v>0.18459999999999999</v>
      </c>
      <c r="R56" s="54">
        <f t="shared" si="21"/>
        <v>8.5297823110920212E-2</v>
      </c>
      <c r="S56" s="54">
        <f t="shared" si="22"/>
        <v>0</v>
      </c>
      <c r="T56" s="54">
        <f t="shared" si="23"/>
        <v>2.4009603841536613E-3</v>
      </c>
      <c r="U56" s="55">
        <f t="shared" si="24"/>
        <v>0.20559999999999998</v>
      </c>
      <c r="V56" s="56">
        <f t="shared" si="25"/>
        <v>1.4499999999999985E-2</v>
      </c>
    </row>
    <row r="57" spans="1:22">
      <c r="A57" s="167">
        <v>49</v>
      </c>
      <c r="B57" s="168" t="s">
        <v>91</v>
      </c>
      <c r="C57" s="169" t="s">
        <v>92</v>
      </c>
      <c r="D57" s="45">
        <v>974075561</v>
      </c>
      <c r="E57" s="28">
        <f t="shared" si="37"/>
        <v>2.9005986068533351E-4</v>
      </c>
      <c r="F57" s="29">
        <v>1</v>
      </c>
      <c r="G57" s="29">
        <v>1</v>
      </c>
      <c r="H57" s="30">
        <v>122</v>
      </c>
      <c r="I57" s="48">
        <v>0.2147</v>
      </c>
      <c r="J57" s="48">
        <v>0.2147</v>
      </c>
      <c r="K57" s="45">
        <v>962349561</v>
      </c>
      <c r="L57" s="28">
        <f t="shared" si="38"/>
        <v>2.8656809673746847E-4</v>
      </c>
      <c r="M57" s="29">
        <v>1</v>
      </c>
      <c r="N57" s="29">
        <v>1</v>
      </c>
      <c r="O57" s="30">
        <v>122</v>
      </c>
      <c r="P57" s="48">
        <v>0.21729999999999999</v>
      </c>
      <c r="Q57" s="48">
        <v>0.21729999999999999</v>
      </c>
      <c r="R57" s="54">
        <f t="shared" si="21"/>
        <v>-1.2038080483162846E-2</v>
      </c>
      <c r="S57" s="54">
        <f t="shared" si="22"/>
        <v>0</v>
      </c>
      <c r="T57" s="54">
        <f t="shared" si="23"/>
        <v>0</v>
      </c>
      <c r="U57" s="55">
        <f t="shared" si="24"/>
        <v>2.5999999999999912E-3</v>
      </c>
      <c r="V57" s="56">
        <f t="shared" si="25"/>
        <v>2.5999999999999912E-3</v>
      </c>
    </row>
    <row r="58" spans="1:22">
      <c r="A58" s="167">
        <v>50</v>
      </c>
      <c r="B58" s="168" t="s">
        <v>304</v>
      </c>
      <c r="C58" s="169" t="s">
        <v>303</v>
      </c>
      <c r="D58" s="45">
        <v>630767022.82000005</v>
      </c>
      <c r="E58" s="28">
        <f t="shared" si="37"/>
        <v>1.8782957102038596E-4</v>
      </c>
      <c r="F58" s="29">
        <v>1</v>
      </c>
      <c r="G58" s="29">
        <v>1</v>
      </c>
      <c r="H58" s="30">
        <v>583</v>
      </c>
      <c r="I58" s="48">
        <v>0.17230000000000001</v>
      </c>
      <c r="J58" s="48">
        <v>0.17230000000000001</v>
      </c>
      <c r="K58" s="45">
        <v>650577175</v>
      </c>
      <c r="L58" s="28">
        <f t="shared" si="38"/>
        <v>1.9372863081774602E-4</v>
      </c>
      <c r="M58" s="29">
        <v>1</v>
      </c>
      <c r="N58" s="29">
        <v>1</v>
      </c>
      <c r="O58" s="30">
        <v>623</v>
      </c>
      <c r="P58" s="48">
        <v>0.17219999999999999</v>
      </c>
      <c r="Q58" s="48">
        <v>0.17219999999999999</v>
      </c>
      <c r="R58" s="54">
        <f t="shared" si="21"/>
        <v>3.1406448757314166E-2</v>
      </c>
      <c r="S58" s="54">
        <f t="shared" si="22"/>
        <v>0</v>
      </c>
      <c r="T58" s="54">
        <f t="shared" si="23"/>
        <v>6.86106346483705E-2</v>
      </c>
      <c r="U58" s="55">
        <f t="shared" si="24"/>
        <v>-1.0000000000001674E-4</v>
      </c>
      <c r="V58" s="56">
        <f t="shared" si="25"/>
        <v>-1.0000000000001674E-4</v>
      </c>
    </row>
    <row r="59" spans="1:22">
      <c r="A59" s="167">
        <v>51</v>
      </c>
      <c r="B59" s="168" t="s">
        <v>93</v>
      </c>
      <c r="C59" s="169" t="s">
        <v>94</v>
      </c>
      <c r="D59" s="45">
        <v>12754599802.3829</v>
      </c>
      <c r="E59" s="28">
        <f t="shared" si="37"/>
        <v>3.798060017005566E-3</v>
      </c>
      <c r="F59" s="29">
        <v>100</v>
      </c>
      <c r="G59" s="29">
        <v>100</v>
      </c>
      <c r="H59" s="30">
        <v>130</v>
      </c>
      <c r="I59" s="48">
        <v>0.20280000000000001</v>
      </c>
      <c r="J59" s="48">
        <v>0.20280000000000001</v>
      </c>
      <c r="K59" s="45">
        <v>13225220035.1628</v>
      </c>
      <c r="L59" s="28">
        <f t="shared" si="38"/>
        <v>3.9382011360535544E-3</v>
      </c>
      <c r="M59" s="29">
        <v>100</v>
      </c>
      <c r="N59" s="29">
        <v>100</v>
      </c>
      <c r="O59" s="30">
        <v>130</v>
      </c>
      <c r="P59" s="48">
        <v>0.20219999999999999</v>
      </c>
      <c r="Q59" s="48">
        <v>0.20219999999999999</v>
      </c>
      <c r="R59" s="54">
        <f t="shared" si="21"/>
        <v>3.689807913000729E-2</v>
      </c>
      <c r="S59" s="54">
        <f t="shared" si="22"/>
        <v>0</v>
      </c>
      <c r="T59" s="54">
        <f t="shared" si="23"/>
        <v>0</v>
      </c>
      <c r="U59" s="55">
        <f t="shared" si="24"/>
        <v>-6.0000000000001719E-4</v>
      </c>
      <c r="V59" s="56">
        <f t="shared" si="25"/>
        <v>-6.0000000000001719E-4</v>
      </c>
    </row>
    <row r="60" spans="1:22">
      <c r="A60" s="167">
        <v>52</v>
      </c>
      <c r="B60" s="168" t="s">
        <v>95</v>
      </c>
      <c r="C60" s="169" t="s">
        <v>96</v>
      </c>
      <c r="D60" s="45">
        <v>73092493.150816649</v>
      </c>
      <c r="E60" s="28">
        <f t="shared" si="37"/>
        <v>2.1765455606651411E-5</v>
      </c>
      <c r="F60" s="29">
        <v>1000</v>
      </c>
      <c r="G60" s="29">
        <v>1000</v>
      </c>
      <c r="H60" s="30">
        <v>23</v>
      </c>
      <c r="I60" s="48">
        <v>0.18859999999999999</v>
      </c>
      <c r="J60" s="48">
        <v>0.18859999999999999</v>
      </c>
      <c r="K60" s="45">
        <v>73364903.370816648</v>
      </c>
      <c r="L60" s="28">
        <f t="shared" si="38"/>
        <v>2.1846573821321887E-5</v>
      </c>
      <c r="M60" s="29">
        <v>1000</v>
      </c>
      <c r="N60" s="29">
        <v>1000</v>
      </c>
      <c r="O60" s="30">
        <v>23</v>
      </c>
      <c r="P60" s="48">
        <v>0.18890000000000001</v>
      </c>
      <c r="Q60" s="48">
        <v>0.18890000000000001</v>
      </c>
      <c r="R60" s="54">
        <f t="shared" si="21"/>
        <v>3.7269247258800778E-3</v>
      </c>
      <c r="S60" s="54">
        <f t="shared" si="22"/>
        <v>0</v>
      </c>
      <c r="T60" s="54">
        <f t="shared" si="23"/>
        <v>0</v>
      </c>
      <c r="U60" s="55">
        <f t="shared" si="24"/>
        <v>3.0000000000002247E-4</v>
      </c>
      <c r="V60" s="56">
        <f t="shared" si="25"/>
        <v>3.0000000000002247E-4</v>
      </c>
    </row>
    <row r="61" spans="1:22">
      <c r="A61" s="167">
        <v>53</v>
      </c>
      <c r="B61" s="168" t="s">
        <v>97</v>
      </c>
      <c r="C61" s="169" t="s">
        <v>49</v>
      </c>
      <c r="D61" s="42">
        <v>1605001339620.49</v>
      </c>
      <c r="E61" s="28">
        <f t="shared" si="37"/>
        <v>0.47793670594933751</v>
      </c>
      <c r="F61" s="29">
        <v>100</v>
      </c>
      <c r="G61" s="29">
        <v>100</v>
      </c>
      <c r="H61" s="30">
        <v>197511</v>
      </c>
      <c r="I61" s="48">
        <v>0.20119999999999999</v>
      </c>
      <c r="J61" s="48">
        <v>0.20119999999999999</v>
      </c>
      <c r="K61" s="42">
        <v>1628338441430.2</v>
      </c>
      <c r="L61" s="28">
        <f t="shared" si="38"/>
        <v>0.48488601950441179</v>
      </c>
      <c r="M61" s="29">
        <v>100</v>
      </c>
      <c r="N61" s="29">
        <v>100</v>
      </c>
      <c r="O61" s="30">
        <v>199591</v>
      </c>
      <c r="P61" s="48">
        <v>0.20130000000000001</v>
      </c>
      <c r="Q61" s="48">
        <v>0.20130000000000001</v>
      </c>
      <c r="R61" s="54">
        <f t="shared" si="21"/>
        <v>1.4540238212653534E-2</v>
      </c>
      <c r="S61" s="54">
        <f t="shared" si="22"/>
        <v>0</v>
      </c>
      <c r="T61" s="54">
        <f t="shared" si="23"/>
        <v>1.0531059029623667E-2</v>
      </c>
      <c r="U61" s="55">
        <f t="shared" si="24"/>
        <v>1.0000000000001674E-4</v>
      </c>
      <c r="V61" s="56">
        <f t="shared" si="25"/>
        <v>1.0000000000001674E-4</v>
      </c>
    </row>
    <row r="62" spans="1:22">
      <c r="A62" s="167">
        <v>54</v>
      </c>
      <c r="B62" s="168" t="s">
        <v>98</v>
      </c>
      <c r="C62" s="168" t="s">
        <v>99</v>
      </c>
      <c r="D62" s="42">
        <v>4879866023.8599997</v>
      </c>
      <c r="E62" s="28">
        <f t="shared" si="37"/>
        <v>1.4531247017334048E-3</v>
      </c>
      <c r="F62" s="29">
        <v>100</v>
      </c>
      <c r="G62" s="29">
        <v>100</v>
      </c>
      <c r="H62" s="30">
        <v>680</v>
      </c>
      <c r="I62" s="48">
        <v>0.20849999999999999</v>
      </c>
      <c r="J62" s="48">
        <v>0.20849999999999999</v>
      </c>
      <c r="K62" s="42">
        <v>4925953999.1000004</v>
      </c>
      <c r="L62" s="28">
        <f t="shared" si="38"/>
        <v>1.4668487619733102E-3</v>
      </c>
      <c r="M62" s="29">
        <v>100</v>
      </c>
      <c r="N62" s="29">
        <v>100</v>
      </c>
      <c r="O62" s="30">
        <v>688</v>
      </c>
      <c r="P62" s="48">
        <v>0.20699999999999999</v>
      </c>
      <c r="Q62" s="48">
        <v>0.20699999999999999</v>
      </c>
      <c r="R62" s="54">
        <f t="shared" si="21"/>
        <v>9.4445165122678705E-3</v>
      </c>
      <c r="S62" s="54">
        <f t="shared" si="22"/>
        <v>0</v>
      </c>
      <c r="T62" s="54">
        <f t="shared" si="23"/>
        <v>1.1764705882352941E-2</v>
      </c>
      <c r="U62" s="55">
        <f t="shared" si="24"/>
        <v>-1.5000000000000013E-3</v>
      </c>
      <c r="V62" s="56">
        <f t="shared" si="25"/>
        <v>-1.5000000000000013E-3</v>
      </c>
    </row>
    <row r="63" spans="1:22">
      <c r="A63" s="167">
        <v>55</v>
      </c>
      <c r="B63" s="168" t="s">
        <v>100</v>
      </c>
      <c r="C63" s="169" t="s">
        <v>101</v>
      </c>
      <c r="D63" s="42">
        <v>5093219334.6999998</v>
      </c>
      <c r="E63" s="28">
        <f t="shared" si="37"/>
        <v>1.5166569718126097E-3</v>
      </c>
      <c r="F63" s="29">
        <v>1</v>
      </c>
      <c r="G63" s="29">
        <v>1</v>
      </c>
      <c r="H63" s="30">
        <v>510</v>
      </c>
      <c r="I63" s="48">
        <v>0.20267399999999999</v>
      </c>
      <c r="J63" s="48">
        <v>0.20267399999999999</v>
      </c>
      <c r="K63" s="42">
        <v>5058422679.4200001</v>
      </c>
      <c r="L63" s="28">
        <f t="shared" si="38"/>
        <v>1.5062952366588496E-3</v>
      </c>
      <c r="M63" s="29">
        <v>1</v>
      </c>
      <c r="N63" s="29">
        <v>1</v>
      </c>
      <c r="O63" s="30">
        <v>506</v>
      </c>
      <c r="P63" s="48">
        <v>0.202491</v>
      </c>
      <c r="Q63" s="48">
        <v>0.202491</v>
      </c>
      <c r="R63" s="54">
        <f t="shared" si="21"/>
        <v>-6.8319569595070894E-3</v>
      </c>
      <c r="S63" s="54">
        <f t="shared" si="22"/>
        <v>0</v>
      </c>
      <c r="T63" s="54">
        <f t="shared" si="23"/>
        <v>-7.8431372549019607E-3</v>
      </c>
      <c r="U63" s="55">
        <f t="shared" si="24"/>
        <v>-1.8299999999998873E-4</v>
      </c>
      <c r="V63" s="56">
        <f t="shared" si="25"/>
        <v>-1.8299999999998873E-4</v>
      </c>
    </row>
    <row r="64" spans="1:22">
      <c r="A64" s="167">
        <v>56</v>
      </c>
      <c r="B64" s="168" t="s">
        <v>102</v>
      </c>
      <c r="C64" s="169" t="s">
        <v>52</v>
      </c>
      <c r="D64" s="42">
        <v>149698272297.98001</v>
      </c>
      <c r="E64" s="28">
        <f t="shared" si="37"/>
        <v>4.4577096219322147E-2</v>
      </c>
      <c r="F64" s="29">
        <v>1</v>
      </c>
      <c r="G64" s="29">
        <v>1</v>
      </c>
      <c r="H64" s="30">
        <v>61691</v>
      </c>
      <c r="I64" s="48">
        <v>0.1925</v>
      </c>
      <c r="J64" s="48">
        <v>0.1925</v>
      </c>
      <c r="K64" s="42">
        <v>149698272297.98001</v>
      </c>
      <c r="L64" s="28">
        <f t="shared" si="38"/>
        <v>4.4577096219322147E-2</v>
      </c>
      <c r="M64" s="29">
        <v>1</v>
      </c>
      <c r="N64" s="29">
        <v>1</v>
      </c>
      <c r="O64" s="30">
        <v>61691</v>
      </c>
      <c r="P64" s="48">
        <v>0.1925</v>
      </c>
      <c r="Q64" s="48">
        <v>0.1925</v>
      </c>
      <c r="R64" s="54">
        <f t="shared" si="21"/>
        <v>0</v>
      </c>
      <c r="S64" s="54">
        <f t="shared" si="22"/>
        <v>0</v>
      </c>
      <c r="T64" s="54">
        <f t="shared" si="23"/>
        <v>0</v>
      </c>
      <c r="U64" s="55">
        <f t="shared" si="24"/>
        <v>0</v>
      </c>
      <c r="V64" s="56">
        <f t="shared" si="25"/>
        <v>0</v>
      </c>
    </row>
    <row r="65" spans="1:22">
      <c r="A65" s="167">
        <v>57</v>
      </c>
      <c r="B65" s="168" t="s">
        <v>311</v>
      </c>
      <c r="C65" s="169" t="s">
        <v>103</v>
      </c>
      <c r="D65" s="42">
        <v>1604760981.21</v>
      </c>
      <c r="E65" s="28">
        <f t="shared" si="37"/>
        <v>4.778651321106615E-4</v>
      </c>
      <c r="F65" s="29">
        <v>1</v>
      </c>
      <c r="G65" s="29">
        <v>1</v>
      </c>
      <c r="H65" s="30">
        <v>169</v>
      </c>
      <c r="I65" s="48">
        <v>0.193</v>
      </c>
      <c r="J65" s="48">
        <v>0.193</v>
      </c>
      <c r="K65" s="42">
        <v>1606213198.3399999</v>
      </c>
      <c r="L65" s="28">
        <f t="shared" si="38"/>
        <v>4.7829757279111568E-4</v>
      </c>
      <c r="M65" s="29">
        <v>1</v>
      </c>
      <c r="N65" s="29">
        <v>1</v>
      </c>
      <c r="O65" s="30">
        <v>157</v>
      </c>
      <c r="P65" s="48">
        <v>0.19839999999999999</v>
      </c>
      <c r="Q65" s="48">
        <v>0.19839999999999999</v>
      </c>
      <c r="R65" s="54">
        <f t="shared" si="21"/>
        <v>9.0494294602358482E-4</v>
      </c>
      <c r="S65" s="54">
        <f t="shared" si="22"/>
        <v>0</v>
      </c>
      <c r="T65" s="54">
        <f t="shared" si="23"/>
        <v>-7.1005917159763315E-2</v>
      </c>
      <c r="U65" s="55">
        <f t="shared" si="24"/>
        <v>5.3999999999999881E-3</v>
      </c>
      <c r="V65" s="56">
        <f t="shared" si="25"/>
        <v>5.3999999999999881E-3</v>
      </c>
    </row>
    <row r="66" spans="1:22">
      <c r="A66" s="167">
        <v>58</v>
      </c>
      <c r="B66" s="168" t="s">
        <v>104</v>
      </c>
      <c r="C66" s="169" t="s">
        <v>105</v>
      </c>
      <c r="D66" s="42">
        <v>5416732927.6800003</v>
      </c>
      <c r="E66" s="28">
        <f t="shared" si="37"/>
        <v>1.6129927300090835E-3</v>
      </c>
      <c r="F66" s="29">
        <v>1</v>
      </c>
      <c r="G66" s="29">
        <v>1</v>
      </c>
      <c r="H66" s="30">
        <v>452</v>
      </c>
      <c r="I66" s="48">
        <v>0.2039</v>
      </c>
      <c r="J66" s="48">
        <v>0.2039</v>
      </c>
      <c r="K66" s="42">
        <v>5558398592.5799999</v>
      </c>
      <c r="L66" s="28">
        <f t="shared" si="38"/>
        <v>1.6551778793650574E-3</v>
      </c>
      <c r="M66" s="29">
        <v>1</v>
      </c>
      <c r="N66" s="29">
        <v>1</v>
      </c>
      <c r="O66" s="30">
        <v>466</v>
      </c>
      <c r="P66" s="48">
        <v>0.1971</v>
      </c>
      <c r="Q66" s="48">
        <v>0.1971</v>
      </c>
      <c r="R66" s="54">
        <f t="shared" si="21"/>
        <v>2.6153341283649989E-2</v>
      </c>
      <c r="S66" s="54">
        <f t="shared" si="22"/>
        <v>0</v>
      </c>
      <c r="T66" s="54">
        <f t="shared" si="23"/>
        <v>3.0973451327433628E-2</v>
      </c>
      <c r="U66" s="55">
        <f t="shared" si="24"/>
        <v>-6.8000000000000005E-3</v>
      </c>
      <c r="V66" s="56">
        <f t="shared" si="25"/>
        <v>-6.8000000000000005E-3</v>
      </c>
    </row>
    <row r="67" spans="1:22">
      <c r="A67" s="167">
        <v>59</v>
      </c>
      <c r="B67" s="168" t="s">
        <v>106</v>
      </c>
      <c r="C67" s="169" t="s">
        <v>107</v>
      </c>
      <c r="D67" s="42">
        <v>6127700119.8599997</v>
      </c>
      <c r="E67" s="28">
        <f t="shared" si="37"/>
        <v>1.824704277831782E-3</v>
      </c>
      <c r="F67" s="29">
        <v>1</v>
      </c>
      <c r="G67" s="29">
        <v>1</v>
      </c>
      <c r="H67" s="30">
        <v>3904</v>
      </c>
      <c r="I67" s="48">
        <v>0.21959999999999999</v>
      </c>
      <c r="J67" s="48">
        <v>0.21959999999999999</v>
      </c>
      <c r="K67" s="42">
        <v>6263962216.04</v>
      </c>
      <c r="L67" s="28">
        <f t="shared" si="38"/>
        <v>1.8652803544906464E-3</v>
      </c>
      <c r="M67" s="29">
        <v>1</v>
      </c>
      <c r="N67" s="29">
        <v>1</v>
      </c>
      <c r="O67" s="30">
        <v>3982</v>
      </c>
      <c r="P67" s="48">
        <v>0.21740000000000001</v>
      </c>
      <c r="Q67" s="48">
        <v>0.21740000000000001</v>
      </c>
      <c r="R67" s="54">
        <f t="shared" si="21"/>
        <v>2.2237069947070698E-2</v>
      </c>
      <c r="S67" s="54">
        <f t="shared" si="22"/>
        <v>0</v>
      </c>
      <c r="T67" s="54">
        <f t="shared" si="23"/>
        <v>1.9979508196721313E-2</v>
      </c>
      <c r="U67" s="55">
        <f t="shared" si="24"/>
        <v>-2.1999999999999797E-3</v>
      </c>
      <c r="V67" s="56">
        <f t="shared" si="25"/>
        <v>-2.1999999999999797E-3</v>
      </c>
    </row>
    <row r="68" spans="1:22">
      <c r="A68" s="167">
        <v>60</v>
      </c>
      <c r="B68" s="168" t="s">
        <v>108</v>
      </c>
      <c r="C68" s="169" t="s">
        <v>109</v>
      </c>
      <c r="D68" s="42">
        <v>101088121405.24001</v>
      </c>
      <c r="E68" s="28">
        <f t="shared" si="37"/>
        <v>3.0101983445354086E-2</v>
      </c>
      <c r="F68" s="29">
        <v>1</v>
      </c>
      <c r="G68" s="29">
        <v>1</v>
      </c>
      <c r="H68" s="30">
        <v>5810</v>
      </c>
      <c r="I68" s="48">
        <v>0.2024</v>
      </c>
      <c r="J68" s="48">
        <v>0.2024</v>
      </c>
      <c r="K68" s="42">
        <v>108340585649.39</v>
      </c>
      <c r="L68" s="28">
        <f t="shared" si="38"/>
        <v>3.2261619568576268E-2</v>
      </c>
      <c r="M68" s="29">
        <v>1</v>
      </c>
      <c r="N68" s="29">
        <v>1</v>
      </c>
      <c r="O68" s="30">
        <v>5853</v>
      </c>
      <c r="P68" s="48">
        <v>0.2014</v>
      </c>
      <c r="Q68" s="48">
        <v>0.2014</v>
      </c>
      <c r="R68" s="54">
        <f t="shared" si="21"/>
        <v>7.1743980829126919E-2</v>
      </c>
      <c r="S68" s="54">
        <f t="shared" si="22"/>
        <v>0</v>
      </c>
      <c r="T68" s="54">
        <f t="shared" si="23"/>
        <v>7.4010327022375217E-3</v>
      </c>
      <c r="U68" s="55">
        <f t="shared" si="24"/>
        <v>-1.0000000000000009E-3</v>
      </c>
      <c r="V68" s="56">
        <f t="shared" si="25"/>
        <v>-1.0000000000000009E-3</v>
      </c>
    </row>
    <row r="69" spans="1:22">
      <c r="A69" s="34"/>
      <c r="B69" s="35"/>
      <c r="C69" s="36" t="s">
        <v>53</v>
      </c>
      <c r="D69" s="46">
        <f>SUM(D28:D68)</f>
        <v>3306800238955.9248</v>
      </c>
      <c r="E69" s="38">
        <f>(D69/$D$222)</f>
        <v>0.55030573406207306</v>
      </c>
      <c r="F69" s="39"/>
      <c r="G69" s="43"/>
      <c r="H69" s="41">
        <f>SUM(H28:H68)</f>
        <v>457893</v>
      </c>
      <c r="I69" s="53"/>
      <c r="J69" s="53"/>
      <c r="K69" s="46">
        <f>SUM(K28:K68)</f>
        <v>3358188060555.9185</v>
      </c>
      <c r="L69" s="38">
        <f>(K69/$K$222)</f>
        <v>0.55233035752373294</v>
      </c>
      <c r="M69" s="39"/>
      <c r="N69" s="43"/>
      <c r="O69" s="41">
        <f>SUM(O28:O68)</f>
        <v>461281</v>
      </c>
      <c r="P69" s="53"/>
      <c r="Q69" s="53"/>
      <c r="R69" s="54">
        <f t="shared" si="21"/>
        <v>1.5540044117154966E-2</v>
      </c>
      <c r="S69" s="54" t="e">
        <f t="shared" si="22"/>
        <v>#DIV/0!</v>
      </c>
      <c r="T69" s="54">
        <f t="shared" si="23"/>
        <v>7.3991085253541766E-3</v>
      </c>
      <c r="U69" s="55">
        <f t="shared" si="24"/>
        <v>0</v>
      </c>
      <c r="V69" s="56">
        <f t="shared" si="25"/>
        <v>0</v>
      </c>
    </row>
    <row r="70" spans="1:22" ht="3" customHeight="1">
      <c r="A70" s="34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</row>
    <row r="71" spans="1:22" ht="15" customHeight="1">
      <c r="A71" s="179" t="s">
        <v>110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</row>
    <row r="72" spans="1:22">
      <c r="A72" s="167">
        <v>61</v>
      </c>
      <c r="B72" s="168" t="s">
        <v>111</v>
      </c>
      <c r="C72" s="169" t="s">
        <v>21</v>
      </c>
      <c r="D72" s="27">
        <v>580186803.11000001</v>
      </c>
      <c r="E72" s="28">
        <f>(D72/$D$110)</f>
        <v>2.6724758218248405E-3</v>
      </c>
      <c r="F72" s="58">
        <v>1.5918000000000001</v>
      </c>
      <c r="G72" s="58">
        <v>1.5918000000000001</v>
      </c>
      <c r="H72" s="30">
        <v>478</v>
      </c>
      <c r="I72" s="48">
        <v>3.7200000000000002E-3</v>
      </c>
      <c r="J72" s="48">
        <v>0.221</v>
      </c>
      <c r="K72" s="27">
        <v>586360100.48000002</v>
      </c>
      <c r="L72" s="28">
        <f t="shared" ref="L72:L94" si="39">(K72/$K$110)</f>
        <v>2.6967158388758374E-3</v>
      </c>
      <c r="M72" s="58">
        <v>1.6021000000000001</v>
      </c>
      <c r="N72" s="58">
        <v>1.6021000000000001</v>
      </c>
      <c r="O72" s="30">
        <v>482</v>
      </c>
      <c r="P72" s="48">
        <v>2.9420000000000002E-3</v>
      </c>
      <c r="Q72" s="48">
        <v>0.22889999999999999</v>
      </c>
      <c r="R72" s="54">
        <f>((K72-D72)/D72)</f>
        <v>1.0640189223382911E-2</v>
      </c>
      <c r="S72" s="54">
        <f>((N72-G72)/G72)</f>
        <v>6.4706621434853472E-3</v>
      </c>
      <c r="T72" s="54">
        <f>((O72-H72)/H72)</f>
        <v>8.368200836820083E-3</v>
      </c>
      <c r="U72" s="55">
        <f>P72-I72</f>
        <v>-7.7800000000000005E-4</v>
      </c>
      <c r="V72" s="56">
        <f>Q72-J72</f>
        <v>7.8999999999999904E-3</v>
      </c>
    </row>
    <row r="73" spans="1:22">
      <c r="A73" s="167">
        <v>62</v>
      </c>
      <c r="B73" s="168" t="s">
        <v>112</v>
      </c>
      <c r="C73" s="169" t="s">
        <v>23</v>
      </c>
      <c r="D73" s="27">
        <v>1310100968.21</v>
      </c>
      <c r="E73" s="28">
        <f>(D73/$D$110)</f>
        <v>6.0346308170451946E-3</v>
      </c>
      <c r="F73" s="58">
        <v>1.2984</v>
      </c>
      <c r="G73" s="58">
        <v>1.2984</v>
      </c>
      <c r="H73" s="30">
        <v>1050</v>
      </c>
      <c r="I73" s="48">
        <v>0.47</v>
      </c>
      <c r="J73" s="48">
        <v>0.18859999999999999</v>
      </c>
      <c r="K73" s="27">
        <v>1301124569.8499999</v>
      </c>
      <c r="L73" s="28">
        <f t="shared" si="39"/>
        <v>5.983973385966573E-3</v>
      </c>
      <c r="M73" s="58">
        <v>1.3017000000000001</v>
      </c>
      <c r="N73" s="58">
        <v>1.3017000000000001</v>
      </c>
      <c r="O73" s="30">
        <v>1063</v>
      </c>
      <c r="P73" s="48">
        <v>0.13250000000000001</v>
      </c>
      <c r="Q73" s="48">
        <v>0.18709999999999999</v>
      </c>
      <c r="R73" s="54">
        <f t="shared" ref="R73:R110" si="40">((K73-D73)/D73)</f>
        <v>-6.851684395184173E-3</v>
      </c>
      <c r="S73" s="54">
        <f t="shared" ref="S73:S110" si="41">((N73-G73)/G73)</f>
        <v>2.5415896487985833E-3</v>
      </c>
      <c r="T73" s="54">
        <f t="shared" ref="T73:T110" si="42">((O73-H73)/H73)</f>
        <v>1.2380952380952381E-2</v>
      </c>
      <c r="U73" s="55">
        <f t="shared" ref="U73:U110" si="43">P73-I73</f>
        <v>-0.33749999999999997</v>
      </c>
      <c r="V73" s="56">
        <f t="shared" ref="V73:V110" si="44">Q73-J73</f>
        <v>-1.5000000000000013E-3</v>
      </c>
    </row>
    <row r="74" spans="1:22">
      <c r="A74" s="167">
        <v>63</v>
      </c>
      <c r="B74" s="168" t="s">
        <v>113</v>
      </c>
      <c r="C74" s="169" t="s">
        <v>23</v>
      </c>
      <c r="D74" s="27">
        <v>791948187.11000001</v>
      </c>
      <c r="E74" s="28">
        <f>(D74/$D$110)</f>
        <v>3.6478981783875921E-3</v>
      </c>
      <c r="F74" s="58">
        <v>1.1428</v>
      </c>
      <c r="G74" s="58">
        <v>1.1428</v>
      </c>
      <c r="H74" s="30">
        <v>382</v>
      </c>
      <c r="I74" s="48">
        <v>0.1235</v>
      </c>
      <c r="J74" s="48">
        <v>0.12330000000000001</v>
      </c>
      <c r="K74" s="27">
        <v>793265645.21000004</v>
      </c>
      <c r="L74" s="28">
        <f t="shared" si="39"/>
        <v>3.6482905779617134E-3</v>
      </c>
      <c r="M74" s="58">
        <v>1.1454</v>
      </c>
      <c r="N74" s="58">
        <v>1.1454</v>
      </c>
      <c r="O74" s="30">
        <v>387</v>
      </c>
      <c r="P74" s="48">
        <v>0.1186</v>
      </c>
      <c r="Q74" s="48">
        <v>0.1234</v>
      </c>
      <c r="R74" s="54">
        <f t="shared" si="40"/>
        <v>1.6635660279843932E-3</v>
      </c>
      <c r="S74" s="54">
        <f t="shared" si="41"/>
        <v>2.2751137556877282E-3</v>
      </c>
      <c r="T74" s="54">
        <f t="shared" si="42"/>
        <v>1.3089005235602094E-2</v>
      </c>
      <c r="U74" s="55">
        <f t="shared" si="43"/>
        <v>-4.9000000000000016E-3</v>
      </c>
      <c r="V74" s="56">
        <f t="shared" si="44"/>
        <v>9.9999999999988987E-5</v>
      </c>
    </row>
    <row r="75" spans="1:22">
      <c r="A75" s="167">
        <v>64</v>
      </c>
      <c r="B75" s="168" t="s">
        <v>114</v>
      </c>
      <c r="C75" s="169" t="s">
        <v>115</v>
      </c>
      <c r="D75" s="27">
        <v>301801916.24000001</v>
      </c>
      <c r="E75" s="28">
        <f>(D75/$D$110)</f>
        <v>1.3901700621392571E-3</v>
      </c>
      <c r="F75" s="33">
        <v>1186.98</v>
      </c>
      <c r="G75" s="33">
        <v>1186.98</v>
      </c>
      <c r="H75" s="30">
        <v>109</v>
      </c>
      <c r="I75" s="48">
        <v>1.46E-2</v>
      </c>
      <c r="J75" s="48">
        <v>0.21590000000000001</v>
      </c>
      <c r="K75" s="27">
        <v>304093501.04000002</v>
      </c>
      <c r="L75" s="28">
        <f t="shared" si="39"/>
        <v>1.3985497309289463E-3</v>
      </c>
      <c r="M75" s="33">
        <v>1196.75</v>
      </c>
      <c r="N75" s="33">
        <v>1196.75</v>
      </c>
      <c r="O75" s="30">
        <v>109</v>
      </c>
      <c r="P75" s="48">
        <v>7.4999999999999997E-3</v>
      </c>
      <c r="Q75" s="48">
        <v>0.2235</v>
      </c>
      <c r="R75" s="54">
        <f t="shared" si="40"/>
        <v>7.5930094432458458E-3</v>
      </c>
      <c r="S75" s="54">
        <f t="shared" si="41"/>
        <v>8.2309727206860955E-3</v>
      </c>
      <c r="T75" s="54">
        <f t="shared" si="42"/>
        <v>0</v>
      </c>
      <c r="U75" s="55">
        <f t="shared" si="43"/>
        <v>-7.1000000000000004E-3</v>
      </c>
      <c r="V75" s="56">
        <f t="shared" si="44"/>
        <v>7.5999999999999956E-3</v>
      </c>
    </row>
    <row r="76" spans="1:22" ht="15" customHeight="1">
      <c r="A76" s="167">
        <v>65</v>
      </c>
      <c r="B76" s="168" t="s">
        <v>116</v>
      </c>
      <c r="C76" s="169" t="s">
        <v>27</v>
      </c>
      <c r="D76" s="27">
        <v>1595579904.4100001</v>
      </c>
      <c r="E76" s="28">
        <f>(D76/$K$110)</f>
        <v>7.3381964374658291E-3</v>
      </c>
      <c r="F76" s="33">
        <v>1.0219</v>
      </c>
      <c r="G76" s="33">
        <v>1.0219</v>
      </c>
      <c r="H76" s="30">
        <v>937</v>
      </c>
      <c r="I76" s="48">
        <v>3.2000000000000002E-3</v>
      </c>
      <c r="J76" s="48">
        <v>8.6300000000000002E-2</v>
      </c>
      <c r="K76" s="27">
        <v>1597658425.96</v>
      </c>
      <c r="L76" s="28">
        <f t="shared" si="39"/>
        <v>7.3477557202013717E-3</v>
      </c>
      <c r="M76" s="33">
        <v>1.0253000000000001</v>
      </c>
      <c r="N76" s="33">
        <v>1.0253000000000001</v>
      </c>
      <c r="O76" s="30">
        <v>940</v>
      </c>
      <c r="P76" s="48">
        <v>3.3E-3</v>
      </c>
      <c r="Q76" s="48">
        <v>8.9399999999999993E-2</v>
      </c>
      <c r="R76" s="54">
        <f t="shared" si="40"/>
        <v>1.3026746853950447E-3</v>
      </c>
      <c r="S76" s="54">
        <f t="shared" si="41"/>
        <v>3.3271357275663663E-3</v>
      </c>
      <c r="T76" s="54">
        <f t="shared" si="42"/>
        <v>3.2017075773745998E-3</v>
      </c>
      <c r="U76" s="55">
        <f t="shared" si="43"/>
        <v>9.9999999999999829E-5</v>
      </c>
      <c r="V76" s="56">
        <f t="shared" si="44"/>
        <v>3.0999999999999917E-3</v>
      </c>
    </row>
    <row r="77" spans="1:22">
      <c r="A77" s="167">
        <v>66</v>
      </c>
      <c r="B77" s="168" t="s">
        <v>117</v>
      </c>
      <c r="C77" s="169" t="s">
        <v>118</v>
      </c>
      <c r="D77" s="27">
        <v>461877306.27648622</v>
      </c>
      <c r="E77" s="28">
        <f t="shared" ref="E77:E94" si="45">(D77/$D$110)</f>
        <v>2.127514667787901E-3</v>
      </c>
      <c r="F77" s="33">
        <v>2.6482999999999999</v>
      </c>
      <c r="G77" s="33">
        <v>2.6482999999999999</v>
      </c>
      <c r="H77" s="30">
        <v>1391</v>
      </c>
      <c r="I77" s="48">
        <v>0.14610000000000001</v>
      </c>
      <c r="J77" s="48">
        <v>0.1431</v>
      </c>
      <c r="K77" s="27">
        <v>463168278.96805316</v>
      </c>
      <c r="L77" s="28">
        <f t="shared" si="39"/>
        <v>2.13014704263735E-3</v>
      </c>
      <c r="M77" s="33">
        <v>2.6556999999999999</v>
      </c>
      <c r="N77" s="33">
        <v>2.6556999999999999</v>
      </c>
      <c r="O77" s="30">
        <v>1391</v>
      </c>
      <c r="P77" s="48">
        <v>0.1457</v>
      </c>
      <c r="Q77" s="48">
        <v>0.14360000000000001</v>
      </c>
      <c r="R77" s="54">
        <f t="shared" si="40"/>
        <v>2.7950554704113343E-3</v>
      </c>
      <c r="S77" s="54">
        <f t="shared" si="41"/>
        <v>2.7942453649511287E-3</v>
      </c>
      <c r="T77" s="54">
        <f t="shared" si="42"/>
        <v>0</v>
      </c>
      <c r="U77" s="55">
        <f t="shared" si="43"/>
        <v>-4.0000000000001146E-4</v>
      </c>
      <c r="V77" s="56">
        <f t="shared" si="44"/>
        <v>5.0000000000000044E-4</v>
      </c>
    </row>
    <row r="78" spans="1:22">
      <c r="A78" s="167">
        <v>67</v>
      </c>
      <c r="B78" s="168" t="s">
        <v>119</v>
      </c>
      <c r="C78" s="169" t="s">
        <v>63</v>
      </c>
      <c r="D78" s="27">
        <v>166235308.53999999</v>
      </c>
      <c r="E78" s="28">
        <f t="shared" si="45"/>
        <v>7.6571862790631817E-4</v>
      </c>
      <c r="F78" s="33">
        <v>11.58</v>
      </c>
      <c r="G78" s="33">
        <v>11.62</v>
      </c>
      <c r="H78" s="30">
        <v>30</v>
      </c>
      <c r="I78" s="48">
        <v>0.16089999999999999</v>
      </c>
      <c r="J78" s="48">
        <v>0.35599999999999998</v>
      </c>
      <c r="K78" s="27">
        <v>169666717.44</v>
      </c>
      <c r="L78" s="28">
        <f t="shared" si="39"/>
        <v>7.8031046770742117E-4</v>
      </c>
      <c r="M78" s="33">
        <v>11.77</v>
      </c>
      <c r="N78" s="33">
        <v>11.81</v>
      </c>
      <c r="O78" s="30">
        <v>30</v>
      </c>
      <c r="P78" s="48">
        <v>0.17399999999999999</v>
      </c>
      <c r="Q78" s="48">
        <v>0.35</v>
      </c>
      <c r="R78" s="54">
        <f t="shared" si="40"/>
        <v>2.064187765004407E-2</v>
      </c>
      <c r="S78" s="54">
        <f t="shared" si="41"/>
        <v>1.6351118760757427E-2</v>
      </c>
      <c r="T78" s="54">
        <f t="shared" si="42"/>
        <v>0</v>
      </c>
      <c r="U78" s="55">
        <f t="shared" si="43"/>
        <v>1.3100000000000001E-2</v>
      </c>
      <c r="V78" s="56">
        <f t="shared" si="44"/>
        <v>-6.0000000000000053E-3</v>
      </c>
    </row>
    <row r="79" spans="1:22">
      <c r="A79" s="167">
        <v>68</v>
      </c>
      <c r="B79" s="168" t="s">
        <v>120</v>
      </c>
      <c r="C79" s="169" t="s">
        <v>65</v>
      </c>
      <c r="D79" s="27">
        <v>1711756363.6821799</v>
      </c>
      <c r="E79" s="28">
        <f t="shared" si="45"/>
        <v>7.8847493087982421E-3</v>
      </c>
      <c r="F79" s="27">
        <v>4658.1713339996104</v>
      </c>
      <c r="G79" s="27">
        <v>4658.1713339996104</v>
      </c>
      <c r="H79" s="30">
        <v>1122</v>
      </c>
      <c r="I79" s="48">
        <v>0.10042179775937979</v>
      </c>
      <c r="J79" s="48">
        <v>0.11875993170383171</v>
      </c>
      <c r="K79" s="27">
        <v>1789232636.5381801</v>
      </c>
      <c r="L79" s="28">
        <f t="shared" si="39"/>
        <v>8.2288204576611724E-3</v>
      </c>
      <c r="M79" s="27">
        <v>4666.6951330351403</v>
      </c>
      <c r="N79" s="27">
        <v>4666.6951330351403</v>
      </c>
      <c r="O79" s="30">
        <v>1125</v>
      </c>
      <c r="P79" s="48">
        <v>9.5414102134890946E-2</v>
      </c>
      <c r="Q79" s="48">
        <v>0.11814839139626034</v>
      </c>
      <c r="R79" s="54">
        <f t="shared" si="40"/>
        <v>4.5261273449768304E-2</v>
      </c>
      <c r="S79" s="54">
        <f t="shared" si="41"/>
        <v>1.8298594929979086E-3</v>
      </c>
      <c r="T79" s="54">
        <f t="shared" si="42"/>
        <v>2.6737967914438501E-3</v>
      </c>
      <c r="U79" s="55">
        <f t="shared" si="43"/>
        <v>-5.0076956244888421E-3</v>
      </c>
      <c r="V79" s="56">
        <f t="shared" si="44"/>
        <v>-6.1154030757137878E-4</v>
      </c>
    </row>
    <row r="80" spans="1:22">
      <c r="A80" s="167">
        <v>69</v>
      </c>
      <c r="B80" s="168" t="s">
        <v>121</v>
      </c>
      <c r="C80" s="169" t="s">
        <v>67</v>
      </c>
      <c r="D80" s="27">
        <v>344529396.47000003</v>
      </c>
      <c r="E80" s="28">
        <f t="shared" si="45"/>
        <v>1.5869828080171129E-3</v>
      </c>
      <c r="F80" s="58">
        <v>112.24</v>
      </c>
      <c r="G80" s="58">
        <v>112.24</v>
      </c>
      <c r="H80" s="30">
        <v>91</v>
      </c>
      <c r="I80" s="48">
        <v>2.3999999999999998E-3</v>
      </c>
      <c r="J80" s="48">
        <v>0.1242</v>
      </c>
      <c r="K80" s="27">
        <v>345416574.00999999</v>
      </c>
      <c r="L80" s="28">
        <f t="shared" si="39"/>
        <v>1.5885977667656241E-3</v>
      </c>
      <c r="M80" s="58">
        <v>112.5</v>
      </c>
      <c r="N80" s="58">
        <v>112.5</v>
      </c>
      <c r="O80" s="30">
        <v>91</v>
      </c>
      <c r="P80" s="48">
        <v>2.3E-3</v>
      </c>
      <c r="Q80" s="48">
        <v>0.1242</v>
      </c>
      <c r="R80" s="54">
        <f t="shared" si="40"/>
        <v>2.5750416338630572E-3</v>
      </c>
      <c r="S80" s="54">
        <f t="shared" si="41"/>
        <v>2.3164647184604876E-3</v>
      </c>
      <c r="T80" s="54">
        <f t="shared" si="42"/>
        <v>0</v>
      </c>
      <c r="U80" s="55">
        <f t="shared" si="43"/>
        <v>-9.9999999999999829E-5</v>
      </c>
      <c r="V80" s="56">
        <f t="shared" si="44"/>
        <v>0</v>
      </c>
    </row>
    <row r="81" spans="1:22" ht="13.5" customHeight="1">
      <c r="A81" s="167">
        <v>70</v>
      </c>
      <c r="B81" s="168" t="s">
        <v>122</v>
      </c>
      <c r="C81" s="169" t="s">
        <v>296</v>
      </c>
      <c r="D81" s="27">
        <v>400407293.02999997</v>
      </c>
      <c r="E81" s="28">
        <f t="shared" si="45"/>
        <v>1.8443694406164012E-3</v>
      </c>
      <c r="F81" s="58">
        <v>1.8492999999999999</v>
      </c>
      <c r="G81" s="58">
        <v>1.8683000000000001</v>
      </c>
      <c r="H81" s="30">
        <v>471</v>
      </c>
      <c r="I81" s="48">
        <v>1.267089029676649E-3</v>
      </c>
      <c r="J81" s="48">
        <v>0.14056878556773056</v>
      </c>
      <c r="K81" s="27">
        <v>409222572.5</v>
      </c>
      <c r="L81" s="28">
        <f t="shared" si="39"/>
        <v>1.882046530763064E-3</v>
      </c>
      <c r="M81" s="58">
        <v>1.5203</v>
      </c>
      <c r="N81" s="58">
        <v>1.5203</v>
      </c>
      <c r="O81" s="30">
        <v>482</v>
      </c>
      <c r="P81" s="48">
        <v>1.2588250965765324E-2</v>
      </c>
      <c r="Q81" s="48">
        <v>0.15436944274188169</v>
      </c>
      <c r="R81" s="54">
        <f t="shared" si="40"/>
        <v>2.2015781489123764E-2</v>
      </c>
      <c r="S81" s="54">
        <f t="shared" si="41"/>
        <v>-0.18626558903816307</v>
      </c>
      <c r="T81" s="54">
        <f t="shared" si="42"/>
        <v>2.3354564755838639E-2</v>
      </c>
      <c r="U81" s="55">
        <f t="shared" si="43"/>
        <v>1.1321161936088675E-2</v>
      </c>
      <c r="V81" s="56">
        <f t="shared" si="44"/>
        <v>1.3800657174151132E-2</v>
      </c>
    </row>
    <row r="82" spans="1:22" ht="13.5" customHeight="1">
      <c r="A82" s="167">
        <v>71</v>
      </c>
      <c r="B82" s="168" t="s">
        <v>294</v>
      </c>
      <c r="C82" s="169" t="s">
        <v>296</v>
      </c>
      <c r="D82" s="27">
        <v>25808464.920000002</v>
      </c>
      <c r="E82" s="28">
        <f t="shared" si="45"/>
        <v>1.1887981272134828E-4</v>
      </c>
      <c r="F82" s="58">
        <v>1.5014000000000001</v>
      </c>
      <c r="G82" s="58">
        <v>1.5014000000000001</v>
      </c>
      <c r="H82" s="30">
        <v>1</v>
      </c>
      <c r="I82" s="48">
        <v>-2.3353573096696056E-4</v>
      </c>
      <c r="J82" s="48">
        <v>-0.1361985472154964</v>
      </c>
      <c r="K82" s="27">
        <v>25887235.48</v>
      </c>
      <c r="L82" s="28">
        <f t="shared" si="39"/>
        <v>1.1905741520692998E-4</v>
      </c>
      <c r="M82" s="58">
        <v>0.85599999999999998</v>
      </c>
      <c r="N82" s="58">
        <v>0.85599999999999998</v>
      </c>
      <c r="O82" s="30">
        <v>1</v>
      </c>
      <c r="P82" s="48">
        <v>-2.3359028264424708E-4</v>
      </c>
      <c r="Q82" s="48">
        <v>-0.13640032284100079</v>
      </c>
      <c r="R82" s="54">
        <f t="shared" ref="R82" si="46">((K82-D82)/D82)</f>
        <v>3.0521210867894832E-3</v>
      </c>
      <c r="S82" s="54">
        <f t="shared" ref="S82" si="47">((N82-G82)/G82)</f>
        <v>-0.42986545890502204</v>
      </c>
      <c r="T82" s="54">
        <f t="shared" ref="T82" si="48">((O82-H82)/H82)</f>
        <v>0</v>
      </c>
      <c r="U82" s="55">
        <f t="shared" ref="U82" si="49">P82-I82</f>
        <v>-5.4551677286518441E-8</v>
      </c>
      <c r="V82" s="56">
        <f t="shared" ref="V82" si="50">Q82-J82</f>
        <v>-2.0177562550438566E-4</v>
      </c>
    </row>
    <row r="83" spans="1:22">
      <c r="A83" s="167">
        <v>72</v>
      </c>
      <c r="B83" s="168" t="s">
        <v>124</v>
      </c>
      <c r="C83" s="169" t="s">
        <v>29</v>
      </c>
      <c r="D83" s="27">
        <v>147874571.40000001</v>
      </c>
      <c r="E83" s="28">
        <f t="shared" si="45"/>
        <v>6.8114478752507083E-4</v>
      </c>
      <c r="F83" s="58">
        <v>128.37440000000001</v>
      </c>
      <c r="G83" s="58">
        <v>128.37440000000001</v>
      </c>
      <c r="H83" s="30">
        <v>265</v>
      </c>
      <c r="I83" s="48">
        <v>4.4499999999999997E-4</v>
      </c>
      <c r="J83" s="48">
        <v>8.5900000000000004E-2</v>
      </c>
      <c r="K83" s="27">
        <v>147289701.09999999</v>
      </c>
      <c r="L83" s="28">
        <f t="shared" si="39"/>
        <v>6.7739682412651771E-4</v>
      </c>
      <c r="M83" s="58">
        <v>128.8279</v>
      </c>
      <c r="N83" s="58">
        <v>128.8279</v>
      </c>
      <c r="O83" s="30">
        <v>269</v>
      </c>
      <c r="P83" s="48">
        <v>5.04E-4</v>
      </c>
      <c r="Q83" s="48">
        <v>7.6499999999999999E-2</v>
      </c>
      <c r="R83" s="54">
        <f t="shared" si="40"/>
        <v>-3.9551783275701986E-3</v>
      </c>
      <c r="S83" s="54">
        <f t="shared" si="41"/>
        <v>3.5326357903132642E-3</v>
      </c>
      <c r="T83" s="54">
        <f t="shared" si="42"/>
        <v>1.509433962264151E-2</v>
      </c>
      <c r="U83" s="55">
        <f t="shared" si="43"/>
        <v>5.9000000000000025E-5</v>
      </c>
      <c r="V83" s="56">
        <f t="shared" si="44"/>
        <v>-9.4000000000000056E-3</v>
      </c>
    </row>
    <row r="84" spans="1:22">
      <c r="A84" s="167">
        <v>73</v>
      </c>
      <c r="B84" s="168" t="s">
        <v>125</v>
      </c>
      <c r="C84" s="169" t="s">
        <v>96</v>
      </c>
      <c r="D84" s="27">
        <v>2015630392.6224713</v>
      </c>
      <c r="E84" s="28">
        <f t="shared" si="45"/>
        <v>9.2844640056343603E-3</v>
      </c>
      <c r="F84" s="33">
        <v>1000</v>
      </c>
      <c r="G84" s="33">
        <v>1000</v>
      </c>
      <c r="H84" s="30">
        <v>370</v>
      </c>
      <c r="I84" s="48">
        <v>1.9099999999999999E-2</v>
      </c>
      <c r="J84" s="48">
        <v>0.20749999999999999</v>
      </c>
      <c r="K84" s="27">
        <v>2023901762.9949713</v>
      </c>
      <c r="L84" s="28">
        <f t="shared" si="39"/>
        <v>9.3080820747001563E-3</v>
      </c>
      <c r="M84" s="33">
        <v>1000</v>
      </c>
      <c r="N84" s="33">
        <v>1000</v>
      </c>
      <c r="O84" s="30">
        <v>363</v>
      </c>
      <c r="P84" s="48">
        <v>1.9099999999999999E-2</v>
      </c>
      <c r="Q84" s="48">
        <v>0.2084</v>
      </c>
      <c r="R84" s="54">
        <f t="shared" si="40"/>
        <v>4.1036146323127874E-3</v>
      </c>
      <c r="S84" s="54">
        <f t="shared" si="41"/>
        <v>0</v>
      </c>
      <c r="T84" s="54">
        <f t="shared" si="42"/>
        <v>-1.891891891891892E-2</v>
      </c>
      <c r="U84" s="55">
        <f t="shared" si="43"/>
        <v>0</v>
      </c>
      <c r="V84" s="56">
        <f t="shared" si="44"/>
        <v>9.000000000000119E-4</v>
      </c>
    </row>
    <row r="85" spans="1:22">
      <c r="A85" s="167">
        <v>74</v>
      </c>
      <c r="B85" s="168" t="s">
        <v>126</v>
      </c>
      <c r="C85" s="169" t="s">
        <v>70</v>
      </c>
      <c r="D85" s="27">
        <v>160285562.44999999</v>
      </c>
      <c r="E85" s="28">
        <f t="shared" si="45"/>
        <v>7.3831270883630571E-4</v>
      </c>
      <c r="F85" s="33">
        <v>1092.05</v>
      </c>
      <c r="G85" s="33">
        <v>1110.72</v>
      </c>
      <c r="H85" s="30">
        <v>71</v>
      </c>
      <c r="I85" s="48">
        <v>2.01E-2</v>
      </c>
      <c r="J85" s="48">
        <v>8.9599999999999999E-2</v>
      </c>
      <c r="K85" s="27">
        <v>161210682.99000001</v>
      </c>
      <c r="L85" s="28">
        <f t="shared" si="39"/>
        <v>7.4142050569137074E-4</v>
      </c>
      <c r="M85" s="33">
        <v>1098.22</v>
      </c>
      <c r="N85" s="33">
        <v>1113.8499999999999</v>
      </c>
      <c r="O85" s="30">
        <v>71</v>
      </c>
      <c r="P85" s="48">
        <v>4.5999999999999999E-3</v>
      </c>
      <c r="Q85" s="48">
        <v>9.4200000000000006E-2</v>
      </c>
      <c r="R85" s="54">
        <f t="shared" si="40"/>
        <v>5.7717022410462369E-3</v>
      </c>
      <c r="S85" s="54">
        <f t="shared" si="41"/>
        <v>2.817991933160366E-3</v>
      </c>
      <c r="T85" s="54">
        <f t="shared" si="42"/>
        <v>0</v>
      </c>
      <c r="U85" s="55">
        <f t="shared" si="43"/>
        <v>-1.55E-2</v>
      </c>
      <c r="V85" s="56">
        <f t="shared" si="44"/>
        <v>4.6000000000000069E-3</v>
      </c>
    </row>
    <row r="86" spans="1:22">
      <c r="A86" s="167">
        <v>75</v>
      </c>
      <c r="B86" s="168" t="s">
        <v>127</v>
      </c>
      <c r="C86" s="169" t="s">
        <v>73</v>
      </c>
      <c r="D86" s="27">
        <v>692165332.39999998</v>
      </c>
      <c r="E86" s="28">
        <f t="shared" si="45"/>
        <v>3.188275061805643E-3</v>
      </c>
      <c r="F86" s="59">
        <v>1.1385000000000001</v>
      </c>
      <c r="G86" s="59">
        <v>1.1385000000000001</v>
      </c>
      <c r="H86" s="30">
        <v>51</v>
      </c>
      <c r="I86" s="48">
        <v>1.5E-3</v>
      </c>
      <c r="J86" s="48">
        <v>0.1154</v>
      </c>
      <c r="K86" s="27">
        <v>675972632</v>
      </c>
      <c r="L86" s="28">
        <f t="shared" si="39"/>
        <v>3.1088508612177727E-3</v>
      </c>
      <c r="M86" s="59">
        <v>1.1387</v>
      </c>
      <c r="N86" s="59">
        <v>1.1387</v>
      </c>
      <c r="O86" s="30">
        <v>51</v>
      </c>
      <c r="P86" s="48">
        <v>1.5E-3</v>
      </c>
      <c r="Q86" s="48">
        <v>0.1115</v>
      </c>
      <c r="R86" s="54">
        <f t="shared" si="40"/>
        <v>-2.339426671927318E-2</v>
      </c>
      <c r="S86" s="54">
        <f t="shared" si="41"/>
        <v>1.7566974088711282E-4</v>
      </c>
      <c r="T86" s="54">
        <f t="shared" si="42"/>
        <v>0</v>
      </c>
      <c r="U86" s="55">
        <f t="shared" si="43"/>
        <v>0</v>
      </c>
      <c r="V86" s="56">
        <f t="shared" si="44"/>
        <v>-3.9000000000000007E-3</v>
      </c>
    </row>
    <row r="87" spans="1:22">
      <c r="A87" s="167">
        <v>76</v>
      </c>
      <c r="B87" s="168" t="s">
        <v>128</v>
      </c>
      <c r="C87" s="169" t="s">
        <v>31</v>
      </c>
      <c r="D87" s="27">
        <v>11823394673.280001</v>
      </c>
      <c r="E87" s="28">
        <f t="shared" si="45"/>
        <v>5.4461315264081704E-2</v>
      </c>
      <c r="F87" s="59">
        <v>1725.01</v>
      </c>
      <c r="G87" s="59">
        <v>1725.01</v>
      </c>
      <c r="H87" s="30">
        <v>2078</v>
      </c>
      <c r="I87" s="48">
        <v>8.0000000000000004E-4</v>
      </c>
      <c r="J87" s="48">
        <v>1.3599999999999999E-2</v>
      </c>
      <c r="K87" s="27">
        <v>11805465409.1</v>
      </c>
      <c r="L87" s="28">
        <f t="shared" si="39"/>
        <v>5.4294256256453233E-2</v>
      </c>
      <c r="M87" s="59">
        <v>1726.17</v>
      </c>
      <c r="N87" s="59">
        <v>1726.17</v>
      </c>
      <c r="O87" s="30">
        <v>2078</v>
      </c>
      <c r="P87" s="48">
        <v>6.9999999999999999E-4</v>
      </c>
      <c r="Q87" s="48">
        <v>1.3599999999999999E-2</v>
      </c>
      <c r="R87" s="54">
        <f t="shared" si="40"/>
        <v>-1.5164227089973677E-3</v>
      </c>
      <c r="S87" s="54">
        <f t="shared" si="41"/>
        <v>6.7245986979790366E-4</v>
      </c>
      <c r="T87" s="54">
        <f t="shared" si="42"/>
        <v>0</v>
      </c>
      <c r="U87" s="55">
        <f t="shared" si="43"/>
        <v>-1.0000000000000005E-4</v>
      </c>
      <c r="V87" s="56">
        <f t="shared" si="44"/>
        <v>0</v>
      </c>
    </row>
    <row r="88" spans="1:22">
      <c r="A88" s="167">
        <v>77</v>
      </c>
      <c r="B88" s="168" t="s">
        <v>129</v>
      </c>
      <c r="C88" s="169" t="s">
        <v>78</v>
      </c>
      <c r="D88" s="27">
        <v>23825482.510000002</v>
      </c>
      <c r="E88" s="28">
        <f t="shared" si="45"/>
        <v>1.0974573294321136E-4</v>
      </c>
      <c r="F88" s="58">
        <v>0.72660000000000002</v>
      </c>
      <c r="G88" s="58">
        <v>0.72519999999999996</v>
      </c>
      <c r="H88" s="30">
        <v>746</v>
      </c>
      <c r="I88" s="48">
        <v>1.9E-3</v>
      </c>
      <c r="J88" s="48">
        <v>1.38E-2</v>
      </c>
      <c r="K88" s="27">
        <v>23229917.149999999</v>
      </c>
      <c r="L88" s="28">
        <f t="shared" si="39"/>
        <v>1.0683620093334637E-4</v>
      </c>
      <c r="M88" s="58">
        <v>0.70850000000000002</v>
      </c>
      <c r="N88" s="58">
        <v>0.70850000000000002</v>
      </c>
      <c r="O88" s="30">
        <v>746</v>
      </c>
      <c r="P88" s="48">
        <v>-2.53E-2</v>
      </c>
      <c r="Q88" s="48">
        <v>-1.14E-2</v>
      </c>
      <c r="R88" s="54">
        <f t="shared" si="40"/>
        <v>-2.4996990501662798E-2</v>
      </c>
      <c r="S88" s="54">
        <f t="shared" si="41"/>
        <v>-2.3028130170987229E-2</v>
      </c>
      <c r="T88" s="54">
        <f t="shared" si="42"/>
        <v>0</v>
      </c>
      <c r="U88" s="55">
        <f t="shared" si="43"/>
        <v>-2.7199999999999998E-2</v>
      </c>
      <c r="V88" s="56">
        <f t="shared" si="44"/>
        <v>-2.52E-2</v>
      </c>
    </row>
    <row r="89" spans="1:22">
      <c r="A89" s="167">
        <v>78</v>
      </c>
      <c r="B89" s="168" t="s">
        <v>130</v>
      </c>
      <c r="C89" s="169" t="s">
        <v>37</v>
      </c>
      <c r="D89" s="27">
        <v>10526703085.01</v>
      </c>
      <c r="E89" s="28">
        <f t="shared" si="45"/>
        <v>4.848845118058373E-2</v>
      </c>
      <c r="F89" s="58">
        <v>1</v>
      </c>
      <c r="G89" s="58">
        <v>1</v>
      </c>
      <c r="H89" s="30">
        <v>4325</v>
      </c>
      <c r="I89" s="48">
        <v>0.06</v>
      </c>
      <c r="J89" s="48">
        <v>0.06</v>
      </c>
      <c r="K89" s="27">
        <v>10529683507.66</v>
      </c>
      <c r="L89" s="28">
        <f t="shared" si="39"/>
        <v>4.8426835779261795E-2</v>
      </c>
      <c r="M89" s="58">
        <v>1</v>
      </c>
      <c r="N89" s="58">
        <v>1</v>
      </c>
      <c r="O89" s="30">
        <v>3429</v>
      </c>
      <c r="P89" s="48">
        <v>0.06</v>
      </c>
      <c r="Q89" s="48">
        <v>0.06</v>
      </c>
      <c r="R89" s="54">
        <f t="shared" si="40"/>
        <v>2.8312973453613728E-4</v>
      </c>
      <c r="S89" s="54">
        <f t="shared" si="41"/>
        <v>0</v>
      </c>
      <c r="T89" s="54">
        <f t="shared" si="42"/>
        <v>-0.20716763005780348</v>
      </c>
      <c r="U89" s="55">
        <f t="shared" si="43"/>
        <v>0</v>
      </c>
      <c r="V89" s="56">
        <f t="shared" si="44"/>
        <v>0</v>
      </c>
    </row>
    <row r="90" spans="1:22">
      <c r="A90" s="167">
        <v>79</v>
      </c>
      <c r="B90" s="168" t="s">
        <v>131</v>
      </c>
      <c r="C90" s="169" t="s">
        <v>132</v>
      </c>
      <c r="D90" s="27">
        <v>1562093081.3399999</v>
      </c>
      <c r="E90" s="28">
        <f t="shared" si="45"/>
        <v>7.1953653012157932E-3</v>
      </c>
      <c r="F90" s="27">
        <v>257.2</v>
      </c>
      <c r="G90" s="27">
        <v>259.64</v>
      </c>
      <c r="H90" s="30">
        <v>556</v>
      </c>
      <c r="I90" s="48">
        <v>3.0000000000000001E-3</v>
      </c>
      <c r="J90" s="48">
        <v>0.18729999999999999</v>
      </c>
      <c r="K90" s="27">
        <v>1566952669.24</v>
      </c>
      <c r="L90" s="28">
        <f t="shared" si="39"/>
        <v>7.206537549961433E-3</v>
      </c>
      <c r="M90" s="27">
        <v>258</v>
      </c>
      <c r="N90" s="27">
        <v>260.54000000000002</v>
      </c>
      <c r="O90" s="30">
        <v>562</v>
      </c>
      <c r="P90" s="48">
        <v>3.0000000000000001E-3</v>
      </c>
      <c r="Q90" s="48">
        <v>0.18729999999999999</v>
      </c>
      <c r="R90" s="54">
        <f t="shared" si="40"/>
        <v>3.1109464333786228E-3</v>
      </c>
      <c r="S90" s="54">
        <f t="shared" si="41"/>
        <v>3.466338006470629E-3</v>
      </c>
      <c r="T90" s="54">
        <f t="shared" si="42"/>
        <v>1.0791366906474821E-2</v>
      </c>
      <c r="U90" s="55">
        <f t="shared" si="43"/>
        <v>0</v>
      </c>
      <c r="V90" s="56">
        <f t="shared" si="44"/>
        <v>0</v>
      </c>
    </row>
    <row r="91" spans="1:22">
      <c r="A91" s="167">
        <v>80</v>
      </c>
      <c r="B91" s="168" t="s">
        <v>133</v>
      </c>
      <c r="C91" s="169" t="s">
        <v>41</v>
      </c>
      <c r="D91" s="27">
        <v>1124409780.95</v>
      </c>
      <c r="E91" s="28">
        <f t="shared" si="45"/>
        <v>5.179293871050903E-3</v>
      </c>
      <c r="F91" s="58">
        <v>3.82</v>
      </c>
      <c r="G91" s="58">
        <v>3.82</v>
      </c>
      <c r="H91" s="44">
        <v>770</v>
      </c>
      <c r="I91" s="51">
        <v>6.9999999999999999E-4</v>
      </c>
      <c r="J91" s="51">
        <v>0.1032</v>
      </c>
      <c r="K91" s="27">
        <v>1126422084.3</v>
      </c>
      <c r="L91" s="28">
        <f t="shared" si="39"/>
        <v>5.1805030279255052E-3</v>
      </c>
      <c r="M91" s="58">
        <v>3.83</v>
      </c>
      <c r="N91" s="58">
        <v>3.83</v>
      </c>
      <c r="O91" s="44">
        <v>770</v>
      </c>
      <c r="P91" s="51">
        <v>1.8E-3</v>
      </c>
      <c r="Q91" s="51">
        <v>0.1031</v>
      </c>
      <c r="R91" s="54">
        <f t="shared" si="40"/>
        <v>1.7896530109331975E-3</v>
      </c>
      <c r="S91" s="54">
        <f t="shared" si="41"/>
        <v>2.6178010471204793E-3</v>
      </c>
      <c r="T91" s="54">
        <f t="shared" si="42"/>
        <v>0</v>
      </c>
      <c r="U91" s="55">
        <f t="shared" si="43"/>
        <v>1.0999999999999998E-3</v>
      </c>
      <c r="V91" s="56">
        <f t="shared" si="44"/>
        <v>-1.0000000000000286E-4</v>
      </c>
    </row>
    <row r="92" spans="1:22">
      <c r="A92" s="167">
        <v>81</v>
      </c>
      <c r="B92" s="168" t="s">
        <v>134</v>
      </c>
      <c r="C92" s="169" t="s">
        <v>43</v>
      </c>
      <c r="D92" s="27">
        <v>609213610.76999998</v>
      </c>
      <c r="E92" s="28">
        <f t="shared" si="45"/>
        <v>2.8061800723184569E-3</v>
      </c>
      <c r="F92" s="58">
        <v>112.64727000000001</v>
      </c>
      <c r="G92" s="58">
        <v>112.64727000000001</v>
      </c>
      <c r="H92" s="44">
        <v>56</v>
      </c>
      <c r="I92" s="51">
        <v>0.14810000000000001</v>
      </c>
      <c r="J92" s="51">
        <v>0.17169999999999999</v>
      </c>
      <c r="K92" s="27">
        <v>610870835.80999994</v>
      </c>
      <c r="L92" s="28">
        <f t="shared" si="39"/>
        <v>2.8094426225243078E-3</v>
      </c>
      <c r="M92" s="58">
        <v>112.95</v>
      </c>
      <c r="N92" s="58">
        <v>112.95</v>
      </c>
      <c r="O92" s="44">
        <v>67</v>
      </c>
      <c r="P92" s="51">
        <v>0.15</v>
      </c>
      <c r="Q92" s="51">
        <v>0.17349999999999999</v>
      </c>
      <c r="R92" s="54">
        <f t="shared" si="40"/>
        <v>2.7202692302054029E-3</v>
      </c>
      <c r="S92" s="54">
        <f t="shared" si="41"/>
        <v>2.6874153275085744E-3</v>
      </c>
      <c r="T92" s="54">
        <f t="shared" si="42"/>
        <v>0.19642857142857142</v>
      </c>
      <c r="U92" s="55">
        <f t="shared" si="43"/>
        <v>1.899999999999985E-3</v>
      </c>
      <c r="V92" s="56">
        <f t="shared" si="44"/>
        <v>1.799999999999996E-3</v>
      </c>
    </row>
    <row r="93" spans="1:22">
      <c r="A93" s="167">
        <v>82</v>
      </c>
      <c r="B93" s="169" t="s">
        <v>135</v>
      </c>
      <c r="C93" s="175" t="s">
        <v>47</v>
      </c>
      <c r="D93" s="27">
        <v>949128631.49000001</v>
      </c>
      <c r="E93" s="28">
        <f t="shared" si="45"/>
        <v>4.3719079887065511E-3</v>
      </c>
      <c r="F93" s="58">
        <v>106.03</v>
      </c>
      <c r="G93" s="58">
        <v>106.03</v>
      </c>
      <c r="H93" s="30">
        <v>289</v>
      </c>
      <c r="I93" s="48">
        <v>5.9999999999999995E-4</v>
      </c>
      <c r="J93" s="48">
        <v>8.72E-2</v>
      </c>
      <c r="K93" s="27">
        <v>956758608.58000004</v>
      </c>
      <c r="L93" s="28">
        <f t="shared" si="39"/>
        <v>4.4002074691412221E-3</v>
      </c>
      <c r="M93" s="58">
        <v>106.24</v>
      </c>
      <c r="N93" s="58">
        <v>106.24</v>
      </c>
      <c r="O93" s="30">
        <v>289</v>
      </c>
      <c r="P93" s="48">
        <v>2.0000000000000001E-4</v>
      </c>
      <c r="Q93" s="48">
        <v>8.9300000000000004E-2</v>
      </c>
      <c r="R93" s="54">
        <f t="shared" si="40"/>
        <v>8.0389283779397011E-3</v>
      </c>
      <c r="S93" s="54">
        <f t="shared" si="41"/>
        <v>1.9805715363575755E-3</v>
      </c>
      <c r="T93" s="54">
        <f t="shared" si="42"/>
        <v>0</v>
      </c>
      <c r="U93" s="55">
        <f t="shared" si="43"/>
        <v>-3.9999999999999996E-4</v>
      </c>
      <c r="V93" s="56">
        <f t="shared" si="44"/>
        <v>2.1000000000000046E-3</v>
      </c>
    </row>
    <row r="94" spans="1:22">
      <c r="A94" s="167">
        <v>83</v>
      </c>
      <c r="B94" s="168" t="s">
        <v>136</v>
      </c>
      <c r="C94" s="169" t="s">
        <v>19</v>
      </c>
      <c r="D94" s="27">
        <v>1471483768.9200001</v>
      </c>
      <c r="E94" s="28">
        <f t="shared" si="45"/>
        <v>6.7779976613856398E-3</v>
      </c>
      <c r="F94" s="58">
        <v>365.91359999999997</v>
      </c>
      <c r="G94" s="58">
        <v>365.91359999999997</v>
      </c>
      <c r="H94" s="30">
        <v>90</v>
      </c>
      <c r="I94" s="48">
        <v>2.5999999999999999E-3</v>
      </c>
      <c r="J94" s="48">
        <v>6.5799999999999997E-2</v>
      </c>
      <c r="K94" s="27">
        <v>1487816934.29</v>
      </c>
      <c r="L94" s="28">
        <f t="shared" si="39"/>
        <v>6.8425861322472187E-3</v>
      </c>
      <c r="M94" s="58">
        <v>368.79399999999998</v>
      </c>
      <c r="N94" s="58">
        <v>368.79399999999998</v>
      </c>
      <c r="O94" s="30">
        <v>90</v>
      </c>
      <c r="P94" s="48">
        <v>2.5999999999999999E-3</v>
      </c>
      <c r="Q94" s="48">
        <v>7.3899999999999993E-2</v>
      </c>
      <c r="R94" s="54">
        <f t="shared" si="40"/>
        <v>1.1099793089792394E-2</v>
      </c>
      <c r="S94" s="54">
        <f t="shared" si="41"/>
        <v>7.8718036170287442E-3</v>
      </c>
      <c r="T94" s="54">
        <f t="shared" si="42"/>
        <v>0</v>
      </c>
      <c r="U94" s="55">
        <f t="shared" si="43"/>
        <v>0</v>
      </c>
      <c r="V94" s="56">
        <f t="shared" si="44"/>
        <v>8.0999999999999961E-3</v>
      </c>
    </row>
    <row r="95" spans="1:22">
      <c r="A95" s="167">
        <v>84</v>
      </c>
      <c r="B95" s="168" t="s">
        <v>137</v>
      </c>
      <c r="C95" s="169" t="s">
        <v>87</v>
      </c>
      <c r="D95" s="42">
        <v>1538178175</v>
      </c>
      <c r="E95" s="28">
        <f>(D95/$K$69)</f>
        <v>4.5803812867626243E-4</v>
      </c>
      <c r="F95" s="58">
        <v>101.84</v>
      </c>
      <c r="G95" s="58">
        <v>101.84</v>
      </c>
      <c r="H95" s="30">
        <v>398</v>
      </c>
      <c r="I95" s="48">
        <v>2.8E-3</v>
      </c>
      <c r="J95" s="48">
        <v>0.14549999999999999</v>
      </c>
      <c r="K95" s="42">
        <v>1541916769</v>
      </c>
      <c r="L95" s="28">
        <f>(K95/$K$69)</f>
        <v>4.5915140581637029E-4</v>
      </c>
      <c r="M95" s="58">
        <v>102.14</v>
      </c>
      <c r="N95" s="58">
        <v>102.14</v>
      </c>
      <c r="O95" s="30">
        <v>398</v>
      </c>
      <c r="P95" s="48">
        <v>2.8999999999999998E-3</v>
      </c>
      <c r="Q95" s="48">
        <v>0.1457</v>
      </c>
      <c r="R95" s="54">
        <f t="shared" si="40"/>
        <v>2.4305337709007607E-3</v>
      </c>
      <c r="S95" s="54">
        <f t="shared" si="41"/>
        <v>2.945797329143727E-3</v>
      </c>
      <c r="T95" s="54">
        <f t="shared" si="42"/>
        <v>0</v>
      </c>
      <c r="U95" s="55">
        <f t="shared" si="43"/>
        <v>9.9999999999999829E-5</v>
      </c>
      <c r="V95" s="56">
        <f t="shared" si="44"/>
        <v>2.0000000000000573E-4</v>
      </c>
    </row>
    <row r="96" spans="1:22">
      <c r="A96" s="167">
        <v>85</v>
      </c>
      <c r="B96" s="168" t="s">
        <v>138</v>
      </c>
      <c r="C96" s="169" t="s">
        <v>45</v>
      </c>
      <c r="D96" s="27">
        <v>63338450.140000001</v>
      </c>
      <c r="E96" s="28">
        <f t="shared" ref="E96:E109" si="51">(D96/$D$110)</f>
        <v>2.9175168356753453E-4</v>
      </c>
      <c r="F96" s="27">
        <v>12.737443000000001</v>
      </c>
      <c r="G96" s="27">
        <v>13.215818000000001</v>
      </c>
      <c r="H96" s="30">
        <v>60</v>
      </c>
      <c r="I96" s="48">
        <v>1.1999999999999999E-3</v>
      </c>
      <c r="J96" s="48">
        <v>4.1599999999999998E-2</v>
      </c>
      <c r="K96" s="27">
        <v>64199479.789999999</v>
      </c>
      <c r="L96" s="28">
        <f t="shared" ref="L96:L109" si="52">(K96/$K$110)</f>
        <v>2.9525841518813811E-4</v>
      </c>
      <c r="M96" s="27">
        <v>12.910596999999999</v>
      </c>
      <c r="N96" s="27">
        <v>13.39049</v>
      </c>
      <c r="O96" s="30">
        <v>60</v>
      </c>
      <c r="P96" s="48">
        <v>1.14E-2</v>
      </c>
      <c r="Q96" s="48">
        <v>5.3900000000000003E-2</v>
      </c>
      <c r="R96" s="54">
        <f t="shared" si="40"/>
        <v>1.35941067092236E-2</v>
      </c>
      <c r="S96" s="54">
        <f t="shared" si="41"/>
        <v>1.3216889034034765E-2</v>
      </c>
      <c r="T96" s="54">
        <f t="shared" si="42"/>
        <v>0</v>
      </c>
      <c r="U96" s="55">
        <f t="shared" si="43"/>
        <v>1.0200000000000001E-2</v>
      </c>
      <c r="V96" s="56">
        <f t="shared" si="44"/>
        <v>1.2300000000000005E-2</v>
      </c>
    </row>
    <row r="97" spans="1:22">
      <c r="A97" s="167">
        <v>86</v>
      </c>
      <c r="B97" s="168" t="s">
        <v>139</v>
      </c>
      <c r="C97" s="169" t="s">
        <v>140</v>
      </c>
      <c r="D97" s="27">
        <v>585963599.17999995</v>
      </c>
      <c r="E97" s="28">
        <f t="shared" si="51"/>
        <v>2.6990850927388508E-3</v>
      </c>
      <c r="F97" s="27">
        <v>144.03</v>
      </c>
      <c r="G97" s="27">
        <v>144.03</v>
      </c>
      <c r="H97" s="30">
        <v>147</v>
      </c>
      <c r="I97" s="48">
        <v>0.19539999999999999</v>
      </c>
      <c r="J97" s="48">
        <v>0.1961</v>
      </c>
      <c r="K97" s="27">
        <v>626937956.51999998</v>
      </c>
      <c r="L97" s="28">
        <f t="shared" si="52"/>
        <v>2.8833365639236597E-3</v>
      </c>
      <c r="M97" s="27">
        <v>144.51</v>
      </c>
      <c r="N97" s="27">
        <v>144.51</v>
      </c>
      <c r="O97" s="30">
        <v>147</v>
      </c>
      <c r="P97" s="48">
        <v>0.19089999999999999</v>
      </c>
      <c r="Q97" s="48">
        <v>0.19589999999999999</v>
      </c>
      <c r="R97" s="54">
        <f t="shared" si="40"/>
        <v>6.9926455154108086E-2</v>
      </c>
      <c r="S97" s="54">
        <f t="shared" si="41"/>
        <v>3.3326390335346092E-3</v>
      </c>
      <c r="T97" s="54">
        <f t="shared" si="42"/>
        <v>0</v>
      </c>
      <c r="U97" s="55">
        <f t="shared" si="43"/>
        <v>-4.500000000000004E-3</v>
      </c>
      <c r="V97" s="56">
        <f t="shared" si="44"/>
        <v>-2.0000000000000573E-4</v>
      </c>
    </row>
    <row r="98" spans="1:22">
      <c r="A98" s="167">
        <v>87</v>
      </c>
      <c r="B98" s="168" t="s">
        <v>141</v>
      </c>
      <c r="C98" s="169" t="s">
        <v>142</v>
      </c>
      <c r="D98" s="27">
        <v>9387345531.0602417</v>
      </c>
      <c r="E98" s="28">
        <f t="shared" si="51"/>
        <v>4.3240304378515011E-2</v>
      </c>
      <c r="F98" s="27">
        <v>1.0861235286999087</v>
      </c>
      <c r="G98" s="27">
        <v>1.0861235286999087</v>
      </c>
      <c r="H98" s="30">
        <v>4812</v>
      </c>
      <c r="I98" s="48">
        <v>0.19040000000000001</v>
      </c>
      <c r="J98" s="48">
        <v>0.19040000000000001</v>
      </c>
      <c r="K98" s="27">
        <v>9383895691.1674099</v>
      </c>
      <c r="L98" s="28">
        <f t="shared" si="52"/>
        <v>4.315726823843298E-2</v>
      </c>
      <c r="M98" s="27">
        <v>1.0918169108896583</v>
      </c>
      <c r="N98" s="27">
        <v>1.0918169108896583</v>
      </c>
      <c r="O98" s="30">
        <v>4822</v>
      </c>
      <c r="P98" s="48">
        <v>0.1903</v>
      </c>
      <c r="Q98" s="48">
        <v>0.1903</v>
      </c>
      <c r="R98" s="54">
        <f t="shared" si="40"/>
        <v>-3.6749897842975899E-4</v>
      </c>
      <c r="S98" s="54">
        <f t="shared" si="41"/>
        <v>5.241928785544827E-3</v>
      </c>
      <c r="T98" s="54">
        <f t="shared" si="42"/>
        <v>2.0781379883624274E-3</v>
      </c>
      <c r="U98" s="55">
        <f t="shared" si="43"/>
        <v>-1.0000000000001674E-4</v>
      </c>
      <c r="V98" s="56">
        <f t="shared" si="44"/>
        <v>-1.0000000000001674E-4</v>
      </c>
    </row>
    <row r="99" spans="1:22" ht="14.25" customHeight="1">
      <c r="A99" s="167">
        <v>88</v>
      </c>
      <c r="B99" s="168" t="s">
        <v>143</v>
      </c>
      <c r="C99" s="169" t="s">
        <v>49</v>
      </c>
      <c r="D99" s="27">
        <v>7775919816.1000004</v>
      </c>
      <c r="E99" s="28">
        <f t="shared" si="51"/>
        <v>3.581770145336443E-2</v>
      </c>
      <c r="F99" s="27">
        <v>5173.72</v>
      </c>
      <c r="G99" s="27">
        <v>5173.72</v>
      </c>
      <c r="H99" s="30">
        <v>237</v>
      </c>
      <c r="I99" s="48">
        <v>0</v>
      </c>
      <c r="J99" s="48">
        <v>1.1999999999999999E-3</v>
      </c>
      <c r="K99" s="27">
        <v>7770413984.3999996</v>
      </c>
      <c r="L99" s="28">
        <f t="shared" si="52"/>
        <v>3.5736740015564067E-2</v>
      </c>
      <c r="M99" s="27">
        <v>5173.72</v>
      </c>
      <c r="N99" s="27">
        <v>5173.72</v>
      </c>
      <c r="O99" s="30">
        <v>237</v>
      </c>
      <c r="P99" s="48">
        <v>0</v>
      </c>
      <c r="Q99" s="48">
        <v>1.1999999999999999E-3</v>
      </c>
      <c r="R99" s="54">
        <f t="shared" si="40"/>
        <v>-7.0806178950057685E-4</v>
      </c>
      <c r="S99" s="54">
        <f t="shared" si="41"/>
        <v>0</v>
      </c>
      <c r="T99" s="54">
        <f t="shared" si="42"/>
        <v>0</v>
      </c>
      <c r="U99" s="55">
        <f t="shared" si="43"/>
        <v>0</v>
      </c>
      <c r="V99" s="56">
        <f t="shared" si="44"/>
        <v>0</v>
      </c>
    </row>
    <row r="100" spans="1:22" ht="13.5" customHeight="1">
      <c r="A100" s="167">
        <v>89</v>
      </c>
      <c r="B100" s="168" t="s">
        <v>144</v>
      </c>
      <c r="C100" s="169" t="s">
        <v>49</v>
      </c>
      <c r="D100" s="27">
        <v>17201525830.099998</v>
      </c>
      <c r="E100" s="28">
        <f t="shared" si="51"/>
        <v>7.9234242545709793E-2</v>
      </c>
      <c r="F100" s="58">
        <v>259.13</v>
      </c>
      <c r="G100" s="58">
        <v>259.13</v>
      </c>
      <c r="H100" s="30">
        <v>6170</v>
      </c>
      <c r="I100" s="48">
        <v>0</v>
      </c>
      <c r="J100" s="48">
        <v>1.1000000000000001E-3</v>
      </c>
      <c r="K100" s="27">
        <v>17188398987.889999</v>
      </c>
      <c r="L100" s="28">
        <f t="shared" si="52"/>
        <v>7.9050787660374558E-2</v>
      </c>
      <c r="M100" s="58">
        <v>259.13</v>
      </c>
      <c r="N100" s="58">
        <v>259.13</v>
      </c>
      <c r="O100" s="30">
        <v>6161</v>
      </c>
      <c r="P100" s="48">
        <v>0</v>
      </c>
      <c r="Q100" s="48">
        <v>1.1000000000000001E-3</v>
      </c>
      <c r="R100" s="54">
        <f t="shared" si="40"/>
        <v>-7.6312080333182711E-4</v>
      </c>
      <c r="S100" s="54">
        <f t="shared" si="41"/>
        <v>0</v>
      </c>
      <c r="T100" s="54">
        <f t="shared" si="42"/>
        <v>-1.4586709886547811E-3</v>
      </c>
      <c r="U100" s="55">
        <f t="shared" si="43"/>
        <v>0</v>
      </c>
      <c r="V100" s="56">
        <f t="shared" si="44"/>
        <v>0</v>
      </c>
    </row>
    <row r="101" spans="1:22" ht="13.5" customHeight="1">
      <c r="A101" s="167">
        <v>90</v>
      </c>
      <c r="B101" s="168" t="s">
        <v>145</v>
      </c>
      <c r="C101" s="169" t="s">
        <v>49</v>
      </c>
      <c r="D101" s="27">
        <v>506232781.01999998</v>
      </c>
      <c r="E101" s="28">
        <f t="shared" si="51"/>
        <v>2.3318263363439479E-3</v>
      </c>
      <c r="F101" s="33">
        <v>8367.2900000000009</v>
      </c>
      <c r="G101" s="33">
        <v>8392.9699999999993</v>
      </c>
      <c r="H101" s="30">
        <v>15</v>
      </c>
      <c r="I101" s="48">
        <v>1.43E-2</v>
      </c>
      <c r="J101" s="48">
        <v>0.2301</v>
      </c>
      <c r="K101" s="27">
        <v>514017170.50999999</v>
      </c>
      <c r="L101" s="28">
        <f t="shared" si="52"/>
        <v>2.3640050611113145E-3</v>
      </c>
      <c r="M101" s="33">
        <v>8493.9699999999993</v>
      </c>
      <c r="N101" s="33">
        <v>8523.39</v>
      </c>
      <c r="O101" s="30">
        <v>15</v>
      </c>
      <c r="P101" s="48">
        <v>1.55E-2</v>
      </c>
      <c r="Q101" s="48">
        <v>0.2492</v>
      </c>
      <c r="R101" s="54">
        <f t="shared" si="40"/>
        <v>1.5377094850150505E-2</v>
      </c>
      <c r="S101" s="54">
        <f t="shared" si="41"/>
        <v>1.5539195302735514E-2</v>
      </c>
      <c r="T101" s="54">
        <f t="shared" si="42"/>
        <v>0</v>
      </c>
      <c r="U101" s="55">
        <f t="shared" si="43"/>
        <v>1.1999999999999997E-3</v>
      </c>
      <c r="V101" s="56">
        <f t="shared" si="44"/>
        <v>1.9100000000000006E-2</v>
      </c>
    </row>
    <row r="102" spans="1:22" ht="15" customHeight="1">
      <c r="A102" s="167">
        <v>91</v>
      </c>
      <c r="B102" s="168" t="s">
        <v>146</v>
      </c>
      <c r="C102" s="169" t="s">
        <v>49</v>
      </c>
      <c r="D102" s="27">
        <v>6187009393.9099998</v>
      </c>
      <c r="E102" s="28">
        <f t="shared" si="51"/>
        <v>2.8498809221437538E-2</v>
      </c>
      <c r="F102" s="58">
        <v>150.11000000000001</v>
      </c>
      <c r="G102" s="58">
        <v>150.11000000000001</v>
      </c>
      <c r="H102" s="30">
        <v>4708</v>
      </c>
      <c r="I102" s="48">
        <v>3.0999999999999999E-3</v>
      </c>
      <c r="J102" s="48">
        <v>8.8700000000000001E-2</v>
      </c>
      <c r="K102" s="27">
        <v>6318363868.4099998</v>
      </c>
      <c r="L102" s="28">
        <f t="shared" si="52"/>
        <v>2.9058648270531885E-2</v>
      </c>
      <c r="M102" s="58">
        <v>150.56</v>
      </c>
      <c r="N102" s="58">
        <v>150.56</v>
      </c>
      <c r="O102" s="30">
        <v>4716</v>
      </c>
      <c r="P102" s="48">
        <v>3.0000000000000001E-3</v>
      </c>
      <c r="Q102" s="48">
        <v>9.1999999999999998E-2</v>
      </c>
      <c r="R102" s="54">
        <f t="shared" si="40"/>
        <v>2.1230689358463704E-2</v>
      </c>
      <c r="S102" s="54">
        <f t="shared" si="41"/>
        <v>2.9978016121510131E-3</v>
      </c>
      <c r="T102" s="54">
        <f t="shared" si="42"/>
        <v>1.6992353440951572E-3</v>
      </c>
      <c r="U102" s="55">
        <f t="shared" si="43"/>
        <v>-9.9999999999999829E-5</v>
      </c>
      <c r="V102" s="56">
        <f t="shared" si="44"/>
        <v>3.2999999999999974E-3</v>
      </c>
    </row>
    <row r="103" spans="1:22" ht="15" customHeight="1">
      <c r="A103" s="167">
        <v>92</v>
      </c>
      <c r="B103" s="168" t="s">
        <v>147</v>
      </c>
      <c r="C103" s="169" t="s">
        <v>49</v>
      </c>
      <c r="D103" s="27">
        <v>7321979126.3800001</v>
      </c>
      <c r="E103" s="28">
        <f t="shared" si="51"/>
        <v>3.3726744693720265E-2</v>
      </c>
      <c r="F103" s="58">
        <v>380.4</v>
      </c>
      <c r="G103" s="58">
        <v>381.1</v>
      </c>
      <c r="H103" s="30">
        <v>10317</v>
      </c>
      <c r="I103" s="48">
        <v>1.7500000000000002E-2</v>
      </c>
      <c r="J103" s="48">
        <v>7.5800000000000006E-2</v>
      </c>
      <c r="K103" s="27">
        <v>7380938960.4399996</v>
      </c>
      <c r="L103" s="28">
        <f t="shared" si="52"/>
        <v>3.3945514000868163E-2</v>
      </c>
      <c r="M103" s="58">
        <v>383.09</v>
      </c>
      <c r="N103" s="58">
        <v>383.82</v>
      </c>
      <c r="O103" s="30">
        <v>10318</v>
      </c>
      <c r="P103" s="48">
        <v>7.1000000000000004E-3</v>
      </c>
      <c r="Q103" s="48">
        <v>8.3500000000000005E-2</v>
      </c>
      <c r="R103" s="54">
        <f t="shared" si="40"/>
        <v>8.0524449800158486E-3</v>
      </c>
      <c r="S103" s="54">
        <f t="shared" si="41"/>
        <v>7.1372343217002629E-3</v>
      </c>
      <c r="T103" s="54">
        <f t="shared" si="42"/>
        <v>9.6927401376369101E-5</v>
      </c>
      <c r="U103" s="55">
        <f t="shared" si="43"/>
        <v>-1.0400000000000001E-2</v>
      </c>
      <c r="V103" s="56">
        <f t="shared" si="44"/>
        <v>7.6999999999999985E-3</v>
      </c>
    </row>
    <row r="104" spans="1:22" ht="15" customHeight="1">
      <c r="A104" s="167">
        <v>93</v>
      </c>
      <c r="B104" s="168" t="s">
        <v>316</v>
      </c>
      <c r="C104" s="169" t="s">
        <v>101</v>
      </c>
      <c r="D104" s="27">
        <v>83012112.659999996</v>
      </c>
      <c r="E104" s="28">
        <f t="shared" si="51"/>
        <v>3.8237316466570623E-4</v>
      </c>
      <c r="F104" s="58">
        <v>101.4558</v>
      </c>
      <c r="G104" s="58">
        <v>101.4558</v>
      </c>
      <c r="H104" s="30">
        <v>21</v>
      </c>
      <c r="I104" s="48">
        <v>0.1714</v>
      </c>
      <c r="J104" s="48">
        <v>0.1714</v>
      </c>
      <c r="K104" s="27">
        <v>84288335.140000001</v>
      </c>
      <c r="L104" s="28">
        <f t="shared" si="52"/>
        <v>3.8764862789681883E-4</v>
      </c>
      <c r="M104" s="58">
        <v>101.79</v>
      </c>
      <c r="N104" s="58">
        <v>101.79</v>
      </c>
      <c r="O104" s="30">
        <v>22</v>
      </c>
      <c r="P104" s="48">
        <v>0.17460000000000001</v>
      </c>
      <c r="Q104" s="48">
        <v>0.17197000000000001</v>
      </c>
      <c r="R104" s="54">
        <f t="shared" ref="R104" si="53">((K104-D104)/D104)</f>
        <v>1.5373930853044792E-2</v>
      </c>
      <c r="S104" s="54">
        <f t="shared" ref="S104" si="54">((N104-G104)/G104)</f>
        <v>3.2940452886873871E-3</v>
      </c>
      <c r="T104" s="54">
        <f t="shared" ref="T104" si="55">((O104-H104)/H104)</f>
        <v>4.7619047619047616E-2</v>
      </c>
      <c r="U104" s="55">
        <f t="shared" ref="U104" si="56">P104-I104</f>
        <v>3.2000000000000084E-3</v>
      </c>
      <c r="V104" s="56">
        <f t="shared" ref="V104" si="57">Q104-J104</f>
        <v>5.7000000000001494E-4</v>
      </c>
    </row>
    <row r="105" spans="1:22">
      <c r="A105" s="167">
        <v>94</v>
      </c>
      <c r="B105" s="168" t="s">
        <v>148</v>
      </c>
      <c r="C105" s="169" t="s">
        <v>52</v>
      </c>
      <c r="D105" s="27">
        <v>87294232184.619995</v>
      </c>
      <c r="E105" s="28">
        <f t="shared" si="51"/>
        <v>0.40209760657711824</v>
      </c>
      <c r="F105" s="27">
        <v>1.9093</v>
      </c>
      <c r="G105" s="27">
        <v>1.9093</v>
      </c>
      <c r="H105" s="30">
        <v>6520</v>
      </c>
      <c r="I105" s="48">
        <v>7.9500000000000001E-2</v>
      </c>
      <c r="J105" s="48">
        <v>9.0200000000000002E-2</v>
      </c>
      <c r="K105" s="27">
        <v>87294232184.619995</v>
      </c>
      <c r="L105" s="28">
        <f t="shared" si="52"/>
        <v>0.40147298286848404</v>
      </c>
      <c r="M105" s="27">
        <v>1.9093</v>
      </c>
      <c r="N105" s="27">
        <v>1.9093</v>
      </c>
      <c r="O105" s="30">
        <v>6520</v>
      </c>
      <c r="P105" s="48">
        <v>7.9500000000000001E-2</v>
      </c>
      <c r="Q105" s="48">
        <v>9.0200000000000002E-2</v>
      </c>
      <c r="R105" s="54">
        <f t="shared" si="40"/>
        <v>0</v>
      </c>
      <c r="S105" s="54">
        <f t="shared" si="41"/>
        <v>0</v>
      </c>
      <c r="T105" s="54">
        <f t="shared" si="42"/>
        <v>0</v>
      </c>
      <c r="U105" s="55">
        <f t="shared" si="43"/>
        <v>0</v>
      </c>
      <c r="V105" s="56">
        <f t="shared" si="44"/>
        <v>0</v>
      </c>
    </row>
    <row r="106" spans="1:22">
      <c r="A106" s="167">
        <v>95</v>
      </c>
      <c r="B106" s="168" t="s">
        <v>149</v>
      </c>
      <c r="C106" s="169" t="s">
        <v>52</v>
      </c>
      <c r="D106" s="27">
        <v>38029577138.449997</v>
      </c>
      <c r="E106" s="28">
        <f t="shared" si="51"/>
        <v>0.17517310781965731</v>
      </c>
      <c r="F106" s="27">
        <v>119.5322</v>
      </c>
      <c r="G106" s="27">
        <v>119.5322</v>
      </c>
      <c r="H106" s="30">
        <v>765</v>
      </c>
      <c r="I106" s="48">
        <v>0.2</v>
      </c>
      <c r="J106" s="48">
        <v>0.21310000000000001</v>
      </c>
      <c r="K106" s="27">
        <v>38029577138.449997</v>
      </c>
      <c r="L106" s="28">
        <f t="shared" si="52"/>
        <v>0.17490099161088224</v>
      </c>
      <c r="M106" s="27">
        <v>119.5322</v>
      </c>
      <c r="N106" s="27">
        <v>119.5322</v>
      </c>
      <c r="O106" s="30">
        <v>765</v>
      </c>
      <c r="P106" s="48">
        <v>0.2</v>
      </c>
      <c r="Q106" s="48">
        <v>0.21310000000000001</v>
      </c>
      <c r="R106" s="54">
        <f t="shared" ref="R106:R108" si="58">((K106-D106)/D106)</f>
        <v>0</v>
      </c>
      <c r="S106" s="54">
        <f t="shared" ref="S106:S108" si="59">((N106-G106)/G106)</f>
        <v>0</v>
      </c>
      <c r="T106" s="54">
        <f t="shared" ref="T106:T108" si="60">((O106-H106)/H106)</f>
        <v>0</v>
      </c>
      <c r="U106" s="55">
        <f t="shared" ref="U106:U108" si="61">P106-I106</f>
        <v>0</v>
      </c>
      <c r="V106" s="56">
        <f t="shared" ref="V106:V108" si="62">Q106-J106</f>
        <v>0</v>
      </c>
    </row>
    <row r="107" spans="1:22">
      <c r="A107" s="167">
        <v>96</v>
      </c>
      <c r="B107" s="168" t="s">
        <v>150</v>
      </c>
      <c r="C107" s="168" t="s">
        <v>151</v>
      </c>
      <c r="D107" s="27">
        <v>107765257.36</v>
      </c>
      <c r="E107" s="28">
        <f t="shared" si="51"/>
        <v>4.9639192615818302E-4</v>
      </c>
      <c r="F107" s="27">
        <v>117.17921648746838</v>
      </c>
      <c r="G107" s="27">
        <v>117.17921648746838</v>
      </c>
      <c r="H107" s="60">
        <v>81</v>
      </c>
      <c r="I107" s="61">
        <v>1.9364632124358645E-3</v>
      </c>
      <c r="J107" s="61">
        <v>6.1373259224519972E-2</v>
      </c>
      <c r="K107" s="27">
        <v>108489692.61</v>
      </c>
      <c r="L107" s="62">
        <f t="shared" si="52"/>
        <v>4.9895255863531757E-4</v>
      </c>
      <c r="M107" s="27">
        <v>117.47685021636418</v>
      </c>
      <c r="N107" s="27">
        <v>117.47685021636418</v>
      </c>
      <c r="O107" s="60">
        <v>76</v>
      </c>
      <c r="P107" s="61">
        <v>2.5399873613904363E-3</v>
      </c>
      <c r="Q107" s="61">
        <v>6.4069133888668084E-2</v>
      </c>
      <c r="R107" s="54">
        <f t="shared" si="58"/>
        <v>6.7223451021877654E-3</v>
      </c>
      <c r="S107" s="54">
        <f t="shared" si="59"/>
        <v>2.5399873613904363E-3</v>
      </c>
      <c r="T107" s="54">
        <f t="shared" si="60"/>
        <v>-6.1728395061728392E-2</v>
      </c>
      <c r="U107" s="55">
        <f t="shared" si="61"/>
        <v>6.035241489545718E-4</v>
      </c>
      <c r="V107" s="56">
        <f t="shared" si="62"/>
        <v>2.6958746641481124E-3</v>
      </c>
    </row>
    <row r="108" spans="1:22">
      <c r="A108" s="167">
        <v>97</v>
      </c>
      <c r="B108" s="168" t="s">
        <v>152</v>
      </c>
      <c r="C108" s="169" t="s">
        <v>107</v>
      </c>
      <c r="D108" s="27">
        <v>313068751.51999998</v>
      </c>
      <c r="E108" s="28">
        <f t="shared" si="51"/>
        <v>1.4420677349454658E-3</v>
      </c>
      <c r="F108" s="27">
        <v>1.3</v>
      </c>
      <c r="G108" s="27">
        <v>1.3</v>
      </c>
      <c r="H108" s="30">
        <v>524</v>
      </c>
      <c r="I108" s="48">
        <v>2.5094999999999999E-2</v>
      </c>
      <c r="J108" s="48">
        <v>0.20447199999999999</v>
      </c>
      <c r="K108" s="27">
        <v>318524709.75</v>
      </c>
      <c r="L108" s="28">
        <f t="shared" si="52"/>
        <v>1.4649199854372633E-3</v>
      </c>
      <c r="M108" s="27">
        <v>1.3068</v>
      </c>
      <c r="N108" s="27">
        <v>1.3068</v>
      </c>
      <c r="O108" s="30">
        <v>529</v>
      </c>
      <c r="P108" s="48">
        <v>2.9812000000000002E-2</v>
      </c>
      <c r="Q108" s="48">
        <v>0.213896</v>
      </c>
      <c r="R108" s="54">
        <f t="shared" si="58"/>
        <v>1.7427348477005288E-2</v>
      </c>
      <c r="S108" s="54">
        <f t="shared" si="59"/>
        <v>5.2307692307691665E-3</v>
      </c>
      <c r="T108" s="54">
        <f t="shared" si="60"/>
        <v>9.5419847328244278E-3</v>
      </c>
      <c r="U108" s="55">
        <f t="shared" si="61"/>
        <v>4.7170000000000024E-3</v>
      </c>
      <c r="V108" s="56">
        <f t="shared" si="62"/>
        <v>9.4240000000000157E-3</v>
      </c>
    </row>
    <row r="109" spans="1:22">
      <c r="A109" s="167">
        <v>98</v>
      </c>
      <c r="B109" s="168" t="s">
        <v>153</v>
      </c>
      <c r="C109" s="169" t="s">
        <v>109</v>
      </c>
      <c r="D109" s="27">
        <v>1905531564.0599999</v>
      </c>
      <c r="E109" s="28">
        <f t="shared" si="51"/>
        <v>8.7773231058978704E-3</v>
      </c>
      <c r="F109" s="58">
        <v>28.625599999999999</v>
      </c>
      <c r="G109" s="58">
        <v>28.625599999999999</v>
      </c>
      <c r="H109" s="30">
        <v>1295</v>
      </c>
      <c r="I109" s="48">
        <v>0</v>
      </c>
      <c r="J109" s="48">
        <v>0.1152</v>
      </c>
      <c r="K109" s="27">
        <v>1910019875.6500001</v>
      </c>
      <c r="L109" s="28">
        <f t="shared" si="52"/>
        <v>8.7843303918812583E-3</v>
      </c>
      <c r="M109" s="58">
        <v>28.6935</v>
      </c>
      <c r="N109" s="58">
        <v>28.6935</v>
      </c>
      <c r="O109" s="30">
        <v>1293</v>
      </c>
      <c r="P109" s="48">
        <v>0</v>
      </c>
      <c r="Q109" s="48">
        <v>0.1152</v>
      </c>
      <c r="R109" s="54">
        <f t="shared" si="40"/>
        <v>2.3554118308264497E-3</v>
      </c>
      <c r="S109" s="54">
        <f t="shared" si="41"/>
        <v>2.3720026829132535E-3</v>
      </c>
      <c r="T109" s="54">
        <f t="shared" si="42"/>
        <v>-1.5444015444015444E-3</v>
      </c>
      <c r="U109" s="55">
        <f t="shared" si="43"/>
        <v>0</v>
      </c>
      <c r="V109" s="56">
        <f t="shared" si="44"/>
        <v>0</v>
      </c>
    </row>
    <row r="110" spans="1:22">
      <c r="A110" s="34"/>
      <c r="B110" s="35"/>
      <c r="C110" s="36" t="s">
        <v>53</v>
      </c>
      <c r="D110" s="46">
        <f>SUM(D72:D109)</f>
        <v>217097119596.70132</v>
      </c>
      <c r="E110" s="38">
        <f>(D110/$D$222)</f>
        <v>3.6128517336791191E-2</v>
      </c>
      <c r="F110" s="39"/>
      <c r="G110" s="43"/>
      <c r="H110" s="41">
        <f>SUM(H72:H109)</f>
        <v>51799</v>
      </c>
      <c r="I110" s="51"/>
      <c r="J110" s="51"/>
      <c r="K110" s="46">
        <f>SUM(K72:K109)</f>
        <v>217434885807.0386</v>
      </c>
      <c r="L110" s="38">
        <f>(K110/$K$222)</f>
        <v>3.5762109223880942E-2</v>
      </c>
      <c r="M110" s="39"/>
      <c r="N110" s="43"/>
      <c r="O110" s="41">
        <f>SUM(O72:O109)</f>
        <v>50965</v>
      </c>
      <c r="P110" s="51"/>
      <c r="Q110" s="51"/>
      <c r="R110" s="54">
        <f t="shared" si="40"/>
        <v>1.5558299942659047E-3</v>
      </c>
      <c r="S110" s="54" t="e">
        <f t="shared" si="41"/>
        <v>#DIV/0!</v>
      </c>
      <c r="T110" s="54">
        <f t="shared" si="42"/>
        <v>-1.6100696924651055E-2</v>
      </c>
      <c r="U110" s="55">
        <f t="shared" si="43"/>
        <v>0</v>
      </c>
      <c r="V110" s="56">
        <f t="shared" si="44"/>
        <v>0</v>
      </c>
    </row>
    <row r="111" spans="1:22" ht="3.75" customHeight="1">
      <c r="A111" s="34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</row>
    <row r="112" spans="1:22" ht="15" customHeight="1">
      <c r="A112" s="179" t="s">
        <v>154</v>
      </c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</row>
    <row r="113" spans="1:28">
      <c r="A113" s="181" t="s">
        <v>155</v>
      </c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Z113" s="63"/>
      <c r="AB113" s="66"/>
    </row>
    <row r="114" spans="1:28" ht="16.5" customHeight="1">
      <c r="A114" s="167">
        <v>99</v>
      </c>
      <c r="B114" s="168" t="s">
        <v>156</v>
      </c>
      <c r="C114" s="169" t="s">
        <v>19</v>
      </c>
      <c r="D114" s="27">
        <v>2965395848.6728745</v>
      </c>
      <c r="E114" s="28">
        <f t="shared" ref="E114:E119" si="63">(D114/$D$150)</f>
        <v>1.5315966993233985E-3</v>
      </c>
      <c r="F114" s="27">
        <v>173958.04791690002</v>
      </c>
      <c r="G114" s="27">
        <v>173958.04791690002</v>
      </c>
      <c r="H114" s="30">
        <v>166</v>
      </c>
      <c r="I114" s="48">
        <v>1.1000000000000001E-3</v>
      </c>
      <c r="J114" s="48">
        <v>3.2300000000000002E-2</v>
      </c>
      <c r="K114" s="27">
        <f>1929826.15*W133</f>
        <v>2957150767.604075</v>
      </c>
      <c r="L114" s="28">
        <f t="shared" ref="L114:L130" si="64">(K114/$K$150)</f>
        <v>1.5207588559720475E-3</v>
      </c>
      <c r="M114" s="27">
        <f>112.048*W133</f>
        <v>171695.68834399999</v>
      </c>
      <c r="N114" s="27">
        <f>112.048*W133</f>
        <v>171695.68834399999</v>
      </c>
      <c r="O114" s="30">
        <v>192</v>
      </c>
      <c r="P114" s="48">
        <v>1.1000000000000001E-3</v>
      </c>
      <c r="Q114" s="48">
        <v>3.56E-2</v>
      </c>
      <c r="R114" s="55">
        <f>((K114-D114)/D114)</f>
        <v>-2.7804318511100222E-3</v>
      </c>
      <c r="S114" s="55">
        <f>((N114-G114)/G114)</f>
        <v>-1.3005202116206515E-2</v>
      </c>
      <c r="T114" s="55">
        <f>((O114-H114)/H114)</f>
        <v>0.15662650602409639</v>
      </c>
      <c r="U114" s="55">
        <f>P114-I114</f>
        <v>0</v>
      </c>
      <c r="V114" s="56">
        <f>Q114-J114</f>
        <v>3.2999999999999974E-3</v>
      </c>
      <c r="X114" s="63"/>
      <c r="Y114" s="67"/>
      <c r="Z114" s="63"/>
      <c r="AA114" s="68"/>
    </row>
    <row r="115" spans="1:28" ht="16.5" customHeight="1">
      <c r="A115" s="167">
        <v>100</v>
      </c>
      <c r="B115" s="168" t="s">
        <v>157</v>
      </c>
      <c r="C115" s="169" t="s">
        <v>57</v>
      </c>
      <c r="D115" s="27">
        <v>5311974449.0470085</v>
      </c>
      <c r="E115" s="28">
        <f t="shared" si="63"/>
        <v>2.7435806038143954E-3</v>
      </c>
      <c r="F115" s="27">
        <v>153026.34</v>
      </c>
      <c r="G115" s="27">
        <v>153026.34</v>
      </c>
      <c r="H115" s="30">
        <v>75</v>
      </c>
      <c r="I115" s="48">
        <v>-1.3799999999999999E-3</v>
      </c>
      <c r="J115" s="48">
        <v>7.2907E-2</v>
      </c>
      <c r="K115" s="27">
        <f>3486415.05*W133</f>
        <v>5342374980.9245253</v>
      </c>
      <c r="L115" s="28">
        <f t="shared" si="64"/>
        <v>2.7473959573414059E-3</v>
      </c>
      <c r="M115" s="27">
        <f>100*W133</f>
        <v>153234.04999999999</v>
      </c>
      <c r="N115" s="27">
        <f>100*W133</f>
        <v>153234.04999999999</v>
      </c>
      <c r="O115" s="30">
        <v>75</v>
      </c>
      <c r="P115" s="48">
        <v>-2.104E-3</v>
      </c>
      <c r="Q115" s="48">
        <v>7.0802000000000004E-2</v>
      </c>
      <c r="R115" s="55">
        <f>((K115-D115)/D115)</f>
        <v>5.7230192217831042E-3</v>
      </c>
      <c r="S115" s="55">
        <f>((N115-G115)/G115)</f>
        <v>1.3573480225691332E-3</v>
      </c>
      <c r="T115" s="55">
        <f>((O115-H115)/H115)</f>
        <v>0</v>
      </c>
      <c r="U115" s="55">
        <f>P115-I115</f>
        <v>-7.2400000000000003E-4</v>
      </c>
      <c r="V115" s="56">
        <f>Q115-J115</f>
        <v>-2.1049999999999958E-3</v>
      </c>
      <c r="X115" s="63"/>
      <c r="Y115" s="67"/>
      <c r="Z115" s="63"/>
      <c r="AA115" s="68"/>
    </row>
    <row r="116" spans="1:28">
      <c r="A116" s="167">
        <v>101</v>
      </c>
      <c r="B116" s="168" t="s">
        <v>158</v>
      </c>
      <c r="C116" s="169" t="s">
        <v>23</v>
      </c>
      <c r="D116" s="27">
        <v>16807194046.081167</v>
      </c>
      <c r="E116" s="28">
        <f t="shared" si="63"/>
        <v>8.6807442376997408E-3</v>
      </c>
      <c r="F116" s="27">
        <v>1811.3108231199999</v>
      </c>
      <c r="G116" s="27">
        <v>1811.3108231199999</v>
      </c>
      <c r="H116" s="30">
        <v>315</v>
      </c>
      <c r="I116" s="48">
        <v>4.8500000000000001E-2</v>
      </c>
      <c r="J116" s="48">
        <v>7.85E-2</v>
      </c>
      <c r="K116" s="27">
        <f>10970366.45*1529.3778</f>
        <v>16777834906.494808</v>
      </c>
      <c r="L116" s="28">
        <f t="shared" si="64"/>
        <v>8.6282516595396902E-3</v>
      </c>
      <c r="M116" s="27">
        <f>1.1846*1529.3778</f>
        <v>1811.7009418800001</v>
      </c>
      <c r="N116" s="27">
        <f>1.1846*1529.3778</f>
        <v>1811.7009418800001</v>
      </c>
      <c r="O116" s="30">
        <v>315</v>
      </c>
      <c r="P116" s="48">
        <v>7.9399999999999998E-2</v>
      </c>
      <c r="Q116" s="48">
        <v>7.8600000000000003E-2</v>
      </c>
      <c r="R116" s="55">
        <f t="shared" ref="R116:R128" si="65">((K116-D116)/D116)</f>
        <v>-1.746819814530821E-3</v>
      </c>
      <c r="S116" s="55">
        <f t="shared" ref="S116:S128" si="66">((N116-G116)/G116)</f>
        <v>2.1537924635606958E-4</v>
      </c>
      <c r="T116" s="55">
        <f t="shared" ref="T116:T128" si="67">((O116-H116)/H116)</f>
        <v>0</v>
      </c>
      <c r="U116" s="55">
        <f t="shared" ref="U116:U128" si="68">P116-I116</f>
        <v>3.0899999999999997E-2</v>
      </c>
      <c r="V116" s="56">
        <f t="shared" ref="V116:V128" si="69">Q116-J116</f>
        <v>1.0000000000000286E-4</v>
      </c>
    </row>
    <row r="117" spans="1:28">
      <c r="A117" s="167">
        <v>102</v>
      </c>
      <c r="B117" s="168" t="s">
        <v>288</v>
      </c>
      <c r="C117" s="169" t="s">
        <v>23</v>
      </c>
      <c r="D117" s="27">
        <v>3301209670.784946</v>
      </c>
      <c r="E117" s="28">
        <f t="shared" si="63"/>
        <v>1.7050411120699146E-3</v>
      </c>
      <c r="F117" s="27">
        <v>1564.9125212599999</v>
      </c>
      <c r="G117" s="27">
        <v>1564.9125212599999</v>
      </c>
      <c r="H117" s="30">
        <v>82</v>
      </c>
      <c r="I117" s="48">
        <v>6.13E-2</v>
      </c>
      <c r="J117" s="48">
        <v>4.1599999999999998E-2</v>
      </c>
      <c r="K117" s="27">
        <f>2156961.71*1529.3778</f>
        <v>3298809354.7240381</v>
      </c>
      <c r="L117" s="28">
        <f t="shared" si="64"/>
        <v>1.6964618765192728E-3</v>
      </c>
      <c r="M117" s="27">
        <f>1.0231*1529.3778</f>
        <v>1564.7064271799998</v>
      </c>
      <c r="N117" s="27">
        <f>1.0231*1529.3778</f>
        <v>1564.7064271799998</v>
      </c>
      <c r="O117" s="30">
        <v>84</v>
      </c>
      <c r="P117" s="48">
        <v>6.1199999999999997E-2</v>
      </c>
      <c r="Q117" s="48">
        <v>4.24E-2</v>
      </c>
      <c r="R117" s="55">
        <f t="shared" si="65"/>
        <v>-7.271019717863316E-4</v>
      </c>
      <c r="S117" s="55">
        <f t="shared" ref="S117" si="70">((N117-G117)/G117)</f>
        <v>-1.3169686944177969E-4</v>
      </c>
      <c r="T117" s="55">
        <f t="shared" ref="T117" si="71">((O117-H117)/H117)</f>
        <v>2.4390243902439025E-2</v>
      </c>
      <c r="U117" s="55">
        <f t="shared" ref="U117" si="72">P117-I117</f>
        <v>-1.0000000000000286E-4</v>
      </c>
      <c r="V117" s="56">
        <f t="shared" ref="V117" si="73">Q117-J117</f>
        <v>8.000000000000021E-4</v>
      </c>
    </row>
    <row r="118" spans="1:28">
      <c r="A118" s="167">
        <v>103</v>
      </c>
      <c r="B118" s="168" t="s">
        <v>159</v>
      </c>
      <c r="C118" s="169" t="s">
        <v>27</v>
      </c>
      <c r="D118" s="27">
        <v>19414560312.685596</v>
      </c>
      <c r="E118" s="28">
        <f t="shared" si="63"/>
        <v>1.0027422310930918E-2</v>
      </c>
      <c r="F118" s="27">
        <v>1663.0902631200001</v>
      </c>
      <c r="G118" s="27">
        <v>1663.0902631200001</v>
      </c>
      <c r="H118" s="30">
        <v>474</v>
      </c>
      <c r="I118" s="48">
        <v>1.8E-3</v>
      </c>
      <c r="J118" s="48">
        <v>4.53E-2</v>
      </c>
      <c r="K118" s="27">
        <f>12827640.93*W133</f>
        <v>19656313716.496666</v>
      </c>
      <c r="L118" s="28">
        <f t="shared" si="64"/>
        <v>1.0108552288778454E-2</v>
      </c>
      <c r="M118" s="27">
        <f>1.0886*W133</f>
        <v>1668.1058683000001</v>
      </c>
      <c r="N118" s="27">
        <f>1.0886*W133</f>
        <v>1668.1058683000001</v>
      </c>
      <c r="O118" s="30">
        <v>479</v>
      </c>
      <c r="P118" s="48">
        <v>3.3999999999999998E-3</v>
      </c>
      <c r="Q118" s="48">
        <v>4.7E-2</v>
      </c>
      <c r="R118" s="55">
        <f t="shared" si="65"/>
        <v>1.2452169913583172E-2</v>
      </c>
      <c r="S118" s="55">
        <f t="shared" ref="S118:T121" si="74">((N118-G118)/G118)</f>
        <v>3.0158346129635569E-3</v>
      </c>
      <c r="T118" s="55">
        <f t="shared" si="74"/>
        <v>1.0548523206751054E-2</v>
      </c>
      <c r="U118" s="55">
        <f t="shared" si="68"/>
        <v>1.5999999999999999E-3</v>
      </c>
      <c r="V118" s="56">
        <f t="shared" si="69"/>
        <v>1.7000000000000001E-3</v>
      </c>
    </row>
    <row r="119" spans="1:28">
      <c r="A119" s="167">
        <v>104</v>
      </c>
      <c r="B119" s="168" t="s">
        <v>160</v>
      </c>
      <c r="C119" s="169" t="s">
        <v>63</v>
      </c>
      <c r="D119" s="27">
        <v>802618807.35194409</v>
      </c>
      <c r="E119" s="28">
        <f t="shared" si="63"/>
        <v>4.145444247199822E-4</v>
      </c>
      <c r="F119" s="27">
        <v>1652.6844720000001</v>
      </c>
      <c r="G119" s="27">
        <v>1652.6844720000001</v>
      </c>
      <c r="H119" s="30">
        <v>31</v>
      </c>
      <c r="I119" s="48">
        <v>3.1E-2</v>
      </c>
      <c r="J119" s="48">
        <v>0.14299999999999999</v>
      </c>
      <c r="K119" s="27">
        <f xml:space="preserve"> 523809.26*W133</f>
        <v>802654143.37303007</v>
      </c>
      <c r="L119" s="28">
        <f t="shared" si="64"/>
        <v>4.12776856083728E-4</v>
      </c>
      <c r="M119" s="27">
        <f>1.08*W133</f>
        <v>1654.9277400000001</v>
      </c>
      <c r="N119" s="27">
        <f>1.08*W133</f>
        <v>1654.9277400000001</v>
      </c>
      <c r="O119" s="30">
        <v>31</v>
      </c>
      <c r="P119" s="48">
        <v>4.0000000000000001E-3</v>
      </c>
      <c r="Q119" s="48">
        <v>0.13900000000000001</v>
      </c>
      <c r="R119" s="55">
        <f t="shared" si="65"/>
        <v>4.4025907145835045E-5</v>
      </c>
      <c r="S119" s="55">
        <f t="shared" si="74"/>
        <v>1.3573480225691523E-3</v>
      </c>
      <c r="T119" s="55">
        <f t="shared" si="74"/>
        <v>0</v>
      </c>
      <c r="U119" s="55">
        <f t="shared" si="68"/>
        <v>-2.7E-2</v>
      </c>
      <c r="V119" s="56">
        <f t="shared" si="69"/>
        <v>-3.9999999999999758E-3</v>
      </c>
    </row>
    <row r="120" spans="1:28">
      <c r="A120" s="167">
        <v>105</v>
      </c>
      <c r="B120" s="168" t="s">
        <v>161</v>
      </c>
      <c r="C120" s="169" t="s">
        <v>29</v>
      </c>
      <c r="D120" s="27">
        <v>423335357.04231006</v>
      </c>
      <c r="E120" s="28">
        <v>0</v>
      </c>
      <c r="F120" s="27">
        <v>2005.86926472</v>
      </c>
      <c r="G120" s="27">
        <v>2005.86926472</v>
      </c>
      <c r="H120" s="30">
        <v>47</v>
      </c>
      <c r="I120" s="48">
        <v>8.3900000000000001E-4</v>
      </c>
      <c r="J120" s="48">
        <v>0.1178</v>
      </c>
      <c r="K120" s="27">
        <f>274543.45*W133</f>
        <v>420694047.44472504</v>
      </c>
      <c r="L120" s="28">
        <f t="shared" si="64"/>
        <v>2.1634818397326571E-4</v>
      </c>
      <c r="M120" s="27">
        <f>1.3151*W133</f>
        <v>2015.1809915499998</v>
      </c>
      <c r="N120" s="27">
        <f>1.3151*W133</f>
        <v>2015.1809915499998</v>
      </c>
      <c r="O120" s="30">
        <v>48</v>
      </c>
      <c r="P120" s="48">
        <v>4.5600000000000003E-4</v>
      </c>
      <c r="Q120" s="48">
        <v>9.4799999999999995E-2</v>
      </c>
      <c r="R120" s="55">
        <f t="shared" si="65"/>
        <v>-6.2392841836762481E-3</v>
      </c>
      <c r="S120" s="55">
        <f t="shared" si="74"/>
        <v>4.6422401468420712E-3</v>
      </c>
      <c r="T120" s="55">
        <f t="shared" si="74"/>
        <v>2.1276595744680851E-2</v>
      </c>
      <c r="U120" s="55">
        <f t="shared" si="68"/>
        <v>-3.8299999999999999E-4</v>
      </c>
      <c r="V120" s="56">
        <f t="shared" si="69"/>
        <v>-2.3000000000000007E-2</v>
      </c>
    </row>
    <row r="121" spans="1:28">
      <c r="A121" s="167">
        <v>106</v>
      </c>
      <c r="B121" s="168" t="s">
        <v>162</v>
      </c>
      <c r="C121" s="169" t="s">
        <v>70</v>
      </c>
      <c r="D121" s="27">
        <v>806776334.07550204</v>
      </c>
      <c r="E121" s="28">
        <f t="shared" ref="E121:E130" si="75">(D121/$D$150)</f>
        <v>4.1669174485263835E-4</v>
      </c>
      <c r="F121" s="27">
        <v>160754.17017</v>
      </c>
      <c r="G121" s="27">
        <v>160754.17017</v>
      </c>
      <c r="H121" s="30">
        <v>52</v>
      </c>
      <c r="I121" s="48">
        <v>8.0000000000000002E-3</v>
      </c>
      <c r="J121" s="48">
        <v>2.1999999999999999E-2</v>
      </c>
      <c r="K121" s="27">
        <f>540887.37*W133</f>
        <v>828823622.98948503</v>
      </c>
      <c r="L121" s="28">
        <f t="shared" si="64"/>
        <v>4.2623490100957001E-4</v>
      </c>
      <c r="M121" s="27">
        <f>105.59*W133</f>
        <v>161799.83339499999</v>
      </c>
      <c r="N121" s="27">
        <f>105.7*W133</f>
        <v>161968.39085</v>
      </c>
      <c r="O121" s="30">
        <v>52</v>
      </c>
      <c r="P121" s="48">
        <v>-2.5999999999999999E-3</v>
      </c>
      <c r="Q121" s="48">
        <v>1.9400000000000001E-2</v>
      </c>
      <c r="R121" s="55">
        <f t="shared" si="65"/>
        <v>2.73276346649996E-2</v>
      </c>
      <c r="S121" s="55">
        <f t="shared" si="74"/>
        <v>7.5532764015760314E-3</v>
      </c>
      <c r="T121" s="55">
        <f t="shared" si="74"/>
        <v>0</v>
      </c>
      <c r="U121" s="55">
        <f t="shared" si="68"/>
        <v>-1.06E-2</v>
      </c>
      <c r="V121" s="56">
        <f t="shared" si="69"/>
        <v>-2.5999999999999981E-3</v>
      </c>
    </row>
    <row r="122" spans="1:28">
      <c r="A122" s="167">
        <v>107</v>
      </c>
      <c r="B122" s="168" t="s">
        <v>163</v>
      </c>
      <c r="C122" s="169" t="s">
        <v>73</v>
      </c>
      <c r="D122" s="27">
        <v>5351839677.5383558</v>
      </c>
      <c r="E122" s="28">
        <f t="shared" si="75"/>
        <v>2.7641705875774219E-3</v>
      </c>
      <c r="F122" s="27">
        <v>170244.86377679999</v>
      </c>
      <c r="G122" s="27">
        <v>170244.86377679999</v>
      </c>
      <c r="H122" s="30">
        <v>61</v>
      </c>
      <c r="I122" s="48">
        <v>8.9999999999999993E-3</v>
      </c>
      <c r="J122" s="48">
        <v>7.0400000000000004E-2</v>
      </c>
      <c r="K122" s="27">
        <v>5258925234.3116198</v>
      </c>
      <c r="L122" s="28">
        <f t="shared" si="64"/>
        <v>2.7044806814006321E-3</v>
      </c>
      <c r="M122" s="27">
        <v>170373.12525844999</v>
      </c>
      <c r="N122" s="27">
        <v>170373.12525844999</v>
      </c>
      <c r="O122" s="30">
        <v>61</v>
      </c>
      <c r="P122" s="48">
        <v>8.9999999999999993E-3</v>
      </c>
      <c r="Q122" s="48">
        <v>6.6699999999999995E-2</v>
      </c>
      <c r="R122" s="55">
        <f t="shared" si="65"/>
        <v>-1.736121573609492E-2</v>
      </c>
      <c r="S122" s="55">
        <f t="shared" si="66"/>
        <v>7.5339413362952683E-4</v>
      </c>
      <c r="T122" s="55">
        <f t="shared" si="67"/>
        <v>0</v>
      </c>
      <c r="U122" s="55">
        <f t="shared" si="68"/>
        <v>0</v>
      </c>
      <c r="V122" s="56">
        <f t="shared" si="69"/>
        <v>-3.7000000000000088E-3</v>
      </c>
      <c r="X122" s="64"/>
    </row>
    <row r="123" spans="1:28">
      <c r="A123" s="167">
        <v>108</v>
      </c>
      <c r="B123" s="168" t="s">
        <v>164</v>
      </c>
      <c r="C123" s="169" t="s">
        <v>31</v>
      </c>
      <c r="D123" s="27">
        <v>56416042285.349998</v>
      </c>
      <c r="E123" s="28">
        <f t="shared" si="75"/>
        <v>2.9138310216425753E-2</v>
      </c>
      <c r="F123" s="27">
        <v>201453.40000000002</v>
      </c>
      <c r="G123" s="27">
        <v>201453.40000000002</v>
      </c>
      <c r="H123" s="30">
        <v>2432</v>
      </c>
      <c r="I123" s="48">
        <v>1.4E-3</v>
      </c>
      <c r="J123" s="48">
        <v>3.8399999999999997E-2</v>
      </c>
      <c r="K123" s="27">
        <f>36808679.23*1536.64</f>
        <v>56561688851.987198</v>
      </c>
      <c r="L123" s="28">
        <f t="shared" si="64"/>
        <v>2.9087691494366009E-2</v>
      </c>
      <c r="M123" s="27">
        <f>131.44*1536.64</f>
        <v>201975.96160000001</v>
      </c>
      <c r="N123" s="27">
        <f>131.44*1536.64</f>
        <v>201975.96160000001</v>
      </c>
      <c r="O123" s="30">
        <v>2432</v>
      </c>
      <c r="P123" s="48">
        <v>1.5E-3</v>
      </c>
      <c r="Q123" s="48">
        <v>0.04</v>
      </c>
      <c r="R123" s="55">
        <f t="shared" si="65"/>
        <v>2.5816516142788803E-3</v>
      </c>
      <c r="S123" s="55">
        <f t="shared" si="66"/>
        <v>2.5939577093262575E-3</v>
      </c>
      <c r="T123" s="55">
        <f t="shared" si="67"/>
        <v>0</v>
      </c>
      <c r="U123" s="55">
        <f t="shared" si="68"/>
        <v>1.0000000000000005E-4</v>
      </c>
      <c r="V123" s="56">
        <f t="shared" si="69"/>
        <v>1.6000000000000042E-3</v>
      </c>
    </row>
    <row r="124" spans="1:28">
      <c r="A124" s="167">
        <v>109</v>
      </c>
      <c r="B124" s="174" t="s">
        <v>165</v>
      </c>
      <c r="C124" s="174" t="s">
        <v>31</v>
      </c>
      <c r="D124" s="27">
        <v>158530308620.69998</v>
      </c>
      <c r="E124" s="28">
        <f t="shared" si="75"/>
        <v>8.1879286886723024E-2</v>
      </c>
      <c r="F124" s="27">
        <v>190155.8</v>
      </c>
      <c r="G124" s="27">
        <v>190155.8</v>
      </c>
      <c r="H124" s="30">
        <v>888</v>
      </c>
      <c r="I124" s="48">
        <v>1.5E-3</v>
      </c>
      <c r="J124" s="48">
        <v>4.3400000000000001E-2</v>
      </c>
      <c r="K124" s="27">
        <f>104552500.26*1536.64</f>
        <v>160659553999.52643</v>
      </c>
      <c r="L124" s="28">
        <f t="shared" si="64"/>
        <v>8.2621570133623687E-2</v>
      </c>
      <c r="M124" s="27">
        <f>124.08*1536.64</f>
        <v>190666.29120000001</v>
      </c>
      <c r="N124" s="27">
        <f>124.08*1536.64</f>
        <v>190666.29120000001</v>
      </c>
      <c r="O124" s="30">
        <v>888</v>
      </c>
      <c r="P124" s="48">
        <v>1.6000000000000001E-3</v>
      </c>
      <c r="Q124" s="48">
        <v>4.5100000000000001E-2</v>
      </c>
      <c r="R124" s="55">
        <f t="shared" si="65"/>
        <v>1.3431156460566064E-2</v>
      </c>
      <c r="S124" s="55">
        <f t="shared" si="66"/>
        <v>2.684594422047703E-3</v>
      </c>
      <c r="T124" s="55">
        <f t="shared" si="67"/>
        <v>0</v>
      </c>
      <c r="U124" s="55">
        <f t="shared" si="68"/>
        <v>1.0000000000000005E-4</v>
      </c>
      <c r="V124" s="56">
        <f t="shared" si="69"/>
        <v>1.7000000000000001E-3</v>
      </c>
      <c r="X124" s="63"/>
    </row>
    <row r="125" spans="1:28">
      <c r="A125" s="167">
        <v>110</v>
      </c>
      <c r="B125" s="168" t="s">
        <v>300</v>
      </c>
      <c r="C125" s="169" t="s">
        <v>299</v>
      </c>
      <c r="D125" s="27">
        <v>1003252223.2260361</v>
      </c>
      <c r="E125" s="28">
        <f t="shared" si="75"/>
        <v>5.1816953691681132E-4</v>
      </c>
      <c r="F125" s="27">
        <v>1530.2634</v>
      </c>
      <c r="G125" s="27">
        <v>1530.2634</v>
      </c>
      <c r="H125" s="30">
        <v>9</v>
      </c>
      <c r="I125" s="48">
        <v>9.2700000000000005E-2</v>
      </c>
      <c r="J125" s="48">
        <v>8.7599999999999997E-2</v>
      </c>
      <c r="K125" s="27">
        <f>656720.22*W133</f>
        <v>1006318990.27491</v>
      </c>
      <c r="L125" s="28">
        <f t="shared" si="64"/>
        <v>5.1751453904845849E-4</v>
      </c>
      <c r="M125" s="27">
        <f>1*W133</f>
        <v>1532.3405</v>
      </c>
      <c r="N125" s="27">
        <f>1*W133</f>
        <v>1532.3405</v>
      </c>
      <c r="O125" s="30">
        <v>8</v>
      </c>
      <c r="P125" s="48">
        <v>9.2499999999999999E-2</v>
      </c>
      <c r="Q125" s="48">
        <v>8.7599999999999997E-2</v>
      </c>
      <c r="R125" s="55">
        <f t="shared" ref="R125" si="76">((K125-D125)/D125)</f>
        <v>3.0568255697579934E-3</v>
      </c>
      <c r="S125" s="55">
        <f t="shared" ref="S125" si="77">((N125-G125)/G125)</f>
        <v>1.3573480225691687E-3</v>
      </c>
      <c r="T125" s="55">
        <f t="shared" si="67"/>
        <v>-0.1111111111111111</v>
      </c>
      <c r="U125" s="55">
        <f t="shared" si="68"/>
        <v>-2.0000000000000573E-4</v>
      </c>
      <c r="V125" s="56">
        <f t="shared" si="69"/>
        <v>0</v>
      </c>
    </row>
    <row r="126" spans="1:28">
      <c r="A126" s="167">
        <v>111</v>
      </c>
      <c r="B126" s="168" t="s">
        <v>166</v>
      </c>
      <c r="C126" s="169" t="s">
        <v>35</v>
      </c>
      <c r="D126" s="27">
        <v>251521208.14881</v>
      </c>
      <c r="E126" s="28">
        <f t="shared" si="75"/>
        <v>1.299081376885839E-4</v>
      </c>
      <c r="F126" s="27">
        <v>197006.11011600003</v>
      </c>
      <c r="G126" s="27">
        <v>197006.11011600003</v>
      </c>
      <c r="H126" s="30">
        <v>9</v>
      </c>
      <c r="I126" s="48">
        <v>2.5999999999999999E-3</v>
      </c>
      <c r="J126" s="48">
        <v>0.13539999999999999</v>
      </c>
      <c r="K126" s="27">
        <f>164602.46*W133</f>
        <v>252227015.85762998</v>
      </c>
      <c r="L126" s="28">
        <f t="shared" si="64"/>
        <v>1.2971150212664738E-4</v>
      </c>
      <c r="M126" s="27">
        <f>128.92*W133</f>
        <v>197549.33725999997</v>
      </c>
      <c r="N126" s="27">
        <f>128.92*W133</f>
        <v>197549.33725999997</v>
      </c>
      <c r="O126" s="30">
        <v>9</v>
      </c>
      <c r="P126" s="48">
        <v>1.4E-3</v>
      </c>
      <c r="Q126" s="48">
        <v>0.1371</v>
      </c>
      <c r="R126" s="55">
        <f t="shared" si="65"/>
        <v>2.8061558467165175E-3</v>
      </c>
      <c r="S126" s="55">
        <f t="shared" si="66"/>
        <v>2.7574126694856617E-3</v>
      </c>
      <c r="T126" s="55">
        <f t="shared" si="67"/>
        <v>0</v>
      </c>
      <c r="U126" s="55">
        <f t="shared" si="68"/>
        <v>-1.1999999999999999E-3</v>
      </c>
      <c r="V126" s="56">
        <f t="shared" si="69"/>
        <v>1.7000000000000071E-3</v>
      </c>
    </row>
    <row r="127" spans="1:28">
      <c r="A127" s="167">
        <v>112</v>
      </c>
      <c r="B127" s="168" t="s">
        <v>167</v>
      </c>
      <c r="C127" s="169" t="s">
        <v>41</v>
      </c>
      <c r="D127" s="27">
        <v>17108737921.364828</v>
      </c>
      <c r="E127" s="28">
        <f t="shared" si="75"/>
        <v>8.8364885725723801E-3</v>
      </c>
      <c r="F127" s="27">
        <v>2172.9740280000001</v>
      </c>
      <c r="G127" s="27">
        <v>2172.9740280000001</v>
      </c>
      <c r="H127" s="44">
        <v>118</v>
      </c>
      <c r="I127" s="51">
        <v>8.9999999999999998E-4</v>
      </c>
      <c r="J127" s="51">
        <v>4.9099999999999998E-2</v>
      </c>
      <c r="K127" s="27">
        <f>10850300.93*W133</f>
        <v>16626355552.226665</v>
      </c>
      <c r="L127" s="28">
        <f t="shared" si="64"/>
        <v>8.5503511439407355E-3</v>
      </c>
      <c r="M127" s="27">
        <f>1.42*W133</f>
        <v>2175.9235100000001</v>
      </c>
      <c r="N127" s="27">
        <f>1.42*W133</f>
        <v>2175.9235100000001</v>
      </c>
      <c r="O127" s="44">
        <v>117</v>
      </c>
      <c r="P127" s="51">
        <v>1.2999999999999999E-3</v>
      </c>
      <c r="Q127" s="51">
        <v>4.9799999999999997E-2</v>
      </c>
      <c r="R127" s="55">
        <f t="shared" si="65"/>
        <v>-2.8195087875873031E-2</v>
      </c>
      <c r="S127" s="55">
        <f t="shared" si="66"/>
        <v>1.3573480225691813E-3</v>
      </c>
      <c r="T127" s="55">
        <f t="shared" si="67"/>
        <v>-8.4745762711864406E-3</v>
      </c>
      <c r="U127" s="55">
        <f t="shared" si="68"/>
        <v>3.9999999999999996E-4</v>
      </c>
      <c r="V127" s="56">
        <f t="shared" si="69"/>
        <v>6.9999999999999923E-4</v>
      </c>
    </row>
    <row r="128" spans="1:28">
      <c r="A128" s="167">
        <v>113</v>
      </c>
      <c r="B128" s="168" t="s">
        <v>168</v>
      </c>
      <c r="C128" s="169" t="s">
        <v>87</v>
      </c>
      <c r="D128" s="27">
        <v>31471392493.609802</v>
      </c>
      <c r="E128" s="28">
        <f t="shared" si="75"/>
        <v>1.6254653114152001E-2</v>
      </c>
      <c r="F128" s="27">
        <v>158458.77507</v>
      </c>
      <c r="G128" s="27">
        <v>157617.13020000001</v>
      </c>
      <c r="H128" s="30">
        <v>693</v>
      </c>
      <c r="I128" s="51">
        <v>1.6000000000000001E-3</v>
      </c>
      <c r="J128" s="48">
        <v>9.69E-2</v>
      </c>
      <c r="K128" s="27">
        <f>20454611*W133</f>
        <v>31343428847.045502</v>
      </c>
      <c r="L128" s="28">
        <f t="shared" si="64"/>
        <v>1.6118825430836484E-2</v>
      </c>
      <c r="M128" s="27">
        <f>103.75*W133</f>
        <v>158980.326875</v>
      </c>
      <c r="N128" s="27">
        <f>103.75*W133</f>
        <v>158980.326875</v>
      </c>
      <c r="O128" s="30">
        <v>699</v>
      </c>
      <c r="P128" s="51">
        <v>2E-3</v>
      </c>
      <c r="Q128" s="48">
        <v>9.7100000000000006E-2</v>
      </c>
      <c r="R128" s="55">
        <f t="shared" si="65"/>
        <v>-4.0660306527676932E-3</v>
      </c>
      <c r="S128" s="55">
        <f t="shared" si="66"/>
        <v>8.6487850227334271E-3</v>
      </c>
      <c r="T128" s="55">
        <f t="shared" si="67"/>
        <v>8.658008658008658E-3</v>
      </c>
      <c r="U128" s="55">
        <f t="shared" si="68"/>
        <v>3.9999999999999996E-4</v>
      </c>
      <c r="V128" s="56">
        <f t="shared" si="69"/>
        <v>2.0000000000000573E-4</v>
      </c>
    </row>
    <row r="129" spans="1:24">
      <c r="A129" s="167">
        <v>114</v>
      </c>
      <c r="B129" s="168" t="s">
        <v>169</v>
      </c>
      <c r="C129" s="169" t="s">
        <v>45</v>
      </c>
      <c r="D129" s="27">
        <v>2658559627.9041724</v>
      </c>
      <c r="E129" s="28">
        <f t="shared" si="75"/>
        <v>1.3731189220065759E-3</v>
      </c>
      <c r="F129" s="27">
        <v>214340.50849797481</v>
      </c>
      <c r="G129" s="27">
        <v>222306.75829648503</v>
      </c>
      <c r="H129" s="30">
        <v>51</v>
      </c>
      <c r="I129" s="48">
        <v>-4.5999999999999999E-3</v>
      </c>
      <c r="J129" s="48">
        <v>2.3E-2</v>
      </c>
      <c r="K129" s="27">
        <f>1745381.91*W133</f>
        <v>2674519388.6603551</v>
      </c>
      <c r="L129" s="28">
        <f t="shared" si="64"/>
        <v>1.3754114569780845E-3</v>
      </c>
      <c r="M129" s="27">
        <f>140.581559*W133</f>
        <v>215418.81640883951</v>
      </c>
      <c r="N129" s="27">
        <f>145.824469*W133</f>
        <v>223452.73973969449</v>
      </c>
      <c r="O129" s="30">
        <v>52</v>
      </c>
      <c r="P129" s="48">
        <v>3.0000000000000001E-3</v>
      </c>
      <c r="Q129" s="48">
        <v>2.6800000000000001E-2</v>
      </c>
      <c r="R129" s="55">
        <f t="shared" ref="R129:R130" si="78">((K129-D129)/D129)</f>
        <v>6.0031607298438741E-3</v>
      </c>
      <c r="S129" s="55">
        <f t="shared" ref="S129:S130" si="79">((N129-G129)/G129)</f>
        <v>5.1549554857935991E-3</v>
      </c>
      <c r="T129" s="55">
        <f t="shared" ref="T129:T130" si="80">((O129-H129)/H129)</f>
        <v>1.9607843137254902E-2</v>
      </c>
      <c r="U129" s="55">
        <f t="shared" ref="U129:U130" si="81">P129-I129</f>
        <v>7.6E-3</v>
      </c>
      <c r="V129" s="56">
        <f t="shared" ref="V129:V130" si="82">Q129-J129</f>
        <v>3.8000000000000013E-3</v>
      </c>
    </row>
    <row r="130" spans="1:24">
      <c r="A130" s="167">
        <v>115</v>
      </c>
      <c r="B130" s="168" t="s">
        <v>170</v>
      </c>
      <c r="C130" s="169" t="s">
        <v>52</v>
      </c>
      <c r="D130" s="31">
        <v>176075184456.95361</v>
      </c>
      <c r="E130" s="28">
        <f t="shared" si="75"/>
        <v>9.0941036242334683E-2</v>
      </c>
      <c r="F130" s="27">
        <v>186716.97273600003</v>
      </c>
      <c r="G130" s="27">
        <v>186716.97273600003</v>
      </c>
      <c r="H130" s="30">
        <v>3837</v>
      </c>
      <c r="I130" s="48">
        <v>5.6500000000000002E-2</v>
      </c>
      <c r="J130" s="48">
        <v>9.4600000000000004E-2</v>
      </c>
      <c r="K130" s="31">
        <f>114584537.99*1536.64</f>
        <v>176075184456.95361</v>
      </c>
      <c r="L130" s="28">
        <f t="shared" si="64"/>
        <v>9.0549287852770971E-2</v>
      </c>
      <c r="M130" s="27">
        <f>121.5099*1536.64</f>
        <v>186716.97273600003</v>
      </c>
      <c r="N130" s="27">
        <f>121.5099*1536.64</f>
        <v>186716.97273600003</v>
      </c>
      <c r="O130" s="30">
        <v>3837</v>
      </c>
      <c r="P130" s="48">
        <v>5.6500000000000002E-2</v>
      </c>
      <c r="Q130" s="48">
        <v>9.4600000000000004E-2</v>
      </c>
      <c r="R130" s="55">
        <f t="shared" si="78"/>
        <v>0</v>
      </c>
      <c r="S130" s="55">
        <f t="shared" si="79"/>
        <v>0</v>
      </c>
      <c r="T130" s="55">
        <f t="shared" si="80"/>
        <v>0</v>
      </c>
      <c r="U130" s="55">
        <f t="shared" si="81"/>
        <v>0</v>
      </c>
      <c r="V130" s="56">
        <f t="shared" si="82"/>
        <v>0</v>
      </c>
    </row>
    <row r="131" spans="1:24" ht="6" customHeight="1">
      <c r="A131" s="34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</row>
    <row r="132" spans="1:24">
      <c r="A132" s="181" t="s">
        <v>171</v>
      </c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</row>
    <row r="133" spans="1:24">
      <c r="A133" s="167">
        <v>116</v>
      </c>
      <c r="B133" s="168" t="s">
        <v>172</v>
      </c>
      <c r="C133" s="169" t="s">
        <v>115</v>
      </c>
      <c r="D133" s="31">
        <v>1849674896.9161501</v>
      </c>
      <c r="E133" s="28">
        <f t="shared" ref="E133:E146" si="83">(D133/$D$150)</f>
        <v>9.5533821166100862E-4</v>
      </c>
      <c r="F133" s="27">
        <v>165987.67099800002</v>
      </c>
      <c r="G133" s="27">
        <v>165987.67099800002</v>
      </c>
      <c r="H133" s="30">
        <v>23</v>
      </c>
      <c r="I133" s="48">
        <v>1.5E-3</v>
      </c>
      <c r="J133" s="48">
        <v>9.7299999999999998E-2</v>
      </c>
      <c r="K133" s="31">
        <f>1207677.98*W133</f>
        <v>1850573879.7121899</v>
      </c>
      <c r="L133" s="28">
        <f t="shared" ref="L133:L149" si="84">(K133/$K$150)</f>
        <v>9.5168519881826314E-4</v>
      </c>
      <c r="M133" s="27">
        <f>108.85*W133</f>
        <v>166795.26342499998</v>
      </c>
      <c r="N133" s="27">
        <f>108.85*W133</f>
        <v>166795.26342499998</v>
      </c>
      <c r="O133" s="30">
        <v>23</v>
      </c>
      <c r="P133" s="48">
        <v>3.2000000000000002E-3</v>
      </c>
      <c r="Q133" s="48">
        <v>9.6000000000000002E-2</v>
      </c>
      <c r="R133" s="55">
        <f>((K133-D133)/D133)</f>
        <v>4.8602205584269908E-4</v>
      </c>
      <c r="S133" s="55">
        <f>((N133-G133)/G133)</f>
        <v>4.8653759772898887E-3</v>
      </c>
      <c r="T133" s="55">
        <f>((O133-H133)/H133)</f>
        <v>0</v>
      </c>
      <c r="U133" s="55">
        <f>P133-I133</f>
        <v>1.7000000000000001E-3</v>
      </c>
      <c r="V133" s="56">
        <f>Q133-J133</f>
        <v>-1.2999999999999956E-3</v>
      </c>
      <c r="W133" s="135">
        <v>1532.3405</v>
      </c>
    </row>
    <row r="134" spans="1:24">
      <c r="A134" s="167">
        <v>117</v>
      </c>
      <c r="B134" s="169" t="s">
        <v>173</v>
      </c>
      <c r="C134" s="169" t="s">
        <v>25</v>
      </c>
      <c r="D134" s="27">
        <v>19512306575.979126</v>
      </c>
      <c r="E134" s="28">
        <f t="shared" si="83"/>
        <v>1.0077907258597708E-2</v>
      </c>
      <c r="F134" s="31">
        <v>210809.085984</v>
      </c>
      <c r="G134" s="31">
        <v>210809.085984</v>
      </c>
      <c r="H134" s="30">
        <v>591</v>
      </c>
      <c r="I134" s="48">
        <v>5.0000000000000001E-4</v>
      </c>
      <c r="J134" s="48">
        <v>3.0099999999999998E-2</v>
      </c>
      <c r="K134" s="27">
        <f>12746615.38*W133</f>
        <v>19532154984.696892</v>
      </c>
      <c r="L134" s="28">
        <f t="shared" si="84"/>
        <v>1.0044701810473709E-2</v>
      </c>
      <c r="M134" s="31">
        <f>137.92*W133</f>
        <v>211340.40175999998</v>
      </c>
      <c r="N134" s="31">
        <f>137.92*W133</f>
        <v>211340.40175999998</v>
      </c>
      <c r="O134" s="30">
        <v>594</v>
      </c>
      <c r="P134" s="48">
        <v>5.0000000000000001E-4</v>
      </c>
      <c r="Q134" s="48">
        <v>3.1199999999999999E-2</v>
      </c>
      <c r="R134" s="55">
        <f t="shared" ref="R134:R150" si="85">((K134-D134)/D134)</f>
        <v>1.0172251363762624E-3</v>
      </c>
      <c r="S134" s="55">
        <f t="shared" ref="S134:S150" si="86">((N134-G134)/G134)</f>
        <v>2.5203646869390623E-3</v>
      </c>
      <c r="T134" s="55">
        <f t="shared" ref="T134:T150" si="87">((O134-H134)/H134)</f>
        <v>5.076142131979695E-3</v>
      </c>
      <c r="U134" s="55">
        <f t="shared" ref="U134:U150" si="88">P134-I134</f>
        <v>0</v>
      </c>
      <c r="V134" s="56">
        <f t="shared" ref="V134:V150" si="89">Q134-J134</f>
        <v>1.1000000000000003E-3</v>
      </c>
    </row>
    <row r="135" spans="1:24">
      <c r="A135" s="167">
        <v>118</v>
      </c>
      <c r="B135" s="168" t="s">
        <v>174</v>
      </c>
      <c r="C135" s="169" t="s">
        <v>67</v>
      </c>
      <c r="D135" s="31">
        <v>19606373053.259998</v>
      </c>
      <c r="E135" s="28">
        <f t="shared" si="83"/>
        <v>1.0126491634334539E-2</v>
      </c>
      <c r="F135" s="31">
        <v>175596.82</v>
      </c>
      <c r="G135" s="31">
        <v>175596.82</v>
      </c>
      <c r="H135" s="30">
        <v>432</v>
      </c>
      <c r="I135" s="48">
        <v>1.1000000000000001E-3</v>
      </c>
      <c r="J135" s="48">
        <v>6.3200000000000006E-2</v>
      </c>
      <c r="K135" s="31">
        <v>19052509064.259998</v>
      </c>
      <c r="L135" s="28">
        <f t="shared" si="84"/>
        <v>9.7980367471883975E-3</v>
      </c>
      <c r="M135" s="31">
        <v>175902.02</v>
      </c>
      <c r="N135" s="31">
        <v>175902.02</v>
      </c>
      <c r="O135" s="30">
        <v>432</v>
      </c>
      <c r="P135" s="48">
        <v>1.6999999999999999E-3</v>
      </c>
      <c r="Q135" s="48">
        <v>6.3200000000000006E-2</v>
      </c>
      <c r="R135" s="55">
        <f t="shared" si="85"/>
        <v>-2.8249181401141795E-2</v>
      </c>
      <c r="S135" s="55">
        <f t="shared" si="86"/>
        <v>1.7380724776222174E-3</v>
      </c>
      <c r="T135" s="55">
        <f t="shared" si="87"/>
        <v>0</v>
      </c>
      <c r="U135" s="55">
        <f t="shared" si="88"/>
        <v>5.9999999999999984E-4</v>
      </c>
      <c r="V135" s="56">
        <f t="shared" si="89"/>
        <v>0</v>
      </c>
    </row>
    <row r="136" spans="1:24">
      <c r="A136" s="167">
        <v>119</v>
      </c>
      <c r="B136" s="168" t="s">
        <v>295</v>
      </c>
      <c r="C136" s="169" t="s">
        <v>296</v>
      </c>
      <c r="D136" s="27">
        <v>193835985.85129201</v>
      </c>
      <c r="E136" s="28">
        <f t="shared" ref="E136" si="90">(D136/$D$110)</f>
        <v>8.9285378917683834E-4</v>
      </c>
      <c r="F136" s="33">
        <v>1514.6547133200002</v>
      </c>
      <c r="G136" s="33">
        <v>1514.6547133200002</v>
      </c>
      <c r="H136" s="30">
        <v>3</v>
      </c>
      <c r="I136" s="48">
        <v>1.3412511518378301E-2</v>
      </c>
      <c r="J136" s="48">
        <v>4.629226393580288E-2</v>
      </c>
      <c r="K136" s="27">
        <f>119638.66*W133</f>
        <v>183327164.08373001</v>
      </c>
      <c r="L136" s="28">
        <f t="shared" ref="L136" si="91">(K136/$K$110)</f>
        <v>8.4313592735262683E-4</v>
      </c>
      <c r="M136" s="33">
        <f>0.934*W133</f>
        <v>1431.2060270000002</v>
      </c>
      <c r="N136" s="33">
        <f>0.934*W133</f>
        <v>1431.2060270000002</v>
      </c>
      <c r="O136" s="30">
        <v>3</v>
      </c>
      <c r="P136" s="48">
        <v>-5.637502525762772E-2</v>
      </c>
      <c r="Q136" s="48">
        <v>-9.5859655855270454E-3</v>
      </c>
      <c r="R136" s="54">
        <f t="shared" si="85"/>
        <v>-5.4215019576520786E-2</v>
      </c>
      <c r="S136" s="54">
        <f t="shared" si="86"/>
        <v>-5.5094197764114325E-2</v>
      </c>
      <c r="T136" s="54">
        <f t="shared" si="87"/>
        <v>0</v>
      </c>
      <c r="U136" s="55">
        <f t="shared" si="88"/>
        <v>-6.9787536776006021E-2</v>
      </c>
      <c r="V136" s="56">
        <f t="shared" si="89"/>
        <v>-5.5878229521329925E-2</v>
      </c>
    </row>
    <row r="137" spans="1:24">
      <c r="A137" s="167">
        <v>120</v>
      </c>
      <c r="B137" s="168" t="s">
        <v>175</v>
      </c>
      <c r="C137" s="169" t="s">
        <v>65</v>
      </c>
      <c r="D137" s="31">
        <v>9588122544.7234859</v>
      </c>
      <c r="E137" s="28">
        <f t="shared" si="83"/>
        <v>4.9521674648525943E-3</v>
      </c>
      <c r="F137" s="31">
        <v>2003.5918954943525</v>
      </c>
      <c r="G137" s="31">
        <v>2003.5918954943525</v>
      </c>
      <c r="H137" s="30">
        <v>272</v>
      </c>
      <c r="I137" s="48">
        <v>6.5238929275733173E-2</v>
      </c>
      <c r="J137" s="48">
        <v>6.5953660802985273E-2</v>
      </c>
      <c r="K137" s="31">
        <v>9651714337.5430603</v>
      </c>
      <c r="L137" s="28">
        <f t="shared" si="84"/>
        <v>4.9635379483959343E-3</v>
      </c>
      <c r="M137" s="31">
        <v>2008.7646876532322</v>
      </c>
      <c r="N137" s="31">
        <v>2008.7646876532322</v>
      </c>
      <c r="O137" s="30">
        <v>271</v>
      </c>
      <c r="P137" s="48">
        <v>7.8826459357717704E-2</v>
      </c>
      <c r="Q137" s="48">
        <v>6.6502670416198145E-2</v>
      </c>
      <c r="R137" s="55">
        <f t="shared" si="85"/>
        <v>6.6323508614906101E-3</v>
      </c>
      <c r="S137" s="55">
        <f t="shared" si="86"/>
        <v>2.5817593745074531E-3</v>
      </c>
      <c r="T137" s="54">
        <f t="shared" si="87"/>
        <v>-3.6764705882352941E-3</v>
      </c>
      <c r="U137" s="55">
        <f t="shared" si="88"/>
        <v>1.3587530081984531E-2</v>
      </c>
      <c r="V137" s="56">
        <f t="shared" si="89"/>
        <v>5.4900961321287245E-4</v>
      </c>
    </row>
    <row r="138" spans="1:24">
      <c r="A138" s="167">
        <v>121</v>
      </c>
      <c r="B138" s="168" t="s">
        <v>302</v>
      </c>
      <c r="C138" s="169" t="s">
        <v>37</v>
      </c>
      <c r="D138" s="31">
        <v>94795596728.0504</v>
      </c>
      <c r="E138" s="28">
        <f t="shared" si="83"/>
        <v>4.8960958491950167E-2</v>
      </c>
      <c r="F138" s="31">
        <v>152971</v>
      </c>
      <c r="G138" s="31">
        <v>152971</v>
      </c>
      <c r="H138" s="30">
        <v>1875</v>
      </c>
      <c r="I138" s="48">
        <v>6.629800000000001E-2</v>
      </c>
      <c r="J138" s="48">
        <v>5.0704899999999997E-2</v>
      </c>
      <c r="K138" s="31">
        <v>95055892518.1866</v>
      </c>
      <c r="L138" s="28">
        <f t="shared" si="84"/>
        <v>4.8883909451962623E-2</v>
      </c>
      <c r="M138" s="31">
        <f>100*1529.71</f>
        <v>152971</v>
      </c>
      <c r="N138" s="31">
        <f>100*1529.71</f>
        <v>152971</v>
      </c>
      <c r="O138" s="30">
        <v>1877</v>
      </c>
      <c r="P138" s="48">
        <v>5.3768000000000003E-2</v>
      </c>
      <c r="Q138" s="48">
        <v>5.0812599999999999E-2</v>
      </c>
      <c r="R138" s="55">
        <f t="shared" si="85"/>
        <v>2.7458637227943876E-3</v>
      </c>
      <c r="S138" s="55">
        <f t="shared" si="86"/>
        <v>0</v>
      </c>
      <c r="T138" s="55">
        <f t="shared" si="87"/>
        <v>1.0666666666666667E-3</v>
      </c>
      <c r="U138" s="55">
        <f t="shared" si="88"/>
        <v>-1.2530000000000006E-2</v>
      </c>
      <c r="V138" s="56">
        <f t="shared" si="89"/>
        <v>1.0770000000000224E-4</v>
      </c>
    </row>
    <row r="139" spans="1:24" ht="15.6">
      <c r="A139" s="167">
        <v>122</v>
      </c>
      <c r="B139" s="168" t="s">
        <v>176</v>
      </c>
      <c r="C139" s="169" t="s">
        <v>132</v>
      </c>
      <c r="D139" s="31">
        <v>1517429509.3379521</v>
      </c>
      <c r="E139" s="28">
        <f t="shared" si="83"/>
        <v>7.8373685894179989E-4</v>
      </c>
      <c r="F139" s="31">
        <v>1713.8950080000002</v>
      </c>
      <c r="G139" s="31">
        <v>1790.4081779999999</v>
      </c>
      <c r="H139" s="30">
        <v>53</v>
      </c>
      <c r="I139" s="48">
        <v>1.9E-3</v>
      </c>
      <c r="J139" s="48">
        <v>9.2299999999999993E-2</v>
      </c>
      <c r="K139" s="31">
        <f>991562.51*W133</f>
        <v>1519411392.354655</v>
      </c>
      <c r="L139" s="28">
        <f t="shared" si="84"/>
        <v>7.8137995400900332E-4</v>
      </c>
      <c r="M139" s="31">
        <f>1.12*W133</f>
        <v>1716.2213600000002</v>
      </c>
      <c r="N139" s="31">
        <f>1.17*W133</f>
        <v>1792.838385</v>
      </c>
      <c r="O139" s="30">
        <v>53</v>
      </c>
      <c r="P139" s="48">
        <v>1.9E-3</v>
      </c>
      <c r="Q139" s="48">
        <v>9.2299999999999993E-2</v>
      </c>
      <c r="R139" s="55">
        <f t="shared" si="85"/>
        <v>1.3060791321816176E-3</v>
      </c>
      <c r="S139" s="55">
        <f t="shared" si="86"/>
        <v>1.3573480225692477E-3</v>
      </c>
      <c r="T139" s="55">
        <f t="shared" si="87"/>
        <v>0</v>
      </c>
      <c r="U139" s="55">
        <f t="shared" si="88"/>
        <v>0</v>
      </c>
      <c r="V139" s="56">
        <f t="shared" si="89"/>
        <v>0</v>
      </c>
      <c r="X139" s="65"/>
    </row>
    <row r="140" spans="1:24" ht="15.6">
      <c r="A140" s="167">
        <v>123</v>
      </c>
      <c r="B140" s="168" t="s">
        <v>177</v>
      </c>
      <c r="C140" s="169" t="s">
        <v>43</v>
      </c>
      <c r="D140" s="27">
        <v>5419279028.2869835</v>
      </c>
      <c r="E140" s="28">
        <f t="shared" si="83"/>
        <v>2.7990023241421498E-3</v>
      </c>
      <c r="F140" s="31">
        <v>16465.986144581999</v>
      </c>
      <c r="G140" s="31">
        <v>16465.986144581999</v>
      </c>
      <c r="H140" s="30">
        <v>138</v>
      </c>
      <c r="I140" s="48">
        <v>7.5399999999999995E-2</v>
      </c>
      <c r="J140" s="48">
        <v>9.5100000000000004E-2</v>
      </c>
      <c r="K140" s="27">
        <f>3833215.84*W133</f>
        <v>5873791876.8735199</v>
      </c>
      <c r="L140" s="28">
        <f t="shared" si="84"/>
        <v>3.0206850163846787E-3</v>
      </c>
      <c r="M140" s="31">
        <f>10.82*W133</f>
        <v>16579.924210000001</v>
      </c>
      <c r="N140" s="31">
        <f>10.82*W133</f>
        <v>16579.924210000001</v>
      </c>
      <c r="O140" s="30">
        <v>139</v>
      </c>
      <c r="P140" s="48">
        <v>6.9800000000000001E-2</v>
      </c>
      <c r="Q140" s="48">
        <v>8.5999999999999993E-2</v>
      </c>
      <c r="R140" s="55">
        <f t="shared" si="85"/>
        <v>8.3869615536332043E-2</v>
      </c>
      <c r="S140" s="55">
        <f t="shared" si="86"/>
        <v>6.9196016817670309E-3</v>
      </c>
      <c r="T140" s="55">
        <f t="shared" si="87"/>
        <v>7.246376811594203E-3</v>
      </c>
      <c r="U140" s="55">
        <f t="shared" si="88"/>
        <v>-5.5999999999999939E-3</v>
      </c>
      <c r="V140" s="56">
        <f t="shared" si="89"/>
        <v>-9.1000000000000109E-3</v>
      </c>
      <c r="X140" s="65"/>
    </row>
    <row r="141" spans="1:24" ht="15.6">
      <c r="A141" s="167">
        <v>124</v>
      </c>
      <c r="B141" s="169" t="s">
        <v>178</v>
      </c>
      <c r="C141" s="175" t="s">
        <v>47</v>
      </c>
      <c r="D141" s="31">
        <v>25543945852.470001</v>
      </c>
      <c r="E141" s="28">
        <f t="shared" si="83"/>
        <v>1.319318740290531E-2</v>
      </c>
      <c r="F141" s="31">
        <v>1591.4739360000001</v>
      </c>
      <c r="G141" s="31">
        <v>1591.4739360000001</v>
      </c>
      <c r="H141" s="30">
        <v>460</v>
      </c>
      <c r="I141" s="48">
        <v>5.6500000000000002E-2</v>
      </c>
      <c r="J141" s="48">
        <v>4.9299999999999997E-2</v>
      </c>
      <c r="K141" s="31">
        <v>25714756690.869999</v>
      </c>
      <c r="L141" s="28">
        <f t="shared" si="84"/>
        <v>1.3224196884114636E-2</v>
      </c>
      <c r="M141" s="31">
        <f>1.04*W133</f>
        <v>1593.6341200000002</v>
      </c>
      <c r="N141" s="31">
        <f>1.04*W133</f>
        <v>1593.6341200000002</v>
      </c>
      <c r="O141" s="30">
        <v>460</v>
      </c>
      <c r="P141" s="48">
        <v>6.0299999999999999E-2</v>
      </c>
      <c r="Q141" s="48">
        <v>5.3499999999999999E-2</v>
      </c>
      <c r="R141" s="55">
        <f t="shared" si="85"/>
        <v>6.6869402004890704E-3</v>
      </c>
      <c r="S141" s="55">
        <f t="shared" si="86"/>
        <v>1.3573480225692316E-3</v>
      </c>
      <c r="T141" s="55">
        <f t="shared" si="87"/>
        <v>0</v>
      </c>
      <c r="U141" s="55">
        <f t="shared" si="88"/>
        <v>3.7999999999999978E-3</v>
      </c>
      <c r="V141" s="56">
        <f t="shared" si="89"/>
        <v>4.2000000000000023E-3</v>
      </c>
      <c r="X141" s="65"/>
    </row>
    <row r="142" spans="1:24">
      <c r="A142" s="167">
        <v>125</v>
      </c>
      <c r="B142" s="168" t="s">
        <v>179</v>
      </c>
      <c r="C142" s="169" t="s">
        <v>89</v>
      </c>
      <c r="D142" s="27">
        <v>441893558.89999998</v>
      </c>
      <c r="E142" s="28">
        <f t="shared" si="83"/>
        <v>2.2823351444509652E-4</v>
      </c>
      <c r="F142" s="31">
        <v>1842</v>
      </c>
      <c r="G142" s="31">
        <v>1842</v>
      </c>
      <c r="H142" s="30">
        <v>2</v>
      </c>
      <c r="I142" s="48">
        <v>3.3189999999999999E-3</v>
      </c>
      <c r="J142" s="48">
        <v>7.9932000000000003E-2</v>
      </c>
      <c r="K142" s="27">
        <f>288202.95*1536.64</f>
        <v>442864181.08800006</v>
      </c>
      <c r="L142" s="28">
        <f t="shared" si="84"/>
        <v>2.2774950562566527E-4</v>
      </c>
      <c r="M142" s="31">
        <f>1.2*1535</f>
        <v>1842</v>
      </c>
      <c r="N142" s="31">
        <f>1.2*1535</f>
        <v>1842</v>
      </c>
      <c r="O142" s="30">
        <v>2</v>
      </c>
      <c r="P142" s="48">
        <v>1.531E-3</v>
      </c>
      <c r="Q142" s="48">
        <v>8.1585000000000005E-2</v>
      </c>
      <c r="R142" s="55">
        <f t="shared" si="85"/>
        <v>2.1965067570032938E-3</v>
      </c>
      <c r="S142" s="55">
        <f t="shared" si="86"/>
        <v>0</v>
      </c>
      <c r="T142" s="55">
        <f t="shared" si="87"/>
        <v>0</v>
      </c>
      <c r="U142" s="55">
        <f t="shared" ref="U142" si="92">P142-I142</f>
        <v>-1.7879999999999999E-3</v>
      </c>
      <c r="V142" s="56">
        <f t="shared" ref="V142" si="93">Q142-J142</f>
        <v>1.6530000000000017E-3</v>
      </c>
    </row>
    <row r="143" spans="1:24">
      <c r="A143" s="167">
        <v>126</v>
      </c>
      <c r="B143" s="168" t="s">
        <v>305</v>
      </c>
      <c r="C143" s="169" t="s">
        <v>303</v>
      </c>
      <c r="D143" s="27">
        <v>654150947.87656903</v>
      </c>
      <c r="E143" s="28">
        <f t="shared" si="83"/>
        <v>3.3786229014767495E-4</v>
      </c>
      <c r="F143" s="31">
        <v>1563.9291948</v>
      </c>
      <c r="G143" s="31">
        <v>1563.9291948</v>
      </c>
      <c r="H143" s="30">
        <v>6</v>
      </c>
      <c r="I143" s="48">
        <v>8.1100000000000005E-2</v>
      </c>
      <c r="J143" s="48">
        <v>6.59E-2</v>
      </c>
      <c r="K143" s="27">
        <f>427476.0462*W133</f>
        <v>655038858.37213111</v>
      </c>
      <c r="L143" s="28">
        <f t="shared" si="84"/>
        <v>3.3686349569600667E-4</v>
      </c>
      <c r="M143" s="31">
        <f>1.02334980521371*W133</f>
        <v>1568.120352196079</v>
      </c>
      <c r="N143" s="31">
        <f>1.02357197279658*W133</f>
        <v>1568.4607885810979</v>
      </c>
      <c r="O143" s="30">
        <v>6</v>
      </c>
      <c r="P143" s="48">
        <v>8.1100000000000005E-2</v>
      </c>
      <c r="Q143" s="48">
        <v>6.6699999999999995E-2</v>
      </c>
      <c r="R143" s="55">
        <f t="shared" ref="R143" si="94">((K143-D143)/D143)</f>
        <v>1.357348022569273E-3</v>
      </c>
      <c r="S143" s="55">
        <f t="shared" ref="S143" si="95">((N143-G143)/G143)</f>
        <v>2.8975696573509953E-3</v>
      </c>
      <c r="T143" s="55">
        <f t="shared" si="87"/>
        <v>0</v>
      </c>
      <c r="U143" s="55">
        <f t="shared" si="88"/>
        <v>0</v>
      </c>
      <c r="V143" s="56">
        <f t="shared" si="89"/>
        <v>7.9999999999999516E-4</v>
      </c>
    </row>
    <row r="144" spans="1:24">
      <c r="A144" s="167">
        <v>127</v>
      </c>
      <c r="B144" s="168" t="s">
        <v>180</v>
      </c>
      <c r="C144" s="169" t="s">
        <v>49</v>
      </c>
      <c r="D144" s="27">
        <v>1079215613143.8</v>
      </c>
      <c r="E144" s="28">
        <f t="shared" si="83"/>
        <v>0.55740385273995263</v>
      </c>
      <c r="F144" s="31">
        <v>2504.5100000000002</v>
      </c>
      <c r="G144" s="31">
        <v>2504.5100000000002</v>
      </c>
      <c r="H144" s="30">
        <v>11402</v>
      </c>
      <c r="I144" s="48">
        <v>1.2999999999999999E-3</v>
      </c>
      <c r="J144" s="48">
        <v>3.6200000000000003E-2</v>
      </c>
      <c r="K144" s="27">
        <v>1084350264259.1801</v>
      </c>
      <c r="L144" s="28">
        <f t="shared" si="84"/>
        <v>0.55764328468238689</v>
      </c>
      <c r="M144" s="31">
        <v>2511.1799999999998</v>
      </c>
      <c r="N144" s="31">
        <v>2511.1799999999998</v>
      </c>
      <c r="O144" s="30">
        <v>11449</v>
      </c>
      <c r="P144" s="48">
        <v>1.6000000000000001E-3</v>
      </c>
      <c r="Q144" s="48">
        <v>3.7900000000000003E-2</v>
      </c>
      <c r="R144" s="55">
        <f t="shared" si="85"/>
        <v>4.7577620753859852E-3</v>
      </c>
      <c r="S144" s="55">
        <f t="shared" si="86"/>
        <v>2.6631955951462033E-3</v>
      </c>
      <c r="T144" s="55">
        <f t="shared" si="87"/>
        <v>4.1220838449394842E-3</v>
      </c>
      <c r="U144" s="55">
        <f t="shared" si="88"/>
        <v>3.0000000000000014E-4</v>
      </c>
      <c r="V144" s="56">
        <f t="shared" si="89"/>
        <v>1.7000000000000001E-3</v>
      </c>
    </row>
    <row r="145" spans="1:22">
      <c r="A145" s="167">
        <v>128</v>
      </c>
      <c r="B145" s="168" t="s">
        <v>287</v>
      </c>
      <c r="C145" s="168" t="s">
        <v>99</v>
      </c>
      <c r="D145" s="27">
        <v>505364070.71756405</v>
      </c>
      <c r="E145" s="28">
        <f t="shared" si="83"/>
        <v>2.6101538619677293E-4</v>
      </c>
      <c r="F145" s="31">
        <v>158611.80141000001</v>
      </c>
      <c r="G145" s="31">
        <v>158611.80141000001</v>
      </c>
      <c r="H145" s="30">
        <v>24</v>
      </c>
      <c r="I145" s="48">
        <v>0</v>
      </c>
      <c r="J145" s="48">
        <v>7.4499999999999997E-2</v>
      </c>
      <c r="K145" s="27">
        <f>334709.13*W133</f>
        <v>512888355.618765</v>
      </c>
      <c r="L145" s="28">
        <f t="shared" si="84"/>
        <v>2.6376048102685277E-4</v>
      </c>
      <c r="M145" s="31">
        <f>103.79*W133</f>
        <v>159041.62049500001</v>
      </c>
      <c r="N145" s="31">
        <f>103.79*W133</f>
        <v>159041.62049500001</v>
      </c>
      <c r="O145" s="30">
        <v>26</v>
      </c>
      <c r="P145" s="48">
        <v>0</v>
      </c>
      <c r="Q145" s="48">
        <v>7.4499999999999997E-2</v>
      </c>
      <c r="R145" s="55">
        <f t="shared" ref="R145" si="96">((K145-D145)/D145)</f>
        <v>1.4888840218730338E-2</v>
      </c>
      <c r="S145" s="55">
        <f t="shared" ref="S145" si="97">((N145-G145)/G145)</f>
        <v>2.7098808611910555E-3</v>
      </c>
      <c r="T145" s="55">
        <f t="shared" ref="T145" si="98">((O145-H145)/H145)</f>
        <v>8.3333333333333329E-2</v>
      </c>
      <c r="U145" s="55">
        <f t="shared" ref="U145" si="99">P145-I145</f>
        <v>0</v>
      </c>
      <c r="V145" s="56">
        <f t="shared" ref="V145" si="100">Q145-J145</f>
        <v>0</v>
      </c>
    </row>
    <row r="146" spans="1:22" ht="16.5" customHeight="1">
      <c r="A146" s="167">
        <v>129</v>
      </c>
      <c r="B146" s="168" t="s">
        <v>181</v>
      </c>
      <c r="C146" s="169" t="s">
        <v>52</v>
      </c>
      <c r="D146" s="27">
        <v>174649695700.67041</v>
      </c>
      <c r="E146" s="28">
        <f t="shared" si="83"/>
        <v>9.0204785844256105E-2</v>
      </c>
      <c r="F146" s="31">
        <v>1843.3533440000001</v>
      </c>
      <c r="G146" s="31">
        <v>1843.3533440000001</v>
      </c>
      <c r="H146" s="30">
        <v>751</v>
      </c>
      <c r="I146" s="48">
        <v>4.3E-3</v>
      </c>
      <c r="J146" s="48">
        <v>8.7499999999999994E-2</v>
      </c>
      <c r="K146" s="27">
        <f>114182964.84*1536.64</f>
        <v>175458111091.73761</v>
      </c>
      <c r="L146" s="28">
        <f t="shared" si="84"/>
        <v>9.0231948677772789E-2</v>
      </c>
      <c r="M146" s="31">
        <f>1.1996*1536.64</f>
        <v>1843.3533440000001</v>
      </c>
      <c r="N146" s="31">
        <f>1.1996*1536.64</f>
        <v>1843.3533440000001</v>
      </c>
      <c r="O146" s="30">
        <v>751</v>
      </c>
      <c r="P146" s="48">
        <v>4.3E-3</v>
      </c>
      <c r="Q146" s="48">
        <v>8.7499999999999994E-2</v>
      </c>
      <c r="R146" s="55">
        <f t="shared" si="85"/>
        <v>4.6287821334239894E-3</v>
      </c>
      <c r="S146" s="55">
        <f t="shared" si="86"/>
        <v>0</v>
      </c>
      <c r="T146" s="55">
        <f t="shared" si="87"/>
        <v>0</v>
      </c>
      <c r="U146" s="55">
        <f t="shared" si="88"/>
        <v>0</v>
      </c>
      <c r="V146" s="56">
        <f t="shared" si="89"/>
        <v>0</v>
      </c>
    </row>
    <row r="147" spans="1:22" ht="16.5" customHeight="1">
      <c r="A147" s="167">
        <v>130</v>
      </c>
      <c r="B147" s="168" t="s">
        <v>182</v>
      </c>
      <c r="C147" s="169" t="s">
        <v>94</v>
      </c>
      <c r="D147" s="31">
        <v>1141246122.8853135</v>
      </c>
      <c r="E147" s="28">
        <v>0</v>
      </c>
      <c r="F147" s="31">
        <v>163477.5</v>
      </c>
      <c r="G147" s="31">
        <v>163477.5</v>
      </c>
      <c r="H147" s="30">
        <v>28</v>
      </c>
      <c r="I147" s="48">
        <v>1.1999999999999999E-3</v>
      </c>
      <c r="J147" s="48">
        <v>7.51E-2</v>
      </c>
      <c r="K147" s="31">
        <v>1144121885.6104505</v>
      </c>
      <c r="L147" s="28">
        <f t="shared" si="84"/>
        <v>5.883817318057304E-4</v>
      </c>
      <c r="M147" s="31">
        <v>163882.65600000002</v>
      </c>
      <c r="N147" s="31">
        <v>163882.65600000002</v>
      </c>
      <c r="O147" s="30">
        <v>28</v>
      </c>
      <c r="P147" s="48">
        <v>1.4E-3</v>
      </c>
      <c r="Q147" s="48">
        <v>7.5200000000000003E-2</v>
      </c>
      <c r="R147" s="55">
        <f t="shared" si="85"/>
        <v>2.5198444642830016E-3</v>
      </c>
      <c r="S147" s="55">
        <f t="shared" si="86"/>
        <v>2.478359407257985E-3</v>
      </c>
      <c r="T147" s="55">
        <f t="shared" si="87"/>
        <v>0</v>
      </c>
      <c r="U147" s="55">
        <f t="shared" si="88"/>
        <v>2.0000000000000009E-4</v>
      </c>
      <c r="V147" s="56">
        <f t="shared" si="89"/>
        <v>1.0000000000000286E-4</v>
      </c>
    </row>
    <row r="148" spans="1:22" ht="16.5" customHeight="1">
      <c r="A148" s="167">
        <v>131</v>
      </c>
      <c r="B148" s="168" t="s">
        <v>307</v>
      </c>
      <c r="C148" s="169" t="s">
        <v>105</v>
      </c>
      <c r="D148" s="31">
        <v>920268410.95230603</v>
      </c>
      <c r="E148" s="28"/>
      <c r="F148" s="31">
        <v>1606.7765700000002</v>
      </c>
      <c r="G148" s="31">
        <v>1606.7765700000002</v>
      </c>
      <c r="H148" s="30">
        <v>25</v>
      </c>
      <c r="I148" s="48">
        <v>7.6600000000000001E-2</v>
      </c>
      <c r="J148" s="48">
        <v>0</v>
      </c>
      <c r="K148" s="31">
        <f>710228.15*W133</f>
        <v>1088311358.485075</v>
      </c>
      <c r="L148" s="28">
        <f t="shared" si="84"/>
        <v>5.5968033642467936E-4</v>
      </c>
      <c r="M148" s="31">
        <f>1.05*W133</f>
        <v>1608.957525</v>
      </c>
      <c r="N148" s="31">
        <f>1.05*W133</f>
        <v>1608.957525</v>
      </c>
      <c r="O148" s="30">
        <v>26</v>
      </c>
      <c r="P148" s="48">
        <v>7.9000000000000001E-2</v>
      </c>
      <c r="Q148" s="48">
        <v>0</v>
      </c>
      <c r="R148" s="55">
        <f t="shared" ref="R148" si="101">((K148-D148)/D148)</f>
        <v>0.18260210340032848</v>
      </c>
      <c r="S148" s="55">
        <f t="shared" ref="S148" si="102">((N148-G148)/G148)</f>
        <v>1.3573480225690696E-3</v>
      </c>
      <c r="T148" s="55">
        <f t="shared" si="87"/>
        <v>0.04</v>
      </c>
      <c r="U148" s="55">
        <f t="shared" si="88"/>
        <v>2.3999999999999994E-3</v>
      </c>
      <c r="V148" s="56">
        <f t="shared" si="89"/>
        <v>0</v>
      </c>
    </row>
    <row r="149" spans="1:22">
      <c r="A149" s="167">
        <v>132</v>
      </c>
      <c r="B149" s="168" t="s">
        <v>183</v>
      </c>
      <c r="C149" s="169" t="s">
        <v>107</v>
      </c>
      <c r="D149" s="31">
        <v>1891970198.989332</v>
      </c>
      <c r="E149" s="28">
        <f>(D149/$D$150)</f>
        <v>9.7718330363453479E-4</v>
      </c>
      <c r="F149" s="31">
        <v>2019.9476880000002</v>
      </c>
      <c r="G149" s="31">
        <v>2019.9476880000002</v>
      </c>
      <c r="H149" s="30">
        <v>100</v>
      </c>
      <c r="I149" s="48">
        <v>-2.725E-3</v>
      </c>
      <c r="J149" s="48">
        <v>5.8106999999999999E-2</v>
      </c>
      <c r="K149" s="31">
        <f>1236368.98*W133</f>
        <v>1894538260.99769</v>
      </c>
      <c r="L149" s="28">
        <f t="shared" si="84"/>
        <v>9.7429453714477203E-4</v>
      </c>
      <c r="M149" s="31">
        <f>1.32*W133</f>
        <v>2022.6894600000001</v>
      </c>
      <c r="N149" s="31">
        <f>1.32*W133</f>
        <v>2022.6894600000001</v>
      </c>
      <c r="O149" s="30">
        <v>100</v>
      </c>
      <c r="P149" s="48">
        <v>4.3880000000000004E-3</v>
      </c>
      <c r="Q149" s="48">
        <v>6.3142000000000004E-2</v>
      </c>
      <c r="R149" s="55">
        <f t="shared" si="85"/>
        <v>1.3573480225691874E-3</v>
      </c>
      <c r="S149" s="55">
        <f t="shared" si="86"/>
        <v>1.3573480225691147E-3</v>
      </c>
      <c r="T149" s="55">
        <f t="shared" si="87"/>
        <v>0</v>
      </c>
      <c r="U149" s="55">
        <f t="shared" si="88"/>
        <v>7.1130000000000004E-3</v>
      </c>
      <c r="V149" s="56">
        <f t="shared" si="89"/>
        <v>5.0350000000000047E-3</v>
      </c>
    </row>
    <row r="150" spans="1:22">
      <c r="A150" s="34"/>
      <c r="B150" s="35"/>
      <c r="C150" s="69" t="s">
        <v>53</v>
      </c>
      <c r="D150" s="46">
        <f>SUM(D114:D149)</f>
        <v>1936146669670.2039</v>
      </c>
      <c r="E150" s="38">
        <f>(D150/$D$222)</f>
        <v>0.32220652513352532</v>
      </c>
      <c r="F150" s="39"/>
      <c r="G150" s="43"/>
      <c r="H150" s="41">
        <f>SUM(H114:H149)</f>
        <v>25525</v>
      </c>
      <c r="I150" s="78"/>
      <c r="J150" s="78"/>
      <c r="K150" s="46">
        <f>SUM(K114:K149)</f>
        <v>1944523128036.5657</v>
      </c>
      <c r="L150" s="38">
        <f>(K150/$K$222)</f>
        <v>0.31982102704034071</v>
      </c>
      <c r="M150" s="39"/>
      <c r="N150" s="43"/>
      <c r="O150" s="41">
        <f>SUM(O114:O149)</f>
        <v>25619</v>
      </c>
      <c r="P150" s="78"/>
      <c r="Q150" s="78"/>
      <c r="R150" s="55">
        <f t="shared" si="85"/>
        <v>4.3263552795763304E-3</v>
      </c>
      <c r="S150" s="55" t="e">
        <f t="shared" si="86"/>
        <v>#DIV/0!</v>
      </c>
      <c r="T150" s="55">
        <f t="shared" si="87"/>
        <v>3.682664054848188E-3</v>
      </c>
      <c r="U150" s="55">
        <f t="shared" si="88"/>
        <v>0</v>
      </c>
      <c r="V150" s="56">
        <f t="shared" si="89"/>
        <v>0</v>
      </c>
    </row>
    <row r="151" spans="1:22" ht="6" customHeight="1">
      <c r="A151" s="34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</row>
    <row r="152" spans="1:22">
      <c r="A152" s="182" t="s">
        <v>184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</row>
    <row r="153" spans="1:22">
      <c r="A153" s="167">
        <v>133</v>
      </c>
      <c r="B153" s="168" t="s">
        <v>185</v>
      </c>
      <c r="C153" s="169" t="s">
        <v>186</v>
      </c>
      <c r="D153" s="70">
        <v>2448758601.8759017</v>
      </c>
      <c r="E153" s="28">
        <f>(D153/$D$159)</f>
        <v>6.7927832686745194E-3</v>
      </c>
      <c r="F153" s="58">
        <v>115.3986146030114</v>
      </c>
      <c r="G153" s="58">
        <v>115.3986146030114</v>
      </c>
      <c r="H153" s="30">
        <v>8</v>
      </c>
      <c r="I153" s="48">
        <v>2.5999999999999999E-3</v>
      </c>
      <c r="J153" s="48">
        <v>9.4469640233417751E-2</v>
      </c>
      <c r="K153" s="70">
        <v>2453656119.0796537</v>
      </c>
      <c r="L153" s="28">
        <f>(K153/$K$159)</f>
        <v>6.7350620975940119E-3</v>
      </c>
      <c r="M153" s="58">
        <v>115.62941183221743</v>
      </c>
      <c r="N153" s="58">
        <v>115.62941183221743</v>
      </c>
      <c r="O153" s="30">
        <v>8</v>
      </c>
      <c r="P153" s="48">
        <v>2E-3</v>
      </c>
      <c r="Q153" s="48">
        <v>9.665857951388479E-2</v>
      </c>
      <c r="R153" s="55">
        <f t="shared" ref="R153:R159" si="103">((K153-D153)/D153)</f>
        <v>2.0000000000000972E-3</v>
      </c>
      <c r="S153" s="55">
        <f t="shared" ref="S153:T159" si="104">((N153-G153)/G153)</f>
        <v>2.0000000000000863E-3</v>
      </c>
      <c r="T153" s="55">
        <f t="shared" si="104"/>
        <v>0</v>
      </c>
      <c r="U153" s="55">
        <f t="shared" ref="U153:V159" si="105">P153-I153</f>
        <v>-5.9999999999999984E-4</v>
      </c>
      <c r="V153" s="56">
        <f t="shared" si="105"/>
        <v>2.1889392804670393E-3</v>
      </c>
    </row>
    <row r="154" spans="1:22">
      <c r="A154" s="167">
        <v>134</v>
      </c>
      <c r="B154" s="168" t="s">
        <v>314</v>
      </c>
      <c r="C154" s="169" t="s">
        <v>23</v>
      </c>
      <c r="D154" s="70">
        <v>259699283434.67999</v>
      </c>
      <c r="E154" s="28">
        <v>0</v>
      </c>
      <c r="F154" s="58">
        <v>103.8797</v>
      </c>
      <c r="G154" s="58">
        <v>103.8797</v>
      </c>
      <c r="H154" s="30">
        <v>45</v>
      </c>
      <c r="I154" s="48">
        <v>0.18</v>
      </c>
      <c r="J154" s="48">
        <v>0.1221</v>
      </c>
      <c r="K154" s="70">
        <v>260578304263.76999</v>
      </c>
      <c r="L154" s="28">
        <f t="shared" ref="L154:L155" si="106">(K154/$K$159)</f>
        <v>0.71526366178832246</v>
      </c>
      <c r="M154" s="58">
        <v>104.2313</v>
      </c>
      <c r="N154" s="58">
        <v>104.2313</v>
      </c>
      <c r="O154" s="30">
        <v>45</v>
      </c>
      <c r="P154" s="48">
        <v>0.17649999999999999</v>
      </c>
      <c r="Q154" s="48">
        <v>0.12559999999999999</v>
      </c>
      <c r="R154" s="55">
        <f t="shared" ref="R154" si="107">((K154-D154)/D154)</f>
        <v>3.3847641682503492E-3</v>
      </c>
      <c r="S154" s="55">
        <f t="shared" ref="S154" si="108">((N154-G154)/G154)</f>
        <v>3.3846843993581496E-3</v>
      </c>
      <c r="T154" s="55">
        <f t="shared" ref="T154" si="109">((O154-H154)/H154)</f>
        <v>0</v>
      </c>
      <c r="U154" s="55">
        <f t="shared" ref="U154" si="110">P154-I154</f>
        <v>-3.5000000000000031E-3</v>
      </c>
      <c r="V154" s="56">
        <f t="shared" ref="V154" si="111">Q154-J154</f>
        <v>3.4999999999999892E-3</v>
      </c>
    </row>
    <row r="155" spans="1:22">
      <c r="A155" s="167">
        <v>135</v>
      </c>
      <c r="B155" s="168" t="s">
        <v>187</v>
      </c>
      <c r="C155" s="169" t="s">
        <v>47</v>
      </c>
      <c r="D155" s="27">
        <v>54160728474</v>
      </c>
      <c r="E155" s="28">
        <f>(D155/$D$159)</f>
        <v>0.15024024414475765</v>
      </c>
      <c r="F155" s="58">
        <v>102.07</v>
      </c>
      <c r="G155" s="58">
        <v>102.07</v>
      </c>
      <c r="H155" s="30">
        <v>645</v>
      </c>
      <c r="I155" s="48">
        <v>8.3900000000000002E-2</v>
      </c>
      <c r="J155" s="48">
        <v>8.3900000000000002E-2</v>
      </c>
      <c r="K155" s="27">
        <v>57062508820</v>
      </c>
      <c r="L155" s="28">
        <f t="shared" si="106"/>
        <v>0.15663137852070369</v>
      </c>
      <c r="M155" s="58">
        <v>102.5</v>
      </c>
      <c r="N155" s="58">
        <v>102.5</v>
      </c>
      <c r="O155" s="30">
        <v>645</v>
      </c>
      <c r="P155" s="48">
        <v>8.3900000000000002E-2</v>
      </c>
      <c r="Q155" s="48">
        <v>8.3900000000000002E-2</v>
      </c>
      <c r="R155" s="55">
        <f t="shared" si="103"/>
        <v>5.3577203035461519E-2</v>
      </c>
      <c r="S155" s="55">
        <f t="shared" si="104"/>
        <v>4.2127951405898584E-3</v>
      </c>
      <c r="T155" s="55">
        <f t="shared" si="104"/>
        <v>0</v>
      </c>
      <c r="U155" s="55">
        <f t="shared" si="105"/>
        <v>0</v>
      </c>
      <c r="V155" s="56">
        <f t="shared" si="105"/>
        <v>0</v>
      </c>
    </row>
    <row r="156" spans="1:22" ht="15.75" customHeight="1">
      <c r="A156" s="167">
        <v>136</v>
      </c>
      <c r="B156" s="168" t="s">
        <v>188</v>
      </c>
      <c r="C156" s="169" t="s">
        <v>142</v>
      </c>
      <c r="D156" s="27">
        <v>2523334041.9083729</v>
      </c>
      <c r="E156" s="28">
        <f>(D156/$D$159)</f>
        <v>6.9996533133243029E-3</v>
      </c>
      <c r="F156" s="58">
        <v>249.25</v>
      </c>
      <c r="G156" s="58">
        <v>249.25</v>
      </c>
      <c r="H156" s="30">
        <v>3552</v>
      </c>
      <c r="I156" s="48">
        <v>0.10481928833136421</v>
      </c>
      <c r="J156" s="48">
        <v>6.2120438861930527E-2</v>
      </c>
      <c r="K156" s="27">
        <v>2528147241.8127923</v>
      </c>
      <c r="L156" s="28">
        <f>(K156/$K$159)</f>
        <v>6.9395334305676687E-3</v>
      </c>
      <c r="M156" s="58">
        <v>249.25</v>
      </c>
      <c r="N156" s="58">
        <v>249.25</v>
      </c>
      <c r="O156" s="30">
        <v>3552</v>
      </c>
      <c r="P156" s="48">
        <v>0.11864292002438319</v>
      </c>
      <c r="Q156" s="48">
        <v>6.3846645304179273E-2</v>
      </c>
      <c r="R156" s="55">
        <f t="shared" si="103"/>
        <v>1.9074763089151868E-3</v>
      </c>
      <c r="S156" s="55">
        <f t="shared" si="104"/>
        <v>0</v>
      </c>
      <c r="T156" s="55">
        <f t="shared" si="104"/>
        <v>0</v>
      </c>
      <c r="U156" s="55">
        <f t="shared" si="105"/>
        <v>1.3823631693018978E-2</v>
      </c>
      <c r="V156" s="56">
        <f t="shared" si="105"/>
        <v>1.7262064422487455E-3</v>
      </c>
    </row>
    <row r="157" spans="1:22">
      <c r="A157" s="167">
        <v>137</v>
      </c>
      <c r="B157" s="168" t="s">
        <v>189</v>
      </c>
      <c r="C157" s="169" t="s">
        <v>142</v>
      </c>
      <c r="D157" s="27">
        <v>10192466267.18</v>
      </c>
      <c r="E157" s="28">
        <f>(D157/$D$159)</f>
        <v>2.8273597190507569E-2</v>
      </c>
      <c r="F157" s="58">
        <v>50.25</v>
      </c>
      <c r="G157" s="58">
        <v>50.25</v>
      </c>
      <c r="H157" s="30">
        <v>5344</v>
      </c>
      <c r="I157" s="48">
        <v>7.0522883709695408E-2</v>
      </c>
      <c r="J157" s="48">
        <v>0.16046169772981816</v>
      </c>
      <c r="K157" s="27">
        <v>10208977141.559999</v>
      </c>
      <c r="L157" s="28">
        <f>(K157/$K$159)</f>
        <v>2.8022710463239245E-2</v>
      </c>
      <c r="M157" s="58">
        <v>50.25</v>
      </c>
      <c r="N157" s="58">
        <v>50.25</v>
      </c>
      <c r="O157" s="30">
        <v>5482</v>
      </c>
      <c r="P157" s="48">
        <v>7.9231084633755208E-2</v>
      </c>
      <c r="Q157" s="48">
        <v>0.16059887593634742</v>
      </c>
      <c r="R157" s="55">
        <f t="shared" si="103"/>
        <v>1.6199096418071644E-3</v>
      </c>
      <c r="S157" s="55">
        <f t="shared" si="104"/>
        <v>0</v>
      </c>
      <c r="T157" s="55">
        <f t="shared" si="104"/>
        <v>2.5823353293413173E-2</v>
      </c>
      <c r="U157" s="55">
        <f t="shared" si="105"/>
        <v>8.7082009240598002E-3</v>
      </c>
      <c r="V157" s="56">
        <f t="shared" si="105"/>
        <v>1.3717820652925372E-4</v>
      </c>
    </row>
    <row r="158" spans="1:22">
      <c r="A158" s="167">
        <v>138</v>
      </c>
      <c r="B158" s="168" t="s">
        <v>190</v>
      </c>
      <c r="C158" s="169" t="s">
        <v>49</v>
      </c>
      <c r="D158" s="27">
        <v>31469574955.41</v>
      </c>
      <c r="E158" s="28">
        <f>(D158/$D$159)</f>
        <v>8.7295661591816218E-2</v>
      </c>
      <c r="F158" s="58">
        <v>7</v>
      </c>
      <c r="G158" s="58">
        <v>7</v>
      </c>
      <c r="H158" s="30">
        <v>208483</v>
      </c>
      <c r="I158" s="48">
        <v>7.6899999999999996E-2</v>
      </c>
      <c r="J158" s="48">
        <v>0.4</v>
      </c>
      <c r="K158" s="27">
        <v>31479244758.709999</v>
      </c>
      <c r="L158" s="28">
        <f>(K158/$K$159)</f>
        <v>8.6407653699572887E-2</v>
      </c>
      <c r="M158" s="58">
        <v>7.4</v>
      </c>
      <c r="N158" s="58">
        <v>7.4</v>
      </c>
      <c r="O158" s="30">
        <v>208483</v>
      </c>
      <c r="P158" s="48">
        <v>5.7099999999999998E-2</v>
      </c>
      <c r="Q158" s="48">
        <v>0.48</v>
      </c>
      <c r="R158" s="55">
        <f t="shared" si="103"/>
        <v>3.0727467128808107E-4</v>
      </c>
      <c r="S158" s="55">
        <f t="shared" si="104"/>
        <v>5.7142857142857197E-2</v>
      </c>
      <c r="T158" s="55">
        <f t="shared" si="104"/>
        <v>0</v>
      </c>
      <c r="U158" s="55">
        <f t="shared" si="105"/>
        <v>-1.9799999999999998E-2</v>
      </c>
      <c r="V158" s="56">
        <f t="shared" si="105"/>
        <v>7.999999999999996E-2</v>
      </c>
    </row>
    <row r="159" spans="1:22">
      <c r="A159" s="34"/>
      <c r="B159" s="71"/>
      <c r="C159" s="36" t="s">
        <v>53</v>
      </c>
      <c r="D159" s="37">
        <f>SUM(D153:D158)</f>
        <v>360494145775.05426</v>
      </c>
      <c r="E159" s="38">
        <f>(D159/$D$222)</f>
        <v>5.9992131722615791E-2</v>
      </c>
      <c r="F159" s="39"/>
      <c r="G159" s="72"/>
      <c r="H159" s="41">
        <f>SUM(H153:H158)</f>
        <v>218077</v>
      </c>
      <c r="I159" s="79"/>
      <c r="J159" s="79"/>
      <c r="K159" s="37">
        <f>SUM(K153:K158)</f>
        <v>364310838344.93243</v>
      </c>
      <c r="L159" s="38">
        <f>(K159/$K$222)</f>
        <v>5.9919198080740366E-2</v>
      </c>
      <c r="M159" s="39"/>
      <c r="N159" s="72"/>
      <c r="O159" s="41">
        <f>SUM(O153:O158)</f>
        <v>218215</v>
      </c>
      <c r="P159" s="79"/>
      <c r="Q159" s="79"/>
      <c r="R159" s="55">
        <f t="shared" si="103"/>
        <v>1.0587391264488833E-2</v>
      </c>
      <c r="S159" s="55" t="e">
        <f t="shared" si="104"/>
        <v>#DIV/0!</v>
      </c>
      <c r="T159" s="55">
        <f t="shared" si="104"/>
        <v>6.3280400959294194E-4</v>
      </c>
      <c r="U159" s="55">
        <f t="shared" si="105"/>
        <v>0</v>
      </c>
      <c r="V159" s="56">
        <f t="shared" si="105"/>
        <v>0</v>
      </c>
    </row>
    <row r="160" spans="1:22" ht="5.25" customHeight="1">
      <c r="A160" s="34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</row>
    <row r="161" spans="1:22" ht="15" customHeight="1">
      <c r="A161" s="182" t="s">
        <v>191</v>
      </c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</row>
    <row r="162" spans="1:22">
      <c r="A162" s="172">
        <v>139</v>
      </c>
      <c r="B162" s="168" t="s">
        <v>192</v>
      </c>
      <c r="C162" s="169" t="s">
        <v>57</v>
      </c>
      <c r="D162" s="31">
        <v>330477190.54000002</v>
      </c>
      <c r="E162" s="28">
        <f t="shared" ref="E162:E189" si="112">(D162/$D$190)</f>
        <v>4.9262847216514387E-3</v>
      </c>
      <c r="F162" s="31">
        <v>6.9934000000000003</v>
      </c>
      <c r="G162" s="31">
        <v>7.1009000000000002</v>
      </c>
      <c r="H162" s="32">
        <v>11844</v>
      </c>
      <c r="I162" s="49">
        <v>4.1149999999999999E-2</v>
      </c>
      <c r="J162" s="49">
        <v>0.22387000000000001</v>
      </c>
      <c r="K162" s="31">
        <v>335497028.58999997</v>
      </c>
      <c r="L162" s="52">
        <f t="shared" ref="L162:L189" si="113">(K162/$K$190)</f>
        <v>4.7598488540225989E-3</v>
      </c>
      <c r="M162" s="31">
        <v>7.0937000000000001</v>
      </c>
      <c r="N162" s="31">
        <v>7.2041000000000004</v>
      </c>
      <c r="O162" s="32">
        <v>11844</v>
      </c>
      <c r="P162" s="49">
        <v>1.7555999999999999E-2</v>
      </c>
      <c r="Q162" s="49">
        <v>0.241425</v>
      </c>
      <c r="R162" s="55">
        <f>((K162-D162)/D162)</f>
        <v>1.5189665712775918E-2</v>
      </c>
      <c r="S162" s="55">
        <f>((N162-G162)/G162)</f>
        <v>1.4533369009562194E-2</v>
      </c>
      <c r="T162" s="55">
        <f>((O162-H162)/H162)</f>
        <v>0</v>
      </c>
      <c r="U162" s="55">
        <f>P162-I162</f>
        <v>-2.3594E-2</v>
      </c>
      <c r="V162" s="56">
        <f>Q162-J162</f>
        <v>1.7554999999999987E-2</v>
      </c>
    </row>
    <row r="163" spans="1:22">
      <c r="A163" s="172">
        <v>140</v>
      </c>
      <c r="B163" s="168" t="s">
        <v>193</v>
      </c>
      <c r="C163" s="168" t="s">
        <v>194</v>
      </c>
      <c r="D163" s="31">
        <v>884413046.04375672</v>
      </c>
      <c r="E163" s="28">
        <f t="shared" si="112"/>
        <v>1.3183573938145138E-2</v>
      </c>
      <c r="F163" s="31">
        <v>2043.479551053299</v>
      </c>
      <c r="G163" s="31">
        <v>2068.715372333912</v>
      </c>
      <c r="H163" s="32">
        <v>152</v>
      </c>
      <c r="I163" s="49">
        <v>7.9691772079534082E-2</v>
      </c>
      <c r="J163" s="49">
        <v>0.82725289232069477</v>
      </c>
      <c r="K163" s="31">
        <v>917197701.91772127</v>
      </c>
      <c r="L163" s="52">
        <f t="shared" si="113"/>
        <v>1.3012700734588128E-2</v>
      </c>
      <c r="M163" s="31">
        <v>2094.5526053883805</v>
      </c>
      <c r="N163" s="31">
        <v>2120.3412877305659</v>
      </c>
      <c r="O163" s="32">
        <v>154</v>
      </c>
      <c r="P163" s="49">
        <v>2.4970298898434825E-2</v>
      </c>
      <c r="Q163" s="49">
        <v>0.87287994320497198</v>
      </c>
      <c r="R163" s="55">
        <f>((K163-D163)/D163)</f>
        <v>3.7069394239060686E-2</v>
      </c>
      <c r="S163" s="55">
        <f>((N163-G163)/G163)</f>
        <v>2.4955542984344853E-2</v>
      </c>
      <c r="T163" s="55">
        <f>((O163-H163)/H163)</f>
        <v>1.3157894736842105E-2</v>
      </c>
      <c r="U163" s="55">
        <f>P163-I163</f>
        <v>-5.4721473181099253E-2</v>
      </c>
      <c r="V163" s="56">
        <f>Q163-J163</f>
        <v>4.5627050884277209E-2</v>
      </c>
    </row>
    <row r="164" spans="1:22">
      <c r="A164" s="172">
        <v>141</v>
      </c>
      <c r="B164" s="168" t="s">
        <v>195</v>
      </c>
      <c r="C164" s="169" t="s">
        <v>23</v>
      </c>
      <c r="D164" s="31">
        <v>8124803864.0699997</v>
      </c>
      <c r="E164" s="28">
        <f t="shared" si="112"/>
        <v>0.12111303983364652</v>
      </c>
      <c r="F164" s="31">
        <v>922.42660000000001</v>
      </c>
      <c r="G164" s="31">
        <v>950.23839999999996</v>
      </c>
      <c r="H164" s="32">
        <v>21533</v>
      </c>
      <c r="I164" s="49">
        <v>1.5491999999999999</v>
      </c>
      <c r="J164" s="49">
        <v>0.30499999999999999</v>
      </c>
      <c r="K164" s="31">
        <v>8325498191.7600002</v>
      </c>
      <c r="L164" s="52">
        <f t="shared" si="113"/>
        <v>0.11811762743104437</v>
      </c>
      <c r="M164" s="31">
        <v>945.01660000000004</v>
      </c>
      <c r="N164" s="31">
        <v>973.5095</v>
      </c>
      <c r="O164" s="32">
        <v>21546</v>
      </c>
      <c r="P164" s="49">
        <v>1.2769999999999999</v>
      </c>
      <c r="Q164" s="49">
        <v>0.34639999999999999</v>
      </c>
      <c r="R164" s="55">
        <f t="shared" ref="R164:R189" si="114">((K164-D164)/D164)</f>
        <v>2.4701436618983896E-2</v>
      </c>
      <c r="S164" s="55">
        <f t="shared" ref="S164:T189" si="115">((N164-G164)/G164)</f>
        <v>2.4489749098752532E-2</v>
      </c>
      <c r="T164" s="55">
        <f t="shared" si="115"/>
        <v>6.0372451585937858E-4</v>
      </c>
      <c r="U164" s="55">
        <f t="shared" ref="U164:V189" si="116">P164-I164</f>
        <v>-0.2722</v>
      </c>
      <c r="V164" s="56">
        <f t="shared" si="116"/>
        <v>4.1399999999999992E-2</v>
      </c>
    </row>
    <row r="165" spans="1:22">
      <c r="A165" s="172">
        <v>142</v>
      </c>
      <c r="B165" s="168" t="s">
        <v>196</v>
      </c>
      <c r="C165" s="169" t="s">
        <v>109</v>
      </c>
      <c r="D165" s="31">
        <v>5171606119.2299995</v>
      </c>
      <c r="E165" s="28">
        <f t="shared" si="112"/>
        <v>7.7090961012869649E-2</v>
      </c>
      <c r="F165" s="31">
        <v>29.316800000000001</v>
      </c>
      <c r="G165" s="31">
        <v>29.709900000000001</v>
      </c>
      <c r="H165" s="30">
        <v>6155</v>
      </c>
      <c r="I165" s="48">
        <v>5.4399999999999997E-2</v>
      </c>
      <c r="J165" s="48">
        <v>0.3795</v>
      </c>
      <c r="K165" s="31">
        <v>5363885403.75</v>
      </c>
      <c r="L165" s="52">
        <f t="shared" si="113"/>
        <v>7.6099880524870267E-2</v>
      </c>
      <c r="M165" s="31">
        <v>31.153099999999998</v>
      </c>
      <c r="N165" s="31">
        <v>31.5855</v>
      </c>
      <c r="O165" s="30">
        <v>6156</v>
      </c>
      <c r="P165" s="48">
        <v>4.41E-2</v>
      </c>
      <c r="Q165" s="48">
        <v>0.4662</v>
      </c>
      <c r="R165" s="55">
        <f t="shared" si="114"/>
        <v>3.7179800643562723E-2</v>
      </c>
      <c r="S165" s="55">
        <f t="shared" si="115"/>
        <v>6.3130471660961446E-2</v>
      </c>
      <c r="T165" s="55">
        <f t="shared" si="115"/>
        <v>1.6246953696181965E-4</v>
      </c>
      <c r="U165" s="55">
        <f t="shared" si="116"/>
        <v>-1.0299999999999997E-2</v>
      </c>
      <c r="V165" s="56">
        <f t="shared" si="116"/>
        <v>8.6699999999999999E-2</v>
      </c>
    </row>
    <row r="166" spans="1:22">
      <c r="A166" s="172">
        <v>143</v>
      </c>
      <c r="B166" s="168" t="s">
        <v>197</v>
      </c>
      <c r="C166" s="169" t="s">
        <v>118</v>
      </c>
      <c r="D166" s="27">
        <v>2374256061.0528135</v>
      </c>
      <c r="E166" s="28">
        <f t="shared" si="112"/>
        <v>3.5392038221279662E-2</v>
      </c>
      <c r="F166" s="31">
        <v>5.6692999999999998</v>
      </c>
      <c r="G166" s="31">
        <v>5.7973999999999997</v>
      </c>
      <c r="H166" s="30">
        <v>2739</v>
      </c>
      <c r="I166" s="48">
        <v>0.30120000000000002</v>
      </c>
      <c r="J166" s="48">
        <v>0.46160000000000001</v>
      </c>
      <c r="K166" s="27">
        <v>2441474609.9403868</v>
      </c>
      <c r="L166" s="52">
        <f t="shared" si="113"/>
        <v>3.4638310130763426E-2</v>
      </c>
      <c r="M166" s="31">
        <v>5.8280000000000003</v>
      </c>
      <c r="N166" s="31">
        <v>5.9626999999999999</v>
      </c>
      <c r="O166" s="30">
        <v>2739</v>
      </c>
      <c r="P166" s="48">
        <v>1.4866999999999999</v>
      </c>
      <c r="Q166" s="48">
        <v>0.51029999999999998</v>
      </c>
      <c r="R166" s="55">
        <f t="shared" si="114"/>
        <v>2.8311415095542223E-2</v>
      </c>
      <c r="S166" s="55">
        <f t="shared" si="115"/>
        <v>2.8512781591748065E-2</v>
      </c>
      <c r="T166" s="55">
        <f t="shared" si="115"/>
        <v>0</v>
      </c>
      <c r="U166" s="55">
        <f t="shared" si="116"/>
        <v>1.1854999999999998</v>
      </c>
      <c r="V166" s="56">
        <f t="shared" si="116"/>
        <v>4.8699999999999966E-2</v>
      </c>
    </row>
    <row r="167" spans="1:22">
      <c r="A167" s="172">
        <v>144</v>
      </c>
      <c r="B167" s="168" t="s">
        <v>306</v>
      </c>
      <c r="C167" s="169" t="s">
        <v>27</v>
      </c>
      <c r="D167" s="27">
        <v>882837430.35000002</v>
      </c>
      <c r="E167" s="28">
        <f t="shared" si="112"/>
        <v>1.3160086896553357E-2</v>
      </c>
      <c r="F167" s="31">
        <v>1.0896999999999999</v>
      </c>
      <c r="G167" s="31">
        <v>1.0896999999999999</v>
      </c>
      <c r="H167" s="30">
        <v>201</v>
      </c>
      <c r="I167" s="48">
        <v>1.7399999999999999E-2</v>
      </c>
      <c r="J167" s="48">
        <v>8.9700000000000002E-2</v>
      </c>
      <c r="K167" s="27">
        <v>890464632.51999998</v>
      </c>
      <c r="L167" s="52">
        <f t="shared" si="113"/>
        <v>1.2633426526789547E-2</v>
      </c>
      <c r="M167" s="31">
        <v>1.1032</v>
      </c>
      <c r="N167" s="31">
        <v>1.1032</v>
      </c>
      <c r="O167" s="30">
        <v>203</v>
      </c>
      <c r="P167" s="48">
        <v>0.03</v>
      </c>
      <c r="Q167" s="48">
        <v>0.1032</v>
      </c>
      <c r="R167" s="55">
        <f t="shared" ref="R167" si="117">((K167-D167)/D167)</f>
        <v>8.639418660552442E-3</v>
      </c>
      <c r="S167" s="55">
        <f t="shared" ref="S167" si="118">((N167-G167)/G167)</f>
        <v>1.2388730843351445E-2</v>
      </c>
      <c r="T167" s="55">
        <f t="shared" ref="T167" si="119">((O167-H167)/H167)</f>
        <v>9.9502487562189053E-3</v>
      </c>
      <c r="U167" s="55">
        <f t="shared" ref="U167" si="120">P167-I167</f>
        <v>1.26E-2</v>
      </c>
      <c r="V167" s="56">
        <f t="shared" ref="V167" si="121">Q167-J167</f>
        <v>1.3499999999999998E-2</v>
      </c>
    </row>
    <row r="168" spans="1:22">
      <c r="A168" s="172">
        <v>145</v>
      </c>
      <c r="B168" s="168" t="s">
        <v>198</v>
      </c>
      <c r="C168" s="169" t="s">
        <v>65</v>
      </c>
      <c r="D168" s="31">
        <v>5211624379.0619698</v>
      </c>
      <c r="E168" s="28">
        <f t="shared" si="112"/>
        <v>7.7687496409685336E-2</v>
      </c>
      <c r="F168" s="31">
        <v>10677.6295366178</v>
      </c>
      <c r="G168" s="31">
        <v>10764.4481389219</v>
      </c>
      <c r="H168" s="30">
        <v>1136</v>
      </c>
      <c r="I168" s="48">
        <v>2.2828837742575745</v>
      </c>
      <c r="J168" s="48">
        <v>0.75533468818135852</v>
      </c>
      <c r="K168" s="31">
        <v>5429763936.4064703</v>
      </c>
      <c r="L168" s="52">
        <f t="shared" si="113"/>
        <v>7.7034529214569381E-2</v>
      </c>
      <c r="M168" s="31">
        <v>10863.666106431499</v>
      </c>
      <c r="N168" s="31">
        <v>10951.0275771701</v>
      </c>
      <c r="O168" s="30">
        <v>1156</v>
      </c>
      <c r="P168" s="48">
        <v>0.90848612511570381</v>
      </c>
      <c r="Q168" s="48">
        <v>0.77341921517668322</v>
      </c>
      <c r="R168" s="55">
        <f t="shared" si="114"/>
        <v>4.1856346789091323E-2</v>
      </c>
      <c r="S168" s="55">
        <f t="shared" si="115"/>
        <v>1.7332931130353942E-2</v>
      </c>
      <c r="T168" s="55">
        <f t="shared" si="115"/>
        <v>1.7605633802816902E-2</v>
      </c>
      <c r="U168" s="55">
        <f t="shared" si="116"/>
        <v>-1.3743976491418706</v>
      </c>
      <c r="V168" s="56">
        <f t="shared" si="116"/>
        <v>1.8084526995324701E-2</v>
      </c>
    </row>
    <row r="169" spans="1:22">
      <c r="A169" s="172">
        <v>146</v>
      </c>
      <c r="B169" s="168" t="s">
        <v>199</v>
      </c>
      <c r="C169" s="169" t="s">
        <v>67</v>
      </c>
      <c r="D169" s="31">
        <v>1011066580.76</v>
      </c>
      <c r="E169" s="28">
        <f t="shared" si="112"/>
        <v>1.5071545002036946E-2</v>
      </c>
      <c r="F169" s="31">
        <v>223.55</v>
      </c>
      <c r="G169" s="31">
        <v>225.31</v>
      </c>
      <c r="H169" s="30">
        <v>495</v>
      </c>
      <c r="I169" s="48">
        <v>5.7500000000000002E-2</v>
      </c>
      <c r="J169" s="48">
        <v>0.21690000000000001</v>
      </c>
      <c r="K169" s="31">
        <v>1025347113.12</v>
      </c>
      <c r="L169" s="52">
        <f t="shared" si="113"/>
        <v>1.4547065593608906E-2</v>
      </c>
      <c r="M169" s="31">
        <v>226.51</v>
      </c>
      <c r="N169" s="31">
        <v>228.31</v>
      </c>
      <c r="O169" s="30">
        <v>496</v>
      </c>
      <c r="P169" s="48">
        <v>1.3299999999999999E-2</v>
      </c>
      <c r="Q169" s="48">
        <v>0.23139999999999999</v>
      </c>
      <c r="R169" s="55">
        <f t="shared" si="114"/>
        <v>1.4124225478074454E-2</v>
      </c>
      <c r="S169" s="55">
        <f t="shared" si="115"/>
        <v>1.3314988238427056E-2</v>
      </c>
      <c r="T169" s="55">
        <f t="shared" si="115"/>
        <v>2.0202020202020202E-3</v>
      </c>
      <c r="U169" s="55">
        <f t="shared" si="116"/>
        <v>-4.4200000000000003E-2</v>
      </c>
      <c r="V169" s="56">
        <f t="shared" si="116"/>
        <v>1.4499999999999985E-2</v>
      </c>
    </row>
    <row r="170" spans="1:22">
      <c r="A170" s="172">
        <v>147</v>
      </c>
      <c r="B170" s="168" t="s">
        <v>200</v>
      </c>
      <c r="C170" s="169" t="s">
        <v>123</v>
      </c>
      <c r="D170" s="31">
        <v>304507936.58999997</v>
      </c>
      <c r="E170" s="28">
        <f t="shared" si="112"/>
        <v>4.5391719567506889E-3</v>
      </c>
      <c r="F170" s="31">
        <v>1.8492999999999999</v>
      </c>
      <c r="G170" s="31">
        <v>1.8683000000000001</v>
      </c>
      <c r="H170" s="30">
        <v>494</v>
      </c>
      <c r="I170" s="48">
        <v>4.7168742921857243E-2</v>
      </c>
      <c r="J170" s="48">
        <v>0.26326934899924859</v>
      </c>
      <c r="K170" s="31">
        <v>339550129.80000001</v>
      </c>
      <c r="L170" s="52">
        <f t="shared" si="113"/>
        <v>4.817352043337675E-3</v>
      </c>
      <c r="M170" s="31">
        <v>1.8979999999999999</v>
      </c>
      <c r="N170" s="31">
        <v>1.9161999999999999</v>
      </c>
      <c r="O170" s="30">
        <v>537</v>
      </c>
      <c r="P170" s="48">
        <v>2.6334288649759285E-2</v>
      </c>
      <c r="Q170" s="48">
        <v>0.29653664867818841</v>
      </c>
      <c r="R170" s="55">
        <f t="shared" si="114"/>
        <v>0.11507809485170188</v>
      </c>
      <c r="S170" s="55">
        <f t="shared" si="115"/>
        <v>2.5638280790022925E-2</v>
      </c>
      <c r="T170" s="55">
        <f t="shared" si="115"/>
        <v>8.7044534412955468E-2</v>
      </c>
      <c r="U170" s="55">
        <f t="shared" si="116"/>
        <v>-2.0834454272097958E-2</v>
      </c>
      <c r="V170" s="56">
        <f t="shared" si="116"/>
        <v>3.3267299678939821E-2</v>
      </c>
    </row>
    <row r="171" spans="1:22">
      <c r="A171" s="172">
        <v>148</v>
      </c>
      <c r="B171" s="168" t="s">
        <v>201</v>
      </c>
      <c r="C171" s="169" t="s">
        <v>29</v>
      </c>
      <c r="D171" s="42">
        <v>145959602.90000001</v>
      </c>
      <c r="E171" s="28">
        <f t="shared" si="112"/>
        <v>2.175758516252427E-3</v>
      </c>
      <c r="F171" s="31">
        <v>174.28559999999999</v>
      </c>
      <c r="G171" s="31">
        <v>175.27170000000001</v>
      </c>
      <c r="H171" s="30">
        <v>124</v>
      </c>
      <c r="I171" s="48">
        <v>5.9002000000000004E-3</v>
      </c>
      <c r="J171" s="48">
        <v>0.1507</v>
      </c>
      <c r="K171" s="42">
        <v>151968871.52000001</v>
      </c>
      <c r="L171" s="52">
        <f t="shared" si="113"/>
        <v>2.1560514618910701E-3</v>
      </c>
      <c r="M171" s="31">
        <v>181.393</v>
      </c>
      <c r="N171" s="31">
        <v>182.43620000000001</v>
      </c>
      <c r="O171" s="30">
        <v>126</v>
      </c>
      <c r="P171" s="48">
        <v>5.5799999999999999E-3</v>
      </c>
      <c r="Q171" s="48">
        <v>0.14019999999999999</v>
      </c>
      <c r="R171" s="55">
        <f t="shared" si="114"/>
        <v>4.1170765750281474E-2</v>
      </c>
      <c r="S171" s="55">
        <f t="shared" si="115"/>
        <v>4.087653625770734E-2</v>
      </c>
      <c r="T171" s="55">
        <f t="shared" si="115"/>
        <v>1.6129032258064516E-2</v>
      </c>
      <c r="U171" s="55">
        <f t="shared" si="116"/>
        <v>-3.2020000000000052E-4</v>
      </c>
      <c r="V171" s="56">
        <f t="shared" si="116"/>
        <v>-1.0500000000000009E-2</v>
      </c>
    </row>
    <row r="172" spans="1:22">
      <c r="A172" s="172">
        <v>149</v>
      </c>
      <c r="B172" s="168" t="s">
        <v>202</v>
      </c>
      <c r="C172" s="169" t="s">
        <v>70</v>
      </c>
      <c r="D172" s="42">
        <v>297620527.63</v>
      </c>
      <c r="E172" s="28">
        <f t="shared" si="112"/>
        <v>4.436504243206003E-3</v>
      </c>
      <c r="F172" s="31">
        <v>139.37</v>
      </c>
      <c r="G172" s="31">
        <v>139.37</v>
      </c>
      <c r="H172" s="30">
        <v>47</v>
      </c>
      <c r="I172" s="48">
        <v>7.9000000000000008E-3</v>
      </c>
      <c r="J172" s="48">
        <v>0.22689999999999999</v>
      </c>
      <c r="K172" s="42">
        <v>300246125.18000001</v>
      </c>
      <c r="L172" s="52">
        <f t="shared" si="113"/>
        <v>4.2597282630757296E-3</v>
      </c>
      <c r="M172" s="31">
        <v>141.55000000000001</v>
      </c>
      <c r="N172" s="31">
        <v>141.66</v>
      </c>
      <c r="O172" s="30">
        <v>52</v>
      </c>
      <c r="P172" s="48">
        <v>-2.5999999999999999E-3</v>
      </c>
      <c r="Q172" s="48">
        <v>1.9400000000000001E-2</v>
      </c>
      <c r="R172" s="55">
        <f t="shared" si="114"/>
        <v>8.8219638978133206E-3</v>
      </c>
      <c r="S172" s="55">
        <f t="shared" si="115"/>
        <v>1.6431082729425214E-2</v>
      </c>
      <c r="T172" s="55">
        <f t="shared" si="115"/>
        <v>0.10638297872340426</v>
      </c>
      <c r="U172" s="55">
        <f t="shared" si="116"/>
        <v>-1.0500000000000001E-2</v>
      </c>
      <c r="V172" s="56">
        <f t="shared" si="116"/>
        <v>-0.20749999999999999</v>
      </c>
    </row>
    <row r="173" spans="1:22" ht="15.75" customHeight="1">
      <c r="A173" s="172">
        <v>150</v>
      </c>
      <c r="B173" s="168" t="s">
        <v>203</v>
      </c>
      <c r="C173" s="169" t="s">
        <v>73</v>
      </c>
      <c r="D173" s="27">
        <v>417720637.91000003</v>
      </c>
      <c r="E173" s="28">
        <f t="shared" si="112"/>
        <v>6.2267861606184116E-3</v>
      </c>
      <c r="F173" s="31">
        <v>1.5584</v>
      </c>
      <c r="G173" s="31">
        <v>1.5761000000000001</v>
      </c>
      <c r="H173" s="30">
        <v>97</v>
      </c>
      <c r="I173" s="48">
        <v>3.6999999999999998E-2</v>
      </c>
      <c r="J173" s="48">
        <v>0.29220000000000002</v>
      </c>
      <c r="K173" s="27">
        <v>421808151.19999999</v>
      </c>
      <c r="L173" s="52">
        <f t="shared" si="113"/>
        <v>5.9843839855890611E-3</v>
      </c>
      <c r="M173" s="31">
        <v>1.5992999999999999</v>
      </c>
      <c r="N173" s="31">
        <v>1.6180000000000001</v>
      </c>
      <c r="O173" s="30">
        <v>98</v>
      </c>
      <c r="P173" s="48">
        <v>3.6999999999999998E-2</v>
      </c>
      <c r="Q173" s="48">
        <v>0.32429999999999998</v>
      </c>
      <c r="R173" s="55">
        <f t="shared" si="114"/>
        <v>9.7852797277414791E-3</v>
      </c>
      <c r="S173" s="55">
        <f t="shared" si="115"/>
        <v>2.6584607575661473E-2</v>
      </c>
      <c r="T173" s="55">
        <f t="shared" si="115"/>
        <v>1.0309278350515464E-2</v>
      </c>
      <c r="U173" s="55">
        <f t="shared" si="116"/>
        <v>0</v>
      </c>
      <c r="V173" s="56">
        <f t="shared" si="116"/>
        <v>3.2099999999999962E-2</v>
      </c>
    </row>
    <row r="174" spans="1:22">
      <c r="A174" s="172">
        <v>151</v>
      </c>
      <c r="B174" s="168" t="s">
        <v>204</v>
      </c>
      <c r="C174" s="169" t="s">
        <v>31</v>
      </c>
      <c r="D174" s="31">
        <v>10003660835.639999</v>
      </c>
      <c r="E174" s="28">
        <f t="shared" si="112"/>
        <v>0.14912037183162685</v>
      </c>
      <c r="F174" s="31">
        <v>408.67</v>
      </c>
      <c r="G174" s="31">
        <v>412.48</v>
      </c>
      <c r="H174" s="30">
        <v>5487</v>
      </c>
      <c r="I174" s="48">
        <v>0.03</v>
      </c>
      <c r="J174" s="48">
        <v>0.26090000000000002</v>
      </c>
      <c r="K174" s="31">
        <v>12245617612.51</v>
      </c>
      <c r="L174" s="52">
        <f t="shared" si="113"/>
        <v>0.1737341436514947</v>
      </c>
      <c r="M174" s="31">
        <v>420.19</v>
      </c>
      <c r="N174" s="31">
        <v>424.2</v>
      </c>
      <c r="O174" s="30">
        <v>5487</v>
      </c>
      <c r="P174" s="48">
        <v>2.8299999999999999E-2</v>
      </c>
      <c r="Q174" s="48">
        <v>0.2964</v>
      </c>
      <c r="R174" s="55">
        <f t="shared" si="114"/>
        <v>0.22411363336935525</v>
      </c>
      <c r="S174" s="55">
        <f t="shared" si="115"/>
        <v>2.841349883630714E-2</v>
      </c>
      <c r="T174" s="55">
        <f t="shared" si="115"/>
        <v>0</v>
      </c>
      <c r="U174" s="55">
        <f t="shared" si="116"/>
        <v>-1.7000000000000001E-3</v>
      </c>
      <c r="V174" s="56">
        <f t="shared" si="116"/>
        <v>3.5499999999999976E-2</v>
      </c>
    </row>
    <row r="175" spans="1:22">
      <c r="A175" s="172">
        <v>152</v>
      </c>
      <c r="B175" s="168" t="s">
        <v>205</v>
      </c>
      <c r="C175" s="169" t="s">
        <v>78</v>
      </c>
      <c r="D175" s="31">
        <v>4055407248.8200002</v>
      </c>
      <c r="E175" s="28">
        <f t="shared" si="112"/>
        <v>6.0452253111000623E-2</v>
      </c>
      <c r="F175" s="31">
        <v>2.8045</v>
      </c>
      <c r="G175" s="31">
        <v>2.8957000000000002</v>
      </c>
      <c r="H175" s="30">
        <v>10209</v>
      </c>
      <c r="I175" s="48">
        <v>2.5700000000000001E-2</v>
      </c>
      <c r="J175" s="48">
        <v>0.2135</v>
      </c>
      <c r="K175" s="31">
        <v>4117426425.8099999</v>
      </c>
      <c r="L175" s="52">
        <f t="shared" si="113"/>
        <v>5.841580039257091E-2</v>
      </c>
      <c r="M175" s="31">
        <v>2.8843000000000001</v>
      </c>
      <c r="N175" s="31">
        <v>2.9411999999999998</v>
      </c>
      <c r="O175" s="30">
        <v>10206</v>
      </c>
      <c r="P175" s="48">
        <v>1.5599999999999999E-2</v>
      </c>
      <c r="Q175" s="48">
        <v>0.24540000000000001</v>
      </c>
      <c r="R175" s="55">
        <f t="shared" si="114"/>
        <v>1.5292959050671288E-2</v>
      </c>
      <c r="S175" s="55">
        <f t="shared" si="115"/>
        <v>1.571295368995395E-2</v>
      </c>
      <c r="T175" s="55">
        <f t="shared" si="115"/>
        <v>-2.9385836027034972E-4</v>
      </c>
      <c r="U175" s="55">
        <f t="shared" si="116"/>
        <v>-1.0100000000000001E-2</v>
      </c>
      <c r="V175" s="56">
        <f t="shared" si="116"/>
        <v>3.1900000000000012E-2</v>
      </c>
    </row>
    <row r="176" spans="1:22">
      <c r="A176" s="172">
        <v>153</v>
      </c>
      <c r="B176" s="168" t="s">
        <v>206</v>
      </c>
      <c r="C176" s="169" t="s">
        <v>80</v>
      </c>
      <c r="D176" s="31">
        <v>290998391.93000001</v>
      </c>
      <c r="E176" s="28">
        <f t="shared" si="112"/>
        <v>4.3377908467676371E-3</v>
      </c>
      <c r="F176" s="31">
        <v>331.73250000000002</v>
      </c>
      <c r="G176" s="31">
        <v>334.03140000000002</v>
      </c>
      <c r="H176" s="30">
        <v>32</v>
      </c>
      <c r="I176" s="48">
        <v>5.9954E-2</v>
      </c>
      <c r="J176" s="48">
        <v>0.154588</v>
      </c>
      <c r="K176" s="31">
        <v>301991162.89999998</v>
      </c>
      <c r="L176" s="52">
        <f t="shared" si="113"/>
        <v>4.2844859064643352E-3</v>
      </c>
      <c r="M176" s="31">
        <v>344.41</v>
      </c>
      <c r="N176" s="31">
        <v>346.91</v>
      </c>
      <c r="O176" s="30">
        <v>32</v>
      </c>
      <c r="P176" s="48">
        <v>3.7945E-2</v>
      </c>
      <c r="Q176" s="48">
        <v>0.19334299999999999</v>
      </c>
      <c r="R176" s="55">
        <f t="shared" si="114"/>
        <v>3.7776054008725565E-2</v>
      </c>
      <c r="S176" s="55">
        <f t="shared" si="115"/>
        <v>3.8555057997541567E-2</v>
      </c>
      <c r="T176" s="55">
        <f t="shared" si="115"/>
        <v>0</v>
      </c>
      <c r="U176" s="55">
        <f t="shared" si="116"/>
        <v>-2.2009000000000001E-2</v>
      </c>
      <c r="V176" s="56">
        <f t="shared" si="116"/>
        <v>3.8754999999999984E-2</v>
      </c>
    </row>
    <row r="177" spans="1:22">
      <c r="A177" s="172">
        <v>154</v>
      </c>
      <c r="B177" s="168" t="s">
        <v>207</v>
      </c>
      <c r="C177" s="168" t="s">
        <v>82</v>
      </c>
      <c r="D177" s="130">
        <v>65122027.557421342</v>
      </c>
      <c r="E177" s="28">
        <f t="shared" si="112"/>
        <v>9.7074672195949585E-4</v>
      </c>
      <c r="F177" s="31">
        <v>1.2592503049235531</v>
      </c>
      <c r="G177" s="31">
        <v>1.2818792086418123</v>
      </c>
      <c r="H177" s="30">
        <v>31</v>
      </c>
      <c r="I177" s="48">
        <v>3.8932796146567847E-2</v>
      </c>
      <c r="J177" s="48">
        <v>6.5818495235922439E-2</v>
      </c>
      <c r="K177" s="130">
        <v>66154137.990526453</v>
      </c>
      <c r="L177" s="52">
        <f t="shared" si="113"/>
        <v>9.3855882785736787E-4</v>
      </c>
      <c r="M177" s="31">
        <v>1.302</v>
      </c>
      <c r="N177" s="31">
        <v>1.2789999999999999</v>
      </c>
      <c r="O177" s="30">
        <v>31</v>
      </c>
      <c r="P177" s="48">
        <v>8.0698476969546434E-2</v>
      </c>
      <c r="Q177" s="48">
        <v>8.2710512115455617E-2</v>
      </c>
      <c r="R177" s="55">
        <f t="shared" si="114"/>
        <v>1.5848868221970635E-2</v>
      </c>
      <c r="S177" s="55">
        <f t="shared" si="115"/>
        <v>-2.2460842038798268E-3</v>
      </c>
      <c r="T177" s="55">
        <f t="shared" si="115"/>
        <v>0</v>
      </c>
      <c r="U177" s="55">
        <f t="shared" si="116"/>
        <v>4.1765680822978588E-2</v>
      </c>
      <c r="V177" s="56">
        <f t="shared" si="116"/>
        <v>1.6892016879533178E-2</v>
      </c>
    </row>
    <row r="178" spans="1:22" ht="13.5" customHeight="1">
      <c r="A178" s="172">
        <v>155</v>
      </c>
      <c r="B178" s="168" t="s">
        <v>208</v>
      </c>
      <c r="C178" s="169" t="s">
        <v>37</v>
      </c>
      <c r="D178" s="27">
        <v>3873662780.3000002</v>
      </c>
      <c r="E178" s="28">
        <f t="shared" si="112"/>
        <v>5.7743064627971658E-2</v>
      </c>
      <c r="F178" s="31">
        <v>5.4153370000000001</v>
      </c>
      <c r="G178" s="31">
        <v>5.5587059999999999</v>
      </c>
      <c r="H178" s="30">
        <v>2459</v>
      </c>
      <c r="I178" s="48">
        <v>1.21E-2</v>
      </c>
      <c r="J178" s="48">
        <v>0.27739999999999998</v>
      </c>
      <c r="K178" s="27">
        <v>4042495113.5500002</v>
      </c>
      <c r="L178" s="52">
        <f t="shared" si="113"/>
        <v>5.7352715803446176E-2</v>
      </c>
      <c r="M178" s="31">
        <v>5.6452140000000002</v>
      </c>
      <c r="N178" s="31">
        <v>5.7747159999999997</v>
      </c>
      <c r="O178" s="30">
        <v>2460</v>
      </c>
      <c r="P178" s="48">
        <v>4.24E-2</v>
      </c>
      <c r="Q178" s="48">
        <v>0.33160000000000001</v>
      </c>
      <c r="R178" s="55">
        <f t="shared" si="114"/>
        <v>4.3584674977031578E-2</v>
      </c>
      <c r="S178" s="55">
        <f t="shared" si="115"/>
        <v>3.885976340536805E-2</v>
      </c>
      <c r="T178" s="55">
        <f t="shared" si="115"/>
        <v>4.0666937779585197E-4</v>
      </c>
      <c r="U178" s="55">
        <f t="shared" si="116"/>
        <v>3.0300000000000001E-2</v>
      </c>
      <c r="V178" s="56">
        <f t="shared" si="116"/>
        <v>5.4200000000000026E-2</v>
      </c>
    </row>
    <row r="179" spans="1:22" ht="13.5" customHeight="1">
      <c r="A179" s="172">
        <v>156</v>
      </c>
      <c r="B179" s="168" t="s">
        <v>209</v>
      </c>
      <c r="C179" s="169" t="s">
        <v>210</v>
      </c>
      <c r="D179" s="27">
        <v>89598260.170000002</v>
      </c>
      <c r="E179" s="28">
        <f t="shared" si="112"/>
        <v>1.3356036446593958E-3</v>
      </c>
      <c r="F179" s="31">
        <v>2.52</v>
      </c>
      <c r="G179" s="31">
        <v>2.54</v>
      </c>
      <c r="H179" s="30">
        <v>101</v>
      </c>
      <c r="I179" s="48">
        <v>2.2200000000000001E-2</v>
      </c>
      <c r="J179" s="48">
        <v>0.1958</v>
      </c>
      <c r="K179" s="27">
        <v>92356130.480000004</v>
      </c>
      <c r="L179" s="52">
        <f t="shared" si="113"/>
        <v>1.3102984061430006E-3</v>
      </c>
      <c r="M179" s="31">
        <v>2.54</v>
      </c>
      <c r="N179" s="31">
        <v>2.5499999999999998</v>
      </c>
      <c r="O179" s="30">
        <v>101</v>
      </c>
      <c r="P179" s="48">
        <v>1.9E-3</v>
      </c>
      <c r="Q179" s="48">
        <v>0.20499999999999999</v>
      </c>
      <c r="R179" s="55">
        <f t="shared" si="114"/>
        <v>3.0780400252943912E-2</v>
      </c>
      <c r="S179" s="55">
        <f t="shared" si="115"/>
        <v>3.9370078740156638E-3</v>
      </c>
      <c r="T179" s="55">
        <f t="shared" si="115"/>
        <v>0</v>
      </c>
      <c r="U179" s="55">
        <f>P179-I179</f>
        <v>-2.0300000000000002E-2</v>
      </c>
      <c r="V179" s="56">
        <f>Q179-J179</f>
        <v>9.199999999999986E-3</v>
      </c>
    </row>
    <row r="180" spans="1:22">
      <c r="A180" s="172">
        <v>157</v>
      </c>
      <c r="B180" s="168" t="s">
        <v>211</v>
      </c>
      <c r="C180" s="169" t="s">
        <v>132</v>
      </c>
      <c r="D180" s="27">
        <v>609651519.24000001</v>
      </c>
      <c r="E180" s="28">
        <f t="shared" si="112"/>
        <v>9.0878192224285673E-3</v>
      </c>
      <c r="F180" s="31">
        <v>307.8</v>
      </c>
      <c r="G180" s="31">
        <v>311.02</v>
      </c>
      <c r="H180" s="30">
        <v>158</v>
      </c>
      <c r="I180" s="48">
        <v>1.37E-2</v>
      </c>
      <c r="J180" s="48">
        <v>0.26850000000000002</v>
      </c>
      <c r="K180" s="27">
        <v>597620653.61000001</v>
      </c>
      <c r="L180" s="52">
        <f t="shared" si="113"/>
        <v>8.4787158776958027E-3</v>
      </c>
      <c r="M180" s="31">
        <v>301.45</v>
      </c>
      <c r="N180" s="31">
        <v>304.77</v>
      </c>
      <c r="O180" s="30">
        <v>158</v>
      </c>
      <c r="P180" s="48">
        <v>1.37E-2</v>
      </c>
      <c r="Q180" s="48">
        <v>0.31519999999999998</v>
      </c>
      <c r="R180" s="55">
        <f t="shared" si="114"/>
        <v>-1.973400418159843E-2</v>
      </c>
      <c r="S180" s="55">
        <f t="shared" si="115"/>
        <v>-2.0095170728570512E-2</v>
      </c>
      <c r="T180" s="55">
        <f t="shared" si="115"/>
        <v>0</v>
      </c>
      <c r="U180" s="55">
        <f t="shared" si="116"/>
        <v>0</v>
      </c>
      <c r="V180" s="56">
        <f t="shared" si="116"/>
        <v>4.6699999999999964E-2</v>
      </c>
    </row>
    <row r="181" spans="1:22">
      <c r="A181" s="172">
        <v>158</v>
      </c>
      <c r="B181" s="168" t="s">
        <v>212</v>
      </c>
      <c r="C181" s="169" t="s">
        <v>33</v>
      </c>
      <c r="D181" s="27">
        <v>2056721692.3299999</v>
      </c>
      <c r="E181" s="28">
        <f t="shared" si="112"/>
        <v>3.0658686710143834E-2</v>
      </c>
      <c r="F181" s="31">
        <v>552.22</v>
      </c>
      <c r="G181" s="31">
        <v>552.22</v>
      </c>
      <c r="H181" s="30">
        <v>823</v>
      </c>
      <c r="I181" s="48">
        <v>-9.4000000000000004E-3</v>
      </c>
      <c r="J181" s="48">
        <v>-5.9200000000000003E-2</v>
      </c>
      <c r="K181" s="27">
        <v>2050093754.6800001</v>
      </c>
      <c r="L181" s="52">
        <f t="shared" si="113"/>
        <v>2.9085612024235204E-2</v>
      </c>
      <c r="M181" s="31">
        <v>552.22</v>
      </c>
      <c r="N181" s="31">
        <v>552.22</v>
      </c>
      <c r="O181" s="30">
        <v>823</v>
      </c>
      <c r="P181" s="48">
        <v>-3.2000000000000002E-3</v>
      </c>
      <c r="Q181" s="48">
        <v>-6.2300000000000001E-2</v>
      </c>
      <c r="R181" s="55">
        <f t="shared" si="114"/>
        <v>-3.2225739023014144E-3</v>
      </c>
      <c r="S181" s="55">
        <f t="shared" si="115"/>
        <v>0</v>
      </c>
      <c r="T181" s="55">
        <f t="shared" si="115"/>
        <v>0</v>
      </c>
      <c r="U181" s="55">
        <f t="shared" si="116"/>
        <v>6.2000000000000006E-3</v>
      </c>
      <c r="V181" s="56">
        <f t="shared" si="116"/>
        <v>-3.0999999999999986E-3</v>
      </c>
    </row>
    <row r="182" spans="1:22">
      <c r="A182" s="172">
        <v>159</v>
      </c>
      <c r="B182" s="168" t="s">
        <v>213</v>
      </c>
      <c r="C182" s="169" t="s">
        <v>89</v>
      </c>
      <c r="D182" s="31">
        <v>43254644.140000001</v>
      </c>
      <c r="E182" s="28">
        <f t="shared" si="112"/>
        <v>6.4477881883216021E-4</v>
      </c>
      <c r="F182" s="31">
        <v>2.42</v>
      </c>
      <c r="G182" s="31">
        <v>2.42</v>
      </c>
      <c r="H182" s="30">
        <v>9</v>
      </c>
      <c r="I182" s="48">
        <v>5.5954999999999998E-2</v>
      </c>
      <c r="J182" s="48">
        <v>0.29185499999999998</v>
      </c>
      <c r="K182" s="31">
        <v>45049761.479999997</v>
      </c>
      <c r="L182" s="52">
        <f t="shared" si="113"/>
        <v>6.3914144472682478E-4</v>
      </c>
      <c r="M182" s="31">
        <v>2.4700000000000002</v>
      </c>
      <c r="N182" s="31">
        <v>2.4700000000000002</v>
      </c>
      <c r="O182" s="30">
        <v>9</v>
      </c>
      <c r="P182" s="48">
        <v>2.0034E-2</v>
      </c>
      <c r="Q182" s="48">
        <v>0.31773600000000002</v>
      </c>
      <c r="R182" s="55">
        <f t="shared" si="114"/>
        <v>4.1501146887021785E-2</v>
      </c>
      <c r="S182" s="55">
        <f t="shared" si="115"/>
        <v>2.06611570247935E-2</v>
      </c>
      <c r="T182" s="55">
        <f t="shared" si="115"/>
        <v>0</v>
      </c>
      <c r="U182" s="55">
        <f t="shared" si="116"/>
        <v>-3.5920999999999995E-2</v>
      </c>
      <c r="V182" s="56">
        <f t="shared" si="116"/>
        <v>2.5881000000000043E-2</v>
      </c>
    </row>
    <row r="183" spans="1:22">
      <c r="A183" s="172">
        <v>160</v>
      </c>
      <c r="B183" s="168" t="s">
        <v>214</v>
      </c>
      <c r="C183" s="169" t="s">
        <v>45</v>
      </c>
      <c r="D183" s="31">
        <v>341451590.48000002</v>
      </c>
      <c r="E183" s="28">
        <f t="shared" si="112"/>
        <v>5.0898754937267381E-3</v>
      </c>
      <c r="F183" s="31">
        <v>3.417405</v>
      </c>
      <c r="G183" s="31">
        <v>3.4950109999999999</v>
      </c>
      <c r="H183" s="30">
        <v>124</v>
      </c>
      <c r="I183" s="48">
        <v>0.1923</v>
      </c>
      <c r="J183" s="48">
        <v>0.30809999999999998</v>
      </c>
      <c r="K183" s="31">
        <v>353622370.60000002</v>
      </c>
      <c r="L183" s="52">
        <f t="shared" si="113"/>
        <v>5.0170013204919785E-3</v>
      </c>
      <c r="M183" s="31">
        <v>3.5394860000000001</v>
      </c>
      <c r="N183" s="31">
        <v>3.6182840000000001</v>
      </c>
      <c r="O183" s="30">
        <v>125</v>
      </c>
      <c r="P183" s="48">
        <v>3.7199999999999997E-2</v>
      </c>
      <c r="Q183" s="48">
        <v>0.35449999999999998</v>
      </c>
      <c r="R183" s="55">
        <f t="shared" si="114"/>
        <v>3.5644233207087345E-2</v>
      </c>
      <c r="S183" s="55">
        <f t="shared" si="115"/>
        <v>3.5271133624472192E-2</v>
      </c>
      <c r="T183" s="55">
        <f t="shared" si="115"/>
        <v>8.0645161290322578E-3</v>
      </c>
      <c r="U183" s="55">
        <f t="shared" si="116"/>
        <v>-0.15510000000000002</v>
      </c>
      <c r="V183" s="56">
        <f t="shared" si="116"/>
        <v>4.6399999999999997E-2</v>
      </c>
    </row>
    <row r="184" spans="1:22">
      <c r="A184" s="172">
        <v>161</v>
      </c>
      <c r="B184" s="168" t="s">
        <v>215</v>
      </c>
      <c r="C184" s="169" t="s">
        <v>49</v>
      </c>
      <c r="D184" s="27">
        <v>3374706331.0900002</v>
      </c>
      <c r="E184" s="28">
        <f t="shared" si="112"/>
        <v>5.0305330336850695E-2</v>
      </c>
      <c r="F184" s="31">
        <v>8461.7800000000007</v>
      </c>
      <c r="G184" s="31">
        <v>8541.68</v>
      </c>
      <c r="H184" s="30">
        <v>2508</v>
      </c>
      <c r="I184" s="48">
        <v>4.9500000000000002E-2</v>
      </c>
      <c r="J184" s="48">
        <v>0.32700000000000001</v>
      </c>
      <c r="K184" s="27">
        <v>3537740960.0700002</v>
      </c>
      <c r="L184" s="28">
        <f t="shared" si="113"/>
        <v>5.0191539178120505E-2</v>
      </c>
      <c r="M184" s="31">
        <v>8772.5</v>
      </c>
      <c r="N184" s="31">
        <v>8857.42</v>
      </c>
      <c r="O184" s="30">
        <v>2533</v>
      </c>
      <c r="P184" s="48">
        <v>3.6999999999999998E-2</v>
      </c>
      <c r="Q184" s="48">
        <v>0.37609999999999999</v>
      </c>
      <c r="R184" s="55">
        <f t="shared" si="114"/>
        <v>4.8310760399510461E-2</v>
      </c>
      <c r="S184" s="55">
        <f t="shared" si="115"/>
        <v>3.6964625225950842E-2</v>
      </c>
      <c r="T184" s="55">
        <f t="shared" si="115"/>
        <v>9.9681020733652318E-3</v>
      </c>
      <c r="U184" s="55">
        <f t="shared" si="116"/>
        <v>-1.2500000000000004E-2</v>
      </c>
      <c r="V184" s="56">
        <f t="shared" si="116"/>
        <v>4.9099999999999977E-2</v>
      </c>
    </row>
    <row r="185" spans="1:22">
      <c r="A185" s="172">
        <v>162</v>
      </c>
      <c r="B185" s="168" t="s">
        <v>216</v>
      </c>
      <c r="C185" s="168" t="s">
        <v>99</v>
      </c>
      <c r="D185" s="27">
        <v>124076773.5</v>
      </c>
      <c r="E185" s="28">
        <f t="shared" si="112"/>
        <v>1.8495603663481086E-3</v>
      </c>
      <c r="F185" s="31">
        <v>1301.97</v>
      </c>
      <c r="G185" s="31">
        <v>1321.92</v>
      </c>
      <c r="H185" s="30">
        <v>14</v>
      </c>
      <c r="I185" s="48">
        <v>2.9077218887982648E-2</v>
      </c>
      <c r="J185" s="48">
        <v>0.178059</v>
      </c>
      <c r="K185" s="27">
        <v>127315381.55</v>
      </c>
      <c r="L185" s="28">
        <f t="shared" si="113"/>
        <v>1.8062811927636855E-3</v>
      </c>
      <c r="M185" s="31">
        <v>1325.37</v>
      </c>
      <c r="N185" s="31">
        <v>1345.89</v>
      </c>
      <c r="O185" s="30">
        <v>15</v>
      </c>
      <c r="P185" s="48">
        <v>2.5400646275113292E-2</v>
      </c>
      <c r="Q185" s="48">
        <v>0.199492</v>
      </c>
      <c r="R185" s="55">
        <f t="shared" si="114"/>
        <v>2.6101646252108555E-2</v>
      </c>
      <c r="S185" s="55">
        <f t="shared" si="115"/>
        <v>1.8132716049382734E-2</v>
      </c>
      <c r="T185" s="55">
        <f t="shared" si="115"/>
        <v>7.1428571428571425E-2</v>
      </c>
      <c r="U185" s="55">
        <f t="shared" si="116"/>
        <v>-3.6765726128693554E-3</v>
      </c>
      <c r="V185" s="56">
        <f t="shared" si="116"/>
        <v>2.1433000000000008E-2</v>
      </c>
    </row>
    <row r="186" spans="1:22">
      <c r="A186" s="172">
        <v>163</v>
      </c>
      <c r="B186" s="168" t="s">
        <v>217</v>
      </c>
      <c r="C186" s="168" t="s">
        <v>82</v>
      </c>
      <c r="D186" s="27">
        <v>737197641.36992884</v>
      </c>
      <c r="E186" s="28">
        <f t="shared" si="112"/>
        <v>1.0989095712124777E-2</v>
      </c>
      <c r="F186" s="31">
        <v>1.407</v>
      </c>
      <c r="G186" s="31">
        <v>1.407</v>
      </c>
      <c r="H186" s="30">
        <v>42</v>
      </c>
      <c r="I186" s="48">
        <v>-4.4843371923757959E-2</v>
      </c>
      <c r="J186" s="48">
        <v>4.5682962079519419E-2</v>
      </c>
      <c r="K186" s="27">
        <v>739184723.97391593</v>
      </c>
      <c r="L186" s="28">
        <f t="shared" si="113"/>
        <v>1.0487149695796521E-2</v>
      </c>
      <c r="M186" s="31">
        <v>1.411</v>
      </c>
      <c r="N186" s="31">
        <v>1.411</v>
      </c>
      <c r="O186" s="30">
        <v>42</v>
      </c>
      <c r="P186" s="48">
        <v>-3.9785454590701499E-2</v>
      </c>
      <c r="Q186" s="48">
        <v>4.8501552789295216E-2</v>
      </c>
      <c r="R186" s="55">
        <f t="shared" si="114"/>
        <v>2.6954543700038391E-3</v>
      </c>
      <c r="S186" s="55">
        <f t="shared" si="115"/>
        <v>2.842928216062547E-3</v>
      </c>
      <c r="T186" s="55">
        <f t="shared" si="115"/>
        <v>0</v>
      </c>
      <c r="U186" s="55">
        <f t="shared" si="116"/>
        <v>5.0579173330564595E-3</v>
      </c>
      <c r="V186" s="56">
        <f t="shared" si="116"/>
        <v>2.8185907097757965E-3</v>
      </c>
    </row>
    <row r="187" spans="1:22">
      <c r="A187" s="172">
        <v>164</v>
      </c>
      <c r="B187" s="168" t="s">
        <v>218</v>
      </c>
      <c r="C187" s="169" t="s">
        <v>52</v>
      </c>
      <c r="D187" s="31">
        <v>2829888174.3699999</v>
      </c>
      <c r="E187" s="28">
        <f t="shared" si="112"/>
        <v>4.2183954827870802E-2</v>
      </c>
      <c r="F187" s="31">
        <v>2.0278</v>
      </c>
      <c r="G187" s="31">
        <v>2.0425</v>
      </c>
      <c r="H187" s="30">
        <v>2439</v>
      </c>
      <c r="I187" s="48">
        <v>1.4800000000000001E-2</v>
      </c>
      <c r="J187" s="48">
        <v>0.2261</v>
      </c>
      <c r="K187" s="31">
        <v>2829888174.3699999</v>
      </c>
      <c r="L187" s="52">
        <f t="shared" si="113"/>
        <v>4.0148909933411671E-2</v>
      </c>
      <c r="M187" s="31">
        <v>2.0278</v>
      </c>
      <c r="N187" s="31">
        <v>2.0425</v>
      </c>
      <c r="O187" s="30">
        <v>2439</v>
      </c>
      <c r="P187" s="48">
        <v>1.4800000000000001E-2</v>
      </c>
      <c r="Q187" s="48">
        <v>0.2261</v>
      </c>
      <c r="R187" s="55">
        <f t="shared" si="114"/>
        <v>0</v>
      </c>
      <c r="S187" s="55">
        <f t="shared" si="115"/>
        <v>0</v>
      </c>
      <c r="T187" s="55">
        <f t="shared" si="115"/>
        <v>0</v>
      </c>
      <c r="U187" s="55">
        <f t="shared" si="116"/>
        <v>0</v>
      </c>
      <c r="V187" s="56">
        <f t="shared" si="116"/>
        <v>0</v>
      </c>
    </row>
    <row r="188" spans="1:22">
      <c r="A188" s="172">
        <v>165</v>
      </c>
      <c r="B188" s="168" t="s">
        <v>219</v>
      </c>
      <c r="C188" s="169" t="s">
        <v>52</v>
      </c>
      <c r="D188" s="31">
        <v>1650658388.29</v>
      </c>
      <c r="E188" s="28">
        <f t="shared" si="112"/>
        <v>2.4605671530951206E-2</v>
      </c>
      <c r="F188" s="31">
        <v>1.5768</v>
      </c>
      <c r="G188" s="31">
        <v>1.5868</v>
      </c>
      <c r="H188" s="30">
        <v>981</v>
      </c>
      <c r="I188" s="48">
        <v>3.0800000000000001E-2</v>
      </c>
      <c r="J188" s="48">
        <v>0.23749999999999999</v>
      </c>
      <c r="K188" s="31">
        <v>1650658388.29</v>
      </c>
      <c r="L188" s="52">
        <f t="shared" si="113"/>
        <v>2.3418640906911248E-2</v>
      </c>
      <c r="M188" s="31">
        <v>1.5768</v>
      </c>
      <c r="N188" s="31">
        <v>1.5868</v>
      </c>
      <c r="O188" s="30">
        <v>981</v>
      </c>
      <c r="P188" s="48">
        <v>3.0800000000000001E-2</v>
      </c>
      <c r="Q188" s="48">
        <v>0.23749999999999999</v>
      </c>
      <c r="R188" s="55">
        <f t="shared" si="114"/>
        <v>0</v>
      </c>
      <c r="S188" s="55">
        <f t="shared" si="115"/>
        <v>0</v>
      </c>
      <c r="T188" s="55">
        <f t="shared" si="115"/>
        <v>0</v>
      </c>
      <c r="U188" s="55">
        <f t="shared" si="116"/>
        <v>0</v>
      </c>
      <c r="V188" s="56">
        <f t="shared" si="116"/>
        <v>0</v>
      </c>
    </row>
    <row r="189" spans="1:22">
      <c r="A189" s="172">
        <v>166</v>
      </c>
      <c r="B189" s="168" t="s">
        <v>220</v>
      </c>
      <c r="C189" s="169" t="s">
        <v>103</v>
      </c>
      <c r="D189" s="27">
        <v>11781518481.24</v>
      </c>
      <c r="E189" s="28">
        <f t="shared" si="112"/>
        <v>0.17562214928404199</v>
      </c>
      <c r="F189" s="31">
        <v>683.63</v>
      </c>
      <c r="G189" s="31">
        <v>692.21</v>
      </c>
      <c r="H189" s="30">
        <v>35</v>
      </c>
      <c r="I189" s="48">
        <v>4.5400000000000003E-2</v>
      </c>
      <c r="J189" s="48">
        <v>0.32322000000000001</v>
      </c>
      <c r="K189" s="27">
        <v>11744890513.16</v>
      </c>
      <c r="L189" s="52">
        <f t="shared" si="113"/>
        <v>0.16663010067371972</v>
      </c>
      <c r="M189" s="31">
        <v>681.23</v>
      </c>
      <c r="N189" s="31">
        <v>690.2</v>
      </c>
      <c r="O189" s="30">
        <v>35</v>
      </c>
      <c r="P189" s="48">
        <v>-3.1089290094993283E-3</v>
      </c>
      <c r="Q189" s="48">
        <v>0.31812071447945334</v>
      </c>
      <c r="R189" s="55">
        <f t="shared" si="114"/>
        <v>-3.1089343991034376E-3</v>
      </c>
      <c r="S189" s="55">
        <f t="shared" si="115"/>
        <v>-2.9037430837462485E-3</v>
      </c>
      <c r="T189" s="55">
        <f t="shared" si="115"/>
        <v>0</v>
      </c>
      <c r="U189" s="55">
        <f t="shared" si="116"/>
        <v>-4.8508929009499331E-2</v>
      </c>
      <c r="V189" s="56">
        <f t="shared" si="116"/>
        <v>-5.0992855205466703E-3</v>
      </c>
    </row>
    <row r="190" spans="1:22">
      <c r="A190" s="34"/>
      <c r="B190" s="35"/>
      <c r="C190" s="36" t="s">
        <v>53</v>
      </c>
      <c r="D190" s="73">
        <f>SUM(D162:D189)</f>
        <v>67084468156.605881</v>
      </c>
      <c r="E190" s="38">
        <f>(D190/$D$222)</f>
        <v>1.1163954525641614E-2</v>
      </c>
      <c r="F190" s="39"/>
      <c r="G190" s="74"/>
      <c r="H190" s="41">
        <f>SUM(H162:H189)</f>
        <v>70469</v>
      </c>
      <c r="I190" s="80"/>
      <c r="J190" s="80"/>
      <c r="K190" s="73">
        <f>SUM(K162:K189)</f>
        <v>70484807160.729034</v>
      </c>
      <c r="L190" s="38">
        <f>(K190/$K$222)</f>
        <v>1.1592828643620443E-2</v>
      </c>
      <c r="M190" s="39"/>
      <c r="N190" s="74"/>
      <c r="O190" s="41">
        <f>SUM(O162:O189)</f>
        <v>70584</v>
      </c>
      <c r="P190" s="80"/>
      <c r="Q190" s="80"/>
      <c r="R190" s="55">
        <f t="shared" ref="R190" si="122">((K190-D190)/D190)</f>
        <v>5.0687425831344515E-2</v>
      </c>
      <c r="S190" s="55" t="e">
        <f t="shared" ref="S190" si="123">((N190-G190)/G190)</f>
        <v>#DIV/0!</v>
      </c>
      <c r="T190" s="55">
        <f t="shared" ref="T190" si="124">((O190-H190)/H190)</f>
        <v>1.6319232570350083E-3</v>
      </c>
      <c r="U190" s="55">
        <f t="shared" ref="U190" si="125">P190-I190</f>
        <v>0</v>
      </c>
      <c r="V190" s="56">
        <f t="shared" ref="V190" si="126">Q190-J190</f>
        <v>0</v>
      </c>
    </row>
    <row r="191" spans="1:22" ht="5.25" customHeight="1">
      <c r="A191" s="34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</row>
    <row r="192" spans="1:22" ht="15" customHeight="1">
      <c r="A192" s="182" t="s">
        <v>221</v>
      </c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</row>
    <row r="193" spans="1:24">
      <c r="A193" s="167">
        <v>167</v>
      </c>
      <c r="B193" s="168" t="s">
        <v>222</v>
      </c>
      <c r="C193" s="169" t="s">
        <v>223</v>
      </c>
      <c r="D193" s="76">
        <v>1348705759.03</v>
      </c>
      <c r="E193" s="28">
        <f>(D193/$D$195)</f>
        <v>0.18516241074427231</v>
      </c>
      <c r="F193" s="75">
        <v>36.527700000000003</v>
      </c>
      <c r="G193" s="75">
        <v>36.931100000000001</v>
      </c>
      <c r="H193" s="30">
        <v>1488</v>
      </c>
      <c r="I193" s="48">
        <v>4.9200000000000001E-2</v>
      </c>
      <c r="J193" s="48">
        <v>0.373</v>
      </c>
      <c r="K193" s="76">
        <v>1291394860.96</v>
      </c>
      <c r="L193" s="52">
        <f>(K193/$K$195)</f>
        <v>0.17259403583264338</v>
      </c>
      <c r="M193" s="75">
        <v>38.5627</v>
      </c>
      <c r="N193" s="75">
        <v>39.009500000000003</v>
      </c>
      <c r="O193" s="30">
        <v>1489</v>
      </c>
      <c r="P193" s="48">
        <v>2.1299999999999999E-2</v>
      </c>
      <c r="Q193" s="48">
        <v>0.44990000000000002</v>
      </c>
      <c r="R193" s="55">
        <f>((K193-D193)/D193)</f>
        <v>-4.2493255245842791E-2</v>
      </c>
      <c r="S193" s="55">
        <f t="shared" ref="S193:T195" si="127">((N193-G193)/G193)</f>
        <v>5.6277771309275977E-2</v>
      </c>
      <c r="T193" s="55">
        <f t="shared" si="127"/>
        <v>6.7204301075268823E-4</v>
      </c>
      <c r="U193" s="55">
        <f t="shared" ref="U193:V195" si="128">P193-I193</f>
        <v>-2.7900000000000001E-2</v>
      </c>
      <c r="V193" s="56">
        <f t="shared" si="128"/>
        <v>7.6900000000000024E-2</v>
      </c>
    </row>
    <row r="194" spans="1:24">
      <c r="A194" s="167">
        <v>168</v>
      </c>
      <c r="B194" s="168" t="s">
        <v>224</v>
      </c>
      <c r="C194" s="169" t="s">
        <v>49</v>
      </c>
      <c r="D194" s="42">
        <v>5935201129.0299997</v>
      </c>
      <c r="E194" s="28">
        <f>(D194/$D$195)</f>
        <v>0.81483758925572769</v>
      </c>
      <c r="F194" s="75">
        <v>4.09</v>
      </c>
      <c r="G194" s="75">
        <v>4.1500000000000004</v>
      </c>
      <c r="H194" s="30">
        <v>10599</v>
      </c>
      <c r="I194" s="48">
        <v>6.9599999999999995E-2</v>
      </c>
      <c r="J194" s="48">
        <v>0.43099999999999999</v>
      </c>
      <c r="K194" s="42">
        <v>6190873310.8800001</v>
      </c>
      <c r="L194" s="52">
        <f>(K194/$K$195)</f>
        <v>0.82740596416735668</v>
      </c>
      <c r="M194" s="75">
        <v>4.2300000000000004</v>
      </c>
      <c r="N194" s="75">
        <v>4.29</v>
      </c>
      <c r="O194" s="30">
        <v>10634</v>
      </c>
      <c r="P194" s="48">
        <v>3.3700000000000001E-2</v>
      </c>
      <c r="Q194" s="48">
        <v>0.4793</v>
      </c>
      <c r="R194" s="55">
        <f>((K194-D194)/D194)</f>
        <v>4.3077256573407031E-2</v>
      </c>
      <c r="S194" s="55">
        <f t="shared" si="127"/>
        <v>3.3734939759036062E-2</v>
      </c>
      <c r="T194" s="55">
        <f t="shared" si="127"/>
        <v>3.3021983205962827E-3</v>
      </c>
      <c r="U194" s="55">
        <f t="shared" si="128"/>
        <v>-3.5899999999999994E-2</v>
      </c>
      <c r="V194" s="56">
        <f t="shared" si="128"/>
        <v>4.830000000000001E-2</v>
      </c>
    </row>
    <row r="195" spans="1:24">
      <c r="A195" s="34"/>
      <c r="B195" s="35"/>
      <c r="C195" s="69" t="s">
        <v>53</v>
      </c>
      <c r="D195" s="73">
        <f>SUM(D193:D194)</f>
        <v>7283906888.0599995</v>
      </c>
      <c r="E195" s="38">
        <f>(D195/$D$222)</f>
        <v>1.2121614361982858E-3</v>
      </c>
      <c r="F195" s="39"/>
      <c r="G195" s="74"/>
      <c r="H195" s="41">
        <f>SUM(H193:H194)</f>
        <v>12087</v>
      </c>
      <c r="I195" s="80"/>
      <c r="J195" s="80"/>
      <c r="K195" s="73">
        <f>SUM(K193:K194)</f>
        <v>7482268171.8400002</v>
      </c>
      <c r="L195" s="38">
        <f>(K195/$K$222)</f>
        <v>1.2306290713679404E-3</v>
      </c>
      <c r="M195" s="39"/>
      <c r="N195" s="74"/>
      <c r="O195" s="41">
        <f>SUM(O193:O194)</f>
        <v>12123</v>
      </c>
      <c r="P195" s="80"/>
      <c r="Q195" s="80"/>
      <c r="R195" s="55">
        <f>((K195-D195)/D195)</f>
        <v>2.7232814316333519E-2</v>
      </c>
      <c r="S195" s="55" t="e">
        <f t="shared" si="127"/>
        <v>#DIV/0!</v>
      </c>
      <c r="T195" s="55">
        <f t="shared" si="127"/>
        <v>2.9784065524944155E-3</v>
      </c>
      <c r="U195" s="55">
        <f t="shared" si="128"/>
        <v>0</v>
      </c>
      <c r="V195" s="56">
        <f t="shared" si="128"/>
        <v>0</v>
      </c>
    </row>
    <row r="196" spans="1:24" ht="6" customHeight="1">
      <c r="A196" s="34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</row>
    <row r="197" spans="1:24" ht="15" customHeight="1">
      <c r="A197" s="183" t="s">
        <v>225</v>
      </c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</row>
    <row r="198" spans="1:24">
      <c r="A198" s="184" t="s">
        <v>226</v>
      </c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</row>
    <row r="199" spans="1:24">
      <c r="A199" s="167">
        <v>169</v>
      </c>
      <c r="B199" s="168" t="s">
        <v>227</v>
      </c>
      <c r="C199" s="169" t="s">
        <v>228</v>
      </c>
      <c r="D199" s="45">
        <v>6358429629.8199997</v>
      </c>
      <c r="E199" s="28">
        <f>(D199/$D$221)</f>
        <v>0.10280844735610518</v>
      </c>
      <c r="F199" s="77">
        <v>2.66</v>
      </c>
      <c r="G199" s="77">
        <v>2.7</v>
      </c>
      <c r="H199" s="44">
        <v>15034</v>
      </c>
      <c r="I199" s="51">
        <v>1.5699999999999999E-2</v>
      </c>
      <c r="J199" s="51">
        <v>0.17019999999999999</v>
      </c>
      <c r="K199" s="45">
        <v>6522054991.2399998</v>
      </c>
      <c r="L199" s="28">
        <f>(K199/$K$221)</f>
        <v>0.10375059540959994</v>
      </c>
      <c r="M199" s="77">
        <v>2.72</v>
      </c>
      <c r="N199" s="77">
        <v>2.77</v>
      </c>
      <c r="O199" s="44">
        <v>15041</v>
      </c>
      <c r="P199" s="51">
        <v>2.24E-2</v>
      </c>
      <c r="Q199" s="51">
        <v>0.19639999999999999</v>
      </c>
      <c r="R199" s="55">
        <f>((K199-D199)/D199)</f>
        <v>2.5733612062422421E-2</v>
      </c>
      <c r="S199" s="55">
        <f>((N199-G199)/G199)</f>
        <v>2.5925925925925866E-2</v>
      </c>
      <c r="T199" s="55">
        <f>((O199-H199)/H199)</f>
        <v>4.6561128109618197E-4</v>
      </c>
      <c r="U199" s="55">
        <f>P199-I199</f>
        <v>6.7000000000000011E-3</v>
      </c>
      <c r="V199" s="56">
        <f>Q199-J199</f>
        <v>2.6200000000000001E-2</v>
      </c>
    </row>
    <row r="200" spans="1:24">
      <c r="A200" s="167">
        <v>170</v>
      </c>
      <c r="B200" s="168" t="s">
        <v>229</v>
      </c>
      <c r="C200" s="169" t="s">
        <v>49</v>
      </c>
      <c r="D200" s="45">
        <v>1901489077.1500001</v>
      </c>
      <c r="E200" s="28">
        <f>(D200/$D$221)</f>
        <v>3.0744877441054405E-2</v>
      </c>
      <c r="F200" s="77">
        <v>731.94</v>
      </c>
      <c r="G200" s="77">
        <v>740.41</v>
      </c>
      <c r="H200" s="44">
        <v>1195</v>
      </c>
      <c r="I200" s="51">
        <v>3.61E-2</v>
      </c>
      <c r="J200" s="51">
        <v>0.46710000000000002</v>
      </c>
      <c r="K200" s="45">
        <v>2106542408.8699999</v>
      </c>
      <c r="L200" s="28">
        <f>(K200/$K$221)</f>
        <v>3.3510148177128884E-2</v>
      </c>
      <c r="M200" s="77">
        <v>777.07</v>
      </c>
      <c r="N200" s="77">
        <v>786.02</v>
      </c>
      <c r="O200" s="44">
        <v>1242</v>
      </c>
      <c r="P200" s="51">
        <v>6.1600000000000002E-2</v>
      </c>
      <c r="Q200" s="51">
        <v>0.55740000000000001</v>
      </c>
      <c r="R200" s="55">
        <f>((K200-D200)/D200)</f>
        <v>0.10783829062396662</v>
      </c>
      <c r="S200" s="55">
        <f>((N200-G200)/G200)</f>
        <v>6.1601004848664952E-2</v>
      </c>
      <c r="T200" s="55">
        <f>((O200-H200)/H200)</f>
        <v>3.9330543933054393E-2</v>
      </c>
      <c r="U200" s="55">
        <f>P200-I200</f>
        <v>2.5500000000000002E-2</v>
      </c>
      <c r="V200" s="56">
        <f>Q200-J200</f>
        <v>9.0299999999999991E-2</v>
      </c>
    </row>
    <row r="201" spans="1:24" ht="6" customHeight="1">
      <c r="A201" s="34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</row>
    <row r="202" spans="1:24" ht="15" customHeight="1">
      <c r="A202" s="184" t="s">
        <v>171</v>
      </c>
      <c r="B202" s="184"/>
      <c r="C202" s="184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</row>
    <row r="203" spans="1:24">
      <c r="A203" s="167">
        <v>171</v>
      </c>
      <c r="B203" s="168" t="s">
        <v>289</v>
      </c>
      <c r="C203" s="169" t="s">
        <v>23</v>
      </c>
      <c r="D203" s="27">
        <v>1254063299.27</v>
      </c>
      <c r="E203" s="28">
        <f>(D203/$D$221)</f>
        <v>2.0276751995425196E-2</v>
      </c>
      <c r="F203" s="75">
        <v>1.0759000000000001</v>
      </c>
      <c r="G203" s="75">
        <v>1.0759000000000001</v>
      </c>
      <c r="H203" s="30">
        <v>642</v>
      </c>
      <c r="I203" s="48">
        <v>0.1409</v>
      </c>
      <c r="J203" s="48">
        <v>0.1178</v>
      </c>
      <c r="K203" s="27">
        <v>1253408987.8499999</v>
      </c>
      <c r="L203" s="28">
        <f t="shared" ref="L203:L215" si="129">(K203/$K$221)</f>
        <v>1.9938796737507637E-2</v>
      </c>
      <c r="M203" s="75">
        <v>1.0789</v>
      </c>
      <c r="N203" s="75">
        <v>1.0789</v>
      </c>
      <c r="O203" s="30">
        <v>647</v>
      </c>
      <c r="P203" s="48">
        <v>0.1454</v>
      </c>
      <c r="Q203" s="48">
        <v>0.1191</v>
      </c>
      <c r="R203" s="55">
        <f>((K203-D203)/D203)</f>
        <v>-5.2175310479220314E-4</v>
      </c>
      <c r="S203" s="55">
        <f>((N203-G203)/G203)</f>
        <v>2.7883632307834291E-3</v>
      </c>
      <c r="T203" s="55">
        <f>((O203-H203)/H203)</f>
        <v>7.7881619937694704E-3</v>
      </c>
      <c r="U203" s="55">
        <f>P203-I203</f>
        <v>4.500000000000004E-3</v>
      </c>
      <c r="V203" s="56">
        <f>Q203-J203</f>
        <v>1.2999999999999956E-3</v>
      </c>
      <c r="X203" s="81"/>
    </row>
    <row r="204" spans="1:24">
      <c r="A204" s="167">
        <v>172</v>
      </c>
      <c r="B204" s="168" t="s">
        <v>230</v>
      </c>
      <c r="C204" s="169" t="s">
        <v>231</v>
      </c>
      <c r="D204" s="27">
        <v>373205467.14999998</v>
      </c>
      <c r="E204" s="28">
        <f>(D204/$D$221)</f>
        <v>6.0343004257778646E-3</v>
      </c>
      <c r="F204" s="75">
        <v>1140.54</v>
      </c>
      <c r="G204" s="75">
        <v>1140.54</v>
      </c>
      <c r="H204" s="30">
        <v>18</v>
      </c>
      <c r="I204" s="48">
        <v>-1.4E-3</v>
      </c>
      <c r="J204" s="48">
        <v>4.3499999999999997E-2</v>
      </c>
      <c r="K204" s="27">
        <v>374437544.63</v>
      </c>
      <c r="L204" s="28">
        <f t="shared" si="129"/>
        <v>5.956422975772117E-3</v>
      </c>
      <c r="M204" s="75">
        <v>1140.82</v>
      </c>
      <c r="N204" s="75">
        <v>1140.82</v>
      </c>
      <c r="O204" s="30">
        <v>18</v>
      </c>
      <c r="P204" s="48">
        <v>8.9999999999999998E-4</v>
      </c>
      <c r="Q204" s="48">
        <v>4.4499999999999998E-2</v>
      </c>
      <c r="R204" s="55">
        <f>((K204-D204)/D204)</f>
        <v>3.3013382397874104E-3</v>
      </c>
      <c r="S204" s="55">
        <f>((N204-G204)/G204)</f>
        <v>2.4549774668137261E-4</v>
      </c>
      <c r="T204" s="55">
        <f>((O204-H204)/H204)</f>
        <v>0</v>
      </c>
      <c r="U204" s="55">
        <f>P204-I204</f>
        <v>2.3E-3</v>
      </c>
      <c r="V204" s="56">
        <f>Q204-J204</f>
        <v>1.0000000000000009E-3</v>
      </c>
      <c r="X204" s="81"/>
    </row>
    <row r="205" spans="1:24">
      <c r="A205" s="167">
        <v>173</v>
      </c>
      <c r="B205" s="168" t="s">
        <v>232</v>
      </c>
      <c r="C205" s="169" t="s">
        <v>67</v>
      </c>
      <c r="D205" s="27">
        <v>246033111.03</v>
      </c>
      <c r="E205" s="28">
        <f>(D205/$D$221)</f>
        <v>3.9780706268353547E-3</v>
      </c>
      <c r="F205" s="75">
        <v>118.57</v>
      </c>
      <c r="G205" s="75">
        <v>118.57</v>
      </c>
      <c r="H205" s="30">
        <v>69</v>
      </c>
      <c r="I205" s="48">
        <v>2.0999999999999999E-3</v>
      </c>
      <c r="J205" s="48">
        <v>0.1202</v>
      </c>
      <c r="K205" s="27">
        <v>246628986.80000001</v>
      </c>
      <c r="L205" s="28">
        <f t="shared" si="129"/>
        <v>3.9232886352743692E-3</v>
      </c>
      <c r="M205" s="75">
        <v>118.82</v>
      </c>
      <c r="N205" s="75">
        <v>118.82</v>
      </c>
      <c r="O205" s="30">
        <v>70</v>
      </c>
      <c r="P205" s="48">
        <v>2.0999999999999999E-3</v>
      </c>
      <c r="Q205" s="48">
        <v>0.1202</v>
      </c>
      <c r="R205" s="55">
        <f t="shared" ref="R205:R222" si="130">((K205-D205)/D205)</f>
        <v>2.4219332410398728E-3</v>
      </c>
      <c r="S205" s="55">
        <f t="shared" ref="S205:S221" si="131">((N205-G205)/G205)</f>
        <v>2.1084591380619044E-3</v>
      </c>
      <c r="T205" s="55">
        <f t="shared" ref="T205:T221" si="132">((O205-H205)/H205)</f>
        <v>1.4492753623188406E-2</v>
      </c>
      <c r="U205" s="55">
        <f t="shared" ref="U205:U221" si="133">P205-I205</f>
        <v>0</v>
      </c>
      <c r="V205" s="56">
        <f t="shared" ref="V205:V221" si="134">Q205-J205</f>
        <v>0</v>
      </c>
    </row>
    <row r="206" spans="1:24">
      <c r="A206" s="167">
        <v>174</v>
      </c>
      <c r="B206" s="173" t="s">
        <v>233</v>
      </c>
      <c r="C206" s="169" t="s">
        <v>70</v>
      </c>
      <c r="D206" s="42">
        <v>61154461.439999998</v>
      </c>
      <c r="E206" s="28">
        <f>(D206/$D$221)</f>
        <v>9.8879685639033919E-4</v>
      </c>
      <c r="F206" s="75">
        <v>98.44</v>
      </c>
      <c r="G206" s="75">
        <v>98.44</v>
      </c>
      <c r="H206" s="30">
        <v>15</v>
      </c>
      <c r="I206" s="48">
        <v>1E-3</v>
      </c>
      <c r="J206" s="48">
        <v>5.4300000000000001E-2</v>
      </c>
      <c r="K206" s="42">
        <v>65016383.57</v>
      </c>
      <c r="L206" s="28">
        <f t="shared" si="129"/>
        <v>1.0342581465238383E-3</v>
      </c>
      <c r="M206" s="75">
        <v>100.45</v>
      </c>
      <c r="N206" s="75">
        <v>100.45</v>
      </c>
      <c r="O206" s="30">
        <v>15</v>
      </c>
      <c r="P206" s="48">
        <v>0.02</v>
      </c>
      <c r="Q206" s="48">
        <v>7.4399999999999994E-2</v>
      </c>
      <c r="R206" s="55">
        <f t="shared" si="130"/>
        <v>6.3150292538983771E-2</v>
      </c>
      <c r="S206" s="55">
        <f t="shared" si="131"/>
        <v>2.0418529053230446E-2</v>
      </c>
      <c r="T206" s="55">
        <f t="shared" si="132"/>
        <v>0</v>
      </c>
      <c r="U206" s="55">
        <f t="shared" si="133"/>
        <v>1.9E-2</v>
      </c>
      <c r="V206" s="56">
        <f t="shared" si="134"/>
        <v>2.0099999999999993E-2</v>
      </c>
    </row>
    <row r="207" spans="1:24">
      <c r="A207" s="167">
        <v>175</v>
      </c>
      <c r="B207" s="168" t="s">
        <v>234</v>
      </c>
      <c r="C207" s="169" t="s">
        <v>73</v>
      </c>
      <c r="D207" s="42">
        <v>157964364.56999999</v>
      </c>
      <c r="E207" s="28">
        <v>0</v>
      </c>
      <c r="F207" s="75">
        <v>1.1060399999999999</v>
      </c>
      <c r="G207" s="75">
        <v>1.1060399999999999</v>
      </c>
      <c r="H207" s="30">
        <v>40</v>
      </c>
      <c r="I207" s="48">
        <v>1.8E-3</v>
      </c>
      <c r="J207" s="48">
        <v>0.1192</v>
      </c>
      <c r="K207" s="42">
        <v>155873384.38</v>
      </c>
      <c r="L207" s="28">
        <f t="shared" si="129"/>
        <v>2.4795798961608812E-3</v>
      </c>
      <c r="M207" s="75">
        <v>1.1048</v>
      </c>
      <c r="N207" s="75">
        <v>1.1048</v>
      </c>
      <c r="O207" s="30">
        <v>41</v>
      </c>
      <c r="P207" s="48">
        <v>1.8E-3</v>
      </c>
      <c r="Q207" s="48">
        <v>0.1125</v>
      </c>
      <c r="R207" s="55">
        <f t="shared" ref="R207:R208" si="135">((K207-D207)/D207)</f>
        <v>-1.3237037326057202E-2</v>
      </c>
      <c r="S207" s="55">
        <f t="shared" ref="S207:S208" si="136">((N207-G207)/G207)</f>
        <v>-1.1211167769700082E-3</v>
      </c>
      <c r="T207" s="55">
        <f t="shared" ref="T207" si="137">((O207-H207)/H207)</f>
        <v>2.5000000000000001E-2</v>
      </c>
      <c r="U207" s="55">
        <f t="shared" ref="U207" si="138">P207-I207</f>
        <v>0</v>
      </c>
      <c r="V207" s="56">
        <f t="shared" ref="V207" si="139">Q207-J207</f>
        <v>-6.6999999999999976E-3</v>
      </c>
    </row>
    <row r="208" spans="1:24">
      <c r="A208" s="167">
        <v>176</v>
      </c>
      <c r="B208" s="168" t="s">
        <v>235</v>
      </c>
      <c r="C208" s="169" t="s">
        <v>31</v>
      </c>
      <c r="D208" s="27">
        <v>5489466711.9099998</v>
      </c>
      <c r="E208" s="28">
        <f t="shared" ref="E208:E215" si="140">(D208/$D$221)</f>
        <v>8.8758322781102725E-2</v>
      </c>
      <c r="F208" s="75">
        <v>155.36000000000001</v>
      </c>
      <c r="G208" s="75">
        <v>155.36000000000001</v>
      </c>
      <c r="H208" s="30">
        <v>705</v>
      </c>
      <c r="I208" s="48">
        <v>2.7000000000000001E-3</v>
      </c>
      <c r="J208" s="48">
        <v>8.2900000000000001E-2</v>
      </c>
      <c r="K208" s="27">
        <v>5749468170.8000002</v>
      </c>
      <c r="L208" s="28">
        <f t="shared" si="129"/>
        <v>9.1460551438195162E-2</v>
      </c>
      <c r="M208" s="75">
        <v>155.79</v>
      </c>
      <c r="N208" s="75">
        <v>155.79</v>
      </c>
      <c r="O208" s="30">
        <v>705</v>
      </c>
      <c r="P208" s="48">
        <v>2.8E-3</v>
      </c>
      <c r="Q208" s="48">
        <v>8.5900000000000004E-2</v>
      </c>
      <c r="R208" s="55">
        <f t="shared" si="135"/>
        <v>4.7363700799186684E-2</v>
      </c>
      <c r="S208" s="55">
        <f t="shared" si="136"/>
        <v>2.7677651905250924E-3</v>
      </c>
      <c r="T208" s="55">
        <f t="shared" si="132"/>
        <v>0</v>
      </c>
      <c r="U208" s="55">
        <f t="shared" si="133"/>
        <v>9.9999999999999829E-5</v>
      </c>
      <c r="V208" s="56">
        <f t="shared" si="134"/>
        <v>3.0000000000000027E-3</v>
      </c>
    </row>
    <row r="209" spans="1:22">
      <c r="A209" s="167">
        <v>177</v>
      </c>
      <c r="B209" s="168" t="s">
        <v>236</v>
      </c>
      <c r="C209" s="169" t="s">
        <v>65</v>
      </c>
      <c r="D209" s="27">
        <v>702538300.95054901</v>
      </c>
      <c r="E209" s="28">
        <f t="shared" si="140"/>
        <v>1.1359231152011155E-2</v>
      </c>
      <c r="F209" s="33">
        <v>1268.45193794581</v>
      </c>
      <c r="G209" s="33">
        <v>1268.45193794581</v>
      </c>
      <c r="H209" s="30">
        <v>219</v>
      </c>
      <c r="I209" s="48">
        <v>0.13573978687573846</v>
      </c>
      <c r="J209" s="48">
        <v>0.13045595597808227</v>
      </c>
      <c r="K209" s="27">
        <v>703248917.77341497</v>
      </c>
      <c r="L209" s="28">
        <f t="shared" si="129"/>
        <v>1.1187040593516471E-2</v>
      </c>
      <c r="M209" s="33">
        <v>1271.1464581330899</v>
      </c>
      <c r="N209" s="33">
        <v>1271.1464581330899</v>
      </c>
      <c r="O209" s="30">
        <v>227</v>
      </c>
      <c r="P209" s="48">
        <v>0.1107649229669803</v>
      </c>
      <c r="Q209" s="48">
        <v>0.13003068077023092</v>
      </c>
      <c r="R209" s="55">
        <f t="shared" si="130"/>
        <v>1.011499048385666E-3</v>
      </c>
      <c r="S209" s="55">
        <f t="shared" si="131"/>
        <v>2.1242587966270195E-3</v>
      </c>
      <c r="T209" s="55">
        <f t="shared" si="132"/>
        <v>3.6529680365296802E-2</v>
      </c>
      <c r="U209" s="55">
        <f t="shared" si="133"/>
        <v>-2.4974863908758152E-2</v>
      </c>
      <c r="V209" s="56">
        <f t="shared" si="134"/>
        <v>-4.2527520785134998E-4</v>
      </c>
    </row>
    <row r="210" spans="1:22">
      <c r="A210" s="167">
        <v>178</v>
      </c>
      <c r="B210" s="168" t="s">
        <v>237</v>
      </c>
      <c r="C210" s="169" t="s">
        <v>228</v>
      </c>
      <c r="D210" s="27">
        <v>31461760195.860001</v>
      </c>
      <c r="E210" s="28">
        <f t="shared" si="140"/>
        <v>0.50870024599423691</v>
      </c>
      <c r="F210" s="33">
        <v>1246.1199999999999</v>
      </c>
      <c r="G210" s="33">
        <v>1246.1199999999999</v>
      </c>
      <c r="H210" s="30">
        <v>10557</v>
      </c>
      <c r="I210" s="48">
        <v>-2.3800000000000002E-2</v>
      </c>
      <c r="J210" s="48">
        <v>7.3400000000000007E-2</v>
      </c>
      <c r="K210" s="27">
        <v>31816084046.09</v>
      </c>
      <c r="L210" s="28">
        <f t="shared" si="129"/>
        <v>0.50611926268903218</v>
      </c>
      <c r="M210" s="33">
        <v>1249.74</v>
      </c>
      <c r="N210" s="33">
        <v>1249.74</v>
      </c>
      <c r="O210" s="30">
        <v>10612</v>
      </c>
      <c r="P210" s="48">
        <v>2.8999999999999998E-3</v>
      </c>
      <c r="Q210" s="48">
        <v>7.6300000000000007E-2</v>
      </c>
      <c r="R210" s="55">
        <f t="shared" si="130"/>
        <v>1.1262047896373719E-2</v>
      </c>
      <c r="S210" s="55">
        <f t="shared" si="131"/>
        <v>2.9050171733060368E-3</v>
      </c>
      <c r="T210" s="55">
        <f t="shared" si="132"/>
        <v>5.2098133939566162E-3</v>
      </c>
      <c r="U210" s="55">
        <f t="shared" si="133"/>
        <v>2.6700000000000002E-2</v>
      </c>
      <c r="V210" s="56">
        <f t="shared" si="134"/>
        <v>2.8999999999999998E-3</v>
      </c>
    </row>
    <row r="211" spans="1:22">
      <c r="A211" s="167">
        <v>179</v>
      </c>
      <c r="B211" s="168" t="s">
        <v>238</v>
      </c>
      <c r="C211" s="169" t="s">
        <v>239</v>
      </c>
      <c r="D211" s="27">
        <v>494108372.30000001</v>
      </c>
      <c r="E211" s="28">
        <f t="shared" si="140"/>
        <v>7.9891604593024992E-3</v>
      </c>
      <c r="F211" s="77">
        <v>130.61000000000001</v>
      </c>
      <c r="G211" s="77">
        <v>131.66999999999999</v>
      </c>
      <c r="H211" s="44">
        <v>143</v>
      </c>
      <c r="I211" s="48">
        <v>4.9299999999999997E-2</v>
      </c>
      <c r="J211" s="48">
        <v>5.3100000000000001E-2</v>
      </c>
      <c r="K211" s="27">
        <v>482416324.44999999</v>
      </c>
      <c r="L211" s="28">
        <f t="shared" si="129"/>
        <v>7.674112065019916E-3</v>
      </c>
      <c r="M211" s="77">
        <v>129.4</v>
      </c>
      <c r="N211" s="77">
        <v>130.46</v>
      </c>
      <c r="O211" s="44">
        <v>142</v>
      </c>
      <c r="P211" s="48">
        <v>-9.1999999999999998E-3</v>
      </c>
      <c r="Q211" s="48">
        <v>4.3700000000000003E-2</v>
      </c>
      <c r="R211" s="55">
        <f t="shared" si="130"/>
        <v>-2.3662921952881111E-2</v>
      </c>
      <c r="S211" s="55">
        <f t="shared" si="131"/>
        <v>-9.1896407685879821E-3</v>
      </c>
      <c r="T211" s="55">
        <f t="shared" si="132"/>
        <v>-6.993006993006993E-3</v>
      </c>
      <c r="U211" s="55">
        <f t="shared" si="133"/>
        <v>-5.8499999999999996E-2</v>
      </c>
      <c r="V211" s="56">
        <f t="shared" si="134"/>
        <v>-9.3999999999999986E-3</v>
      </c>
    </row>
    <row r="212" spans="1:22">
      <c r="A212" s="167">
        <v>180</v>
      </c>
      <c r="B212" s="168" t="s">
        <v>240</v>
      </c>
      <c r="C212" s="169" t="s">
        <v>239</v>
      </c>
      <c r="D212" s="27">
        <v>235909994.13999999</v>
      </c>
      <c r="E212" s="28">
        <f t="shared" si="140"/>
        <v>3.8143915440340985E-3</v>
      </c>
      <c r="F212" s="77">
        <v>125.01</v>
      </c>
      <c r="G212" s="77">
        <v>125.01</v>
      </c>
      <c r="H212" s="44">
        <v>86</v>
      </c>
      <c r="I212" s="48">
        <v>4.1999999999999997E-3</v>
      </c>
      <c r="J212" s="48">
        <v>0.1192</v>
      </c>
      <c r="K212" s="27">
        <v>268200016.94999999</v>
      </c>
      <c r="L212" s="28">
        <f t="shared" si="129"/>
        <v>4.2664331234252475E-3</v>
      </c>
      <c r="M212" s="77">
        <v>125.49</v>
      </c>
      <c r="N212" s="77">
        <v>125.49</v>
      </c>
      <c r="O212" s="44">
        <v>89</v>
      </c>
      <c r="P212" s="48">
        <v>3.8999999999999998E-3</v>
      </c>
      <c r="Q212" s="48">
        <v>0.1237</v>
      </c>
      <c r="R212" s="55">
        <f t="shared" si="130"/>
        <v>0.13687433178790043</v>
      </c>
      <c r="S212" s="55">
        <f t="shared" si="131"/>
        <v>3.8396928245739521E-3</v>
      </c>
      <c r="T212" s="55">
        <f t="shared" si="132"/>
        <v>3.4883720930232558E-2</v>
      </c>
      <c r="U212" s="55">
        <f t="shared" si="133"/>
        <v>-2.9999999999999992E-4</v>
      </c>
      <c r="V212" s="56">
        <f t="shared" si="134"/>
        <v>4.500000000000004E-3</v>
      </c>
    </row>
    <row r="213" spans="1:22" ht="13.5" customHeight="1">
      <c r="A213" s="167">
        <v>181</v>
      </c>
      <c r="B213" s="168" t="s">
        <v>241</v>
      </c>
      <c r="C213" s="169" t="s">
        <v>87</v>
      </c>
      <c r="D213" s="27">
        <v>1914574981</v>
      </c>
      <c r="E213" s="28">
        <f t="shared" si="140"/>
        <v>3.095646135963083E-2</v>
      </c>
      <c r="F213" s="58">
        <v>103.96</v>
      </c>
      <c r="G213" s="58">
        <v>103.96</v>
      </c>
      <c r="H213" s="30">
        <v>645</v>
      </c>
      <c r="I213" s="48">
        <v>3.3999999999999998E-3</v>
      </c>
      <c r="J213" s="48">
        <v>0.14510000000000001</v>
      </c>
      <c r="K213" s="27">
        <v>1964576087</v>
      </c>
      <c r="L213" s="28">
        <f t="shared" si="129"/>
        <v>3.125179702217748E-2</v>
      </c>
      <c r="M213" s="58">
        <v>104.3</v>
      </c>
      <c r="N213" s="58">
        <v>104.3</v>
      </c>
      <c r="O213" s="30">
        <v>647</v>
      </c>
      <c r="P213" s="48">
        <v>3.3E-3</v>
      </c>
      <c r="Q213" s="48">
        <v>0.14599999999999999</v>
      </c>
      <c r="R213" s="55">
        <f t="shared" si="130"/>
        <v>2.6116034365958322E-2</v>
      </c>
      <c r="S213" s="55">
        <f t="shared" si="131"/>
        <v>3.2704886494806023E-3</v>
      </c>
      <c r="T213" s="55">
        <f t="shared" si="132"/>
        <v>3.1007751937984496E-3</v>
      </c>
      <c r="U213" s="55">
        <f t="shared" si="133"/>
        <v>-9.9999999999999829E-5</v>
      </c>
      <c r="V213" s="56">
        <f t="shared" si="134"/>
        <v>8.9999999999998415E-4</v>
      </c>
    </row>
    <row r="214" spans="1:22" ht="15.75" customHeight="1">
      <c r="A214" s="167">
        <v>182</v>
      </c>
      <c r="B214" s="168" t="s">
        <v>242</v>
      </c>
      <c r="C214" s="169" t="s">
        <v>49</v>
      </c>
      <c r="D214" s="27">
        <v>5348000418.6300001</v>
      </c>
      <c r="E214" s="28">
        <f t="shared" si="140"/>
        <v>8.6470976563236046E-2</v>
      </c>
      <c r="F214" s="58">
        <v>137.79</v>
      </c>
      <c r="G214" s="58">
        <v>137.79</v>
      </c>
      <c r="H214" s="30">
        <v>1368</v>
      </c>
      <c r="I214" s="48">
        <v>1.8E-3</v>
      </c>
      <c r="J214" s="48">
        <v>2.5999999999999999E-2</v>
      </c>
      <c r="K214" s="27">
        <v>5205261955.96</v>
      </c>
      <c r="L214" s="28">
        <f t="shared" si="129"/>
        <v>8.2803507164405626E-2</v>
      </c>
      <c r="M214" s="58">
        <v>138.03</v>
      </c>
      <c r="N214" s="58">
        <v>138.03</v>
      </c>
      <c r="O214" s="30">
        <v>1377</v>
      </c>
      <c r="P214" s="48">
        <v>1.6999999999999999E-3</v>
      </c>
      <c r="Q214" s="48">
        <v>2.7799999999999998E-2</v>
      </c>
      <c r="R214" s="55">
        <f t="shared" si="130"/>
        <v>-2.6690061985179397E-2</v>
      </c>
      <c r="S214" s="55">
        <f t="shared" si="131"/>
        <v>1.7417809710429575E-3</v>
      </c>
      <c r="T214" s="55">
        <f t="shared" si="132"/>
        <v>6.5789473684210523E-3</v>
      </c>
      <c r="U214" s="55">
        <f t="shared" si="133"/>
        <v>-1.0000000000000005E-4</v>
      </c>
      <c r="V214" s="56">
        <f t="shared" si="134"/>
        <v>1.7999999999999995E-3</v>
      </c>
    </row>
    <row r="215" spans="1:22">
      <c r="A215" s="167">
        <v>183</v>
      </c>
      <c r="B215" s="168" t="s">
        <v>243</v>
      </c>
      <c r="C215" s="169" t="s">
        <v>52</v>
      </c>
      <c r="D215" s="27">
        <v>4141441693.79</v>
      </c>
      <c r="E215" s="28">
        <f t="shared" si="140"/>
        <v>6.6962318550727054E-2</v>
      </c>
      <c r="F215" s="58">
        <v>1.1639999999999999</v>
      </c>
      <c r="G215" s="58">
        <v>1.1639999999999999</v>
      </c>
      <c r="H215" s="30">
        <v>1741</v>
      </c>
      <c r="I215" s="48">
        <v>0.1336</v>
      </c>
      <c r="J215" s="48">
        <v>0.1094</v>
      </c>
      <c r="K215" s="27">
        <v>4141441693.79</v>
      </c>
      <c r="L215" s="28">
        <f t="shared" si="129"/>
        <v>6.5880622313361184E-2</v>
      </c>
      <c r="M215" s="58">
        <v>1.1639999999999999</v>
      </c>
      <c r="N215" s="58">
        <v>1.1639999999999999</v>
      </c>
      <c r="O215" s="30">
        <v>1741</v>
      </c>
      <c r="P215" s="48">
        <v>0.1336</v>
      </c>
      <c r="Q215" s="48">
        <v>0.1094</v>
      </c>
      <c r="R215" s="55">
        <f t="shared" si="130"/>
        <v>0</v>
      </c>
      <c r="S215" s="55">
        <f t="shared" si="131"/>
        <v>0</v>
      </c>
      <c r="T215" s="55">
        <f t="shared" si="132"/>
        <v>0</v>
      </c>
      <c r="U215" s="55">
        <f t="shared" si="133"/>
        <v>0</v>
      </c>
      <c r="V215" s="56">
        <f t="shared" si="134"/>
        <v>0</v>
      </c>
    </row>
    <row r="216" spans="1:22" ht="6" customHeight="1">
      <c r="A216" s="34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</row>
    <row r="217" spans="1:22">
      <c r="A217" s="184" t="s">
        <v>244</v>
      </c>
      <c r="B217" s="184"/>
      <c r="C217" s="184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</row>
    <row r="218" spans="1:22">
      <c r="A218" s="167">
        <v>184</v>
      </c>
      <c r="B218" s="168" t="s">
        <v>313</v>
      </c>
      <c r="C218" s="169" t="s">
        <v>23</v>
      </c>
      <c r="D218" s="76">
        <v>1394826927.9300001</v>
      </c>
      <c r="E218" s="28">
        <f>(D218/$D$195)</f>
        <v>0.19149433804768187</v>
      </c>
      <c r="F218" s="75">
        <v>83.440700000000007</v>
      </c>
      <c r="G218" s="75">
        <v>85.956500000000005</v>
      </c>
      <c r="H218" s="32">
        <v>1869</v>
      </c>
      <c r="I218" s="49">
        <v>0.14430999999999999</v>
      </c>
      <c r="J218" s="49">
        <v>0.4123</v>
      </c>
      <c r="K218" s="76">
        <v>1492738596.47</v>
      </c>
      <c r="L218" s="52">
        <f>(K218/$K$195)</f>
        <v>0.19950348773758447</v>
      </c>
      <c r="M218" s="75">
        <v>86.528099999999995</v>
      </c>
      <c r="N218" s="75">
        <v>89.137</v>
      </c>
      <c r="O218" s="32">
        <v>1903</v>
      </c>
      <c r="P218" s="49">
        <v>0.19294</v>
      </c>
      <c r="Q218" s="49">
        <v>0.48039999999999999</v>
      </c>
      <c r="R218" s="55">
        <f>((K218-D218)/D218)</f>
        <v>7.0196284986630039E-2</v>
      </c>
      <c r="S218" s="55">
        <f t="shared" ref="S218" si="141">((N218-G218)/G218)</f>
        <v>3.7001273900170377E-2</v>
      </c>
      <c r="T218" s="55">
        <f t="shared" ref="T218" si="142">((O218-H218)/H218)</f>
        <v>1.8191546281433921E-2</v>
      </c>
      <c r="U218" s="55">
        <f t="shared" ref="U218" si="143">P218-I218</f>
        <v>4.8630000000000007E-2</v>
      </c>
      <c r="V218" s="56">
        <f t="shared" ref="V218" si="144">Q218-J218</f>
        <v>6.8099999999999994E-2</v>
      </c>
    </row>
    <row r="219" spans="1:22">
      <c r="A219" s="170">
        <v>185</v>
      </c>
      <c r="B219" s="168" t="s">
        <v>245</v>
      </c>
      <c r="C219" s="169" t="s">
        <v>228</v>
      </c>
      <c r="D219" s="27">
        <v>231443292.71000001</v>
      </c>
      <c r="E219" s="28">
        <f t="shared" ref="E219" si="145">(D219/$D$221)</f>
        <v>3.7421701520306471E-3</v>
      </c>
      <c r="F219" s="33">
        <v>1123.52</v>
      </c>
      <c r="G219" s="33">
        <v>1123.52</v>
      </c>
      <c r="H219" s="30">
        <v>136</v>
      </c>
      <c r="I219" s="48">
        <v>2.9999999999999997E-4</v>
      </c>
      <c r="J219" s="48">
        <v>2.63E-2</v>
      </c>
      <c r="K219" s="27">
        <v>231378580.03999999</v>
      </c>
      <c r="L219" s="28">
        <f t="shared" ref="L219" si="146">(K219/$K$221)</f>
        <v>3.6806904382776021E-3</v>
      </c>
      <c r="M219" s="33">
        <v>1122.5899999999999</v>
      </c>
      <c r="N219" s="33">
        <v>1122.5899999999999</v>
      </c>
      <c r="O219" s="30">
        <v>136</v>
      </c>
      <c r="P219" s="48">
        <v>-8.0000000000000004E-4</v>
      </c>
      <c r="Q219" s="48">
        <v>2.5600000000000001E-2</v>
      </c>
      <c r="R219" s="55">
        <f t="shared" ref="R219" si="147">((K219-D219)/D219)</f>
        <v>-2.7960486235002757E-4</v>
      </c>
      <c r="S219" s="55">
        <f t="shared" ref="S219" si="148">((N219-G219)/G219)</f>
        <v>-8.2775562517806861E-4</v>
      </c>
      <c r="T219" s="55">
        <f t="shared" ref="T219" si="149">((O219-H219)/H219)</f>
        <v>0</v>
      </c>
      <c r="U219" s="55">
        <f t="shared" ref="U219" si="150">P219-I219</f>
        <v>-1.1000000000000001E-3</v>
      </c>
      <c r="V219" s="56">
        <f t="shared" ref="V219" si="151">Q219-J219</f>
        <v>-6.9999999999999923E-4</v>
      </c>
    </row>
    <row r="220" spans="1:22">
      <c r="A220" s="170">
        <v>186</v>
      </c>
      <c r="B220" s="168" t="s">
        <v>290</v>
      </c>
      <c r="C220" s="169" t="s">
        <v>291</v>
      </c>
      <c r="D220" s="27">
        <v>80935841.040000007</v>
      </c>
      <c r="E220" s="28">
        <f t="shared" ref="E220" si="152">(D220/$D$221)</f>
        <v>1.3086388679618829E-3</v>
      </c>
      <c r="F220" s="33">
        <v>105.34</v>
      </c>
      <c r="G220" s="33">
        <v>107.51</v>
      </c>
      <c r="H220" s="30">
        <v>191</v>
      </c>
      <c r="I220" s="48">
        <v>5.5700000000000003E-3</v>
      </c>
      <c r="J220" s="48">
        <v>3.6900000000000002E-2</v>
      </c>
      <c r="K220" s="27">
        <v>84042799.129999995</v>
      </c>
      <c r="L220" s="28">
        <f t="shared" ref="L220" si="153">(K220/$K$221)</f>
        <v>1.3369237857298597E-3</v>
      </c>
      <c r="M220" s="33">
        <v>105.07</v>
      </c>
      <c r="N220" s="33">
        <v>107.85</v>
      </c>
      <c r="O220" s="30">
        <v>222</v>
      </c>
      <c r="P220" s="48">
        <v>3.2000000000000002E-3</v>
      </c>
      <c r="Q220" s="48">
        <v>3.8399999999999997E-2</v>
      </c>
      <c r="R220" s="55">
        <f t="shared" ref="R220" si="154">((K220-D220)/D220)</f>
        <v>3.8387913810205197E-2</v>
      </c>
      <c r="S220" s="55">
        <f t="shared" ref="S220" si="155">((N220-G220)/G220)</f>
        <v>3.162496511952276E-3</v>
      </c>
      <c r="T220" s="55">
        <f t="shared" ref="T220" si="156">((O220-H220)/H220)</f>
        <v>0.16230366492146597</v>
      </c>
      <c r="U220" s="55">
        <f t="shared" ref="U220" si="157">P220-I220</f>
        <v>-2.3700000000000001E-3</v>
      </c>
      <c r="V220" s="56">
        <f t="shared" ref="V220" si="158">Q220-J220</f>
        <v>1.4999999999999944E-3</v>
      </c>
    </row>
    <row r="221" spans="1:22">
      <c r="A221" s="34"/>
      <c r="B221" s="35"/>
      <c r="C221" s="69" t="s">
        <v>53</v>
      </c>
      <c r="D221" s="46">
        <f>SUM(D199:D220)</f>
        <v>61847346140.690552</v>
      </c>
      <c r="E221" s="38">
        <f>(D221/$D$222)</f>
        <v>1.0292411624020533E-2</v>
      </c>
      <c r="F221" s="39"/>
      <c r="G221" s="72"/>
      <c r="H221" s="82">
        <f>SUM(H199:H220)</f>
        <v>34673</v>
      </c>
      <c r="I221" s="79"/>
      <c r="J221" s="79"/>
      <c r="K221" s="46">
        <f>SUM(K199:K220)</f>
        <v>62862819875.793411</v>
      </c>
      <c r="L221" s="38">
        <f>(K221/$K$222)</f>
        <v>1.0339219588315502E-2</v>
      </c>
      <c r="M221" s="39"/>
      <c r="N221" s="72"/>
      <c r="O221" s="41">
        <f>SUM(O199:O220)</f>
        <v>34875</v>
      </c>
      <c r="P221" s="79"/>
      <c r="Q221" s="79"/>
      <c r="R221" s="55">
        <f t="shared" si="130"/>
        <v>1.6419034905602196E-2</v>
      </c>
      <c r="S221" s="55" t="e">
        <f t="shared" si="131"/>
        <v>#DIV/0!</v>
      </c>
      <c r="T221" s="55">
        <f t="shared" si="132"/>
        <v>5.8258587373460615E-3</v>
      </c>
      <c r="U221" s="55">
        <f t="shared" si="133"/>
        <v>0</v>
      </c>
      <c r="V221" s="56">
        <f t="shared" si="134"/>
        <v>0</v>
      </c>
    </row>
    <row r="222" spans="1:22">
      <c r="A222" s="83"/>
      <c r="B222" s="83"/>
      <c r="C222" s="84" t="s">
        <v>246</v>
      </c>
      <c r="D222" s="85">
        <f>SUM(D25,D69,D110,D150,D159,D190,D195,D221)</f>
        <v>6009023774015.2754</v>
      </c>
      <c r="E222" s="86"/>
      <c r="F222" s="86"/>
      <c r="G222" s="87"/>
      <c r="H222" s="85">
        <f>SUM(H25,H69,H110,H150,H159,H190,H195,H221)</f>
        <v>923489</v>
      </c>
      <c r="I222" s="109"/>
      <c r="J222" s="109"/>
      <c r="K222" s="85">
        <f>SUM(K25,K69,K110,K150,K159,K190,K195,K221)</f>
        <v>6080035281080.167</v>
      </c>
      <c r="L222" s="86"/>
      <c r="M222" s="86"/>
      <c r="N222" s="87"/>
      <c r="O222" s="85">
        <f>SUM(O25,O69,O110,O150,O159,O190,O195,O221)</f>
        <v>926766</v>
      </c>
      <c r="P222" s="110"/>
      <c r="Q222" s="85"/>
      <c r="R222" s="116">
        <f t="shared" si="130"/>
        <v>1.1817478135461124E-2</v>
      </c>
      <c r="S222" s="116"/>
      <c r="T222" s="116"/>
      <c r="U222" s="116"/>
      <c r="V222" s="116"/>
    </row>
    <row r="223" spans="1:22" ht="6.75" customHeight="1">
      <c r="A223" s="34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35"/>
    </row>
    <row r="224" spans="1:22" ht="14.4" customHeight="1">
      <c r="A224" s="183" t="s">
        <v>247</v>
      </c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</row>
    <row r="225" spans="1:22" ht="14.4" customHeight="1">
      <c r="A225" s="167">
        <v>1</v>
      </c>
      <c r="B225" s="168" t="s">
        <v>312</v>
      </c>
      <c r="C225" s="169" t="s">
        <v>23</v>
      </c>
      <c r="D225" s="27">
        <f>1138468.4*1531.3754</f>
        <v>1743422501.4373598</v>
      </c>
      <c r="E225" s="28">
        <f t="shared" ref="E225:E228" si="159">(D225/$D$221)</f>
        <v>2.8189123870754559E-2</v>
      </c>
      <c r="F225" s="33">
        <f>1.0078*1531.3754</f>
        <v>1543.3201281199999</v>
      </c>
      <c r="G225" s="33">
        <f>1.0078*1531.3754</f>
        <v>1543.3201281199999</v>
      </c>
      <c r="H225" s="30">
        <v>44</v>
      </c>
      <c r="I225" s="48">
        <v>3.6200000000000003E-2</v>
      </c>
      <c r="J225" s="48">
        <v>3.3099999999999997E-2</v>
      </c>
      <c r="K225" s="27">
        <f>1139675.15*1529.3778</f>
        <v>1742993873.6216698</v>
      </c>
      <c r="L225" s="28">
        <f>(K225/$K$230)</f>
        <v>9.6799976373951019E-2</v>
      </c>
      <c r="M225" s="33">
        <f>1.0089*1529.3778</f>
        <v>1542.9892624199999</v>
      </c>
      <c r="N225" s="33">
        <f>1.0089*1529.3778</f>
        <v>1542.9892624199999</v>
      </c>
      <c r="O225" s="30">
        <v>44</v>
      </c>
      <c r="P225" s="48">
        <v>5.6899999999999999E-2</v>
      </c>
      <c r="Q225" s="48">
        <v>3.49E-2</v>
      </c>
      <c r="R225" s="55">
        <f t="shared" ref="R225" si="160">((K225-D225)/D225)</f>
        <v>-2.45854240917884E-4</v>
      </c>
      <c r="S225" s="55">
        <f t="shared" ref="S225" si="161">((N225-G225)/G225)</f>
        <v>-2.1438565724082726E-4</v>
      </c>
      <c r="T225" s="55">
        <f t="shared" ref="T225" si="162">((O225-H225)/H225)</f>
        <v>0</v>
      </c>
      <c r="U225" s="55">
        <f t="shared" ref="U225" si="163">P225-I225</f>
        <v>2.0699999999999996E-2</v>
      </c>
      <c r="V225" s="56">
        <f t="shared" ref="V225" si="164">Q225-J225</f>
        <v>1.800000000000003E-3</v>
      </c>
    </row>
    <row r="226" spans="1:22" ht="14.4" customHeight="1">
      <c r="A226" s="167">
        <v>2</v>
      </c>
      <c r="B226" s="168" t="s">
        <v>248</v>
      </c>
      <c r="C226" s="169" t="s">
        <v>186</v>
      </c>
      <c r="D226" s="27">
        <v>4367141797.6972837</v>
      </c>
      <c r="E226" s="28">
        <f t="shared" ref="E226" si="165">(D226/$D$221)</f>
        <v>7.0611627987446621E-2</v>
      </c>
      <c r="F226" s="33">
        <v>123.2</v>
      </c>
      <c r="G226" s="33">
        <v>123.2</v>
      </c>
      <c r="H226" s="30">
        <v>9</v>
      </c>
      <c r="I226" s="48">
        <v>0.30383571421914712</v>
      </c>
      <c r="J226" s="48">
        <v>0.26041925266302746</v>
      </c>
      <c r="K226" s="27">
        <v>4361413549.4334631</v>
      </c>
      <c r="L226" s="28">
        <f>(K226/$K$230)</f>
        <v>0.24221813681132162</v>
      </c>
      <c r="M226" s="33">
        <v>123.2</v>
      </c>
      <c r="N226" s="33">
        <v>123.2</v>
      </c>
      <c r="O226" s="30">
        <v>9</v>
      </c>
      <c r="P226" s="48">
        <v>0.26933364901402362</v>
      </c>
      <c r="Q226" s="48">
        <v>0.26002929189674162</v>
      </c>
      <c r="R226" s="55">
        <f t="shared" ref="R226" si="166">((K226-D226)/D226)</f>
        <v>-1.3116698584967063E-3</v>
      </c>
      <c r="S226" s="55">
        <f t="shared" ref="S226" si="167">((N226-G226)/G226)</f>
        <v>0</v>
      </c>
      <c r="T226" s="55">
        <f t="shared" ref="T226" si="168">((O226-H226)/H226)</f>
        <v>0</v>
      </c>
      <c r="U226" s="55">
        <f t="shared" ref="U226" si="169">P226-I226</f>
        <v>-3.45020652051235E-2</v>
      </c>
      <c r="V226" s="56">
        <f t="shared" ref="V226" si="170">Q226-J226</f>
        <v>-3.8996076628583509E-4</v>
      </c>
    </row>
    <row r="227" spans="1:22" ht="14.4" customHeight="1">
      <c r="A227" s="167">
        <v>3</v>
      </c>
      <c r="B227" s="168" t="s">
        <v>310</v>
      </c>
      <c r="C227" s="169" t="s">
        <v>31</v>
      </c>
      <c r="D227" s="27">
        <f>372628.84*1535</f>
        <v>571985269.4000001</v>
      </c>
      <c r="E227" s="28">
        <f t="shared" si="159"/>
        <v>9.2483397444224381E-3</v>
      </c>
      <c r="F227" s="33">
        <f>103.08*1535</f>
        <v>158227.79999999999</v>
      </c>
      <c r="G227" s="33">
        <f>103.08*1535</f>
        <v>158227.79999999999</v>
      </c>
      <c r="H227" s="30">
        <v>4</v>
      </c>
      <c r="I227" s="48">
        <v>3.8E-3</v>
      </c>
      <c r="J227" s="48">
        <v>3.0800000000000001E-2</v>
      </c>
      <c r="K227" s="27">
        <f>372347.3*1536.64</f>
        <v>572163755.07200003</v>
      </c>
      <c r="L227" s="28">
        <f>(K227/$K$230)</f>
        <v>3.1776037088368181E-2</v>
      </c>
      <c r="M227" s="33">
        <f>103*1536.64</f>
        <v>158273.92000000001</v>
      </c>
      <c r="N227" s="33">
        <f>103*1536.64</f>
        <v>158273.92000000001</v>
      </c>
      <c r="O227" s="30">
        <v>4</v>
      </c>
      <c r="P227" s="48">
        <v>-8.0000000000000004E-4</v>
      </c>
      <c r="Q227" s="48">
        <v>0.03</v>
      </c>
      <c r="R227" s="55">
        <f t="shared" ref="R227:R228" si="171">((K227-D227)/D227)</f>
        <v>3.1204592416717107E-4</v>
      </c>
      <c r="S227" s="55">
        <f t="shared" ref="S227:S228" si="172">((N227-G227)/G227)</f>
        <v>2.9147848860961508E-4</v>
      </c>
      <c r="T227" s="55">
        <f t="shared" ref="T227:T228" si="173">((O227-H227)/H227)</f>
        <v>0</v>
      </c>
      <c r="U227" s="55">
        <f t="shared" ref="U227:U228" si="174">P227-I227</f>
        <v>-4.5999999999999999E-3</v>
      </c>
      <c r="V227" s="56">
        <f t="shared" ref="V227:V228" si="175">Q227-J227</f>
        <v>-8.000000000000021E-4</v>
      </c>
    </row>
    <row r="228" spans="1:22" ht="14.4" customHeight="1">
      <c r="A228" s="167">
        <v>4</v>
      </c>
      <c r="B228" s="168" t="s">
        <v>297</v>
      </c>
      <c r="C228" s="169" t="s">
        <v>41</v>
      </c>
      <c r="D228" s="27">
        <v>11187514928.77</v>
      </c>
      <c r="E228" s="28">
        <f t="shared" si="159"/>
        <v>0.18088916706822963</v>
      </c>
      <c r="F228" s="33">
        <v>1.1599999999999999</v>
      </c>
      <c r="G228" s="33">
        <v>1.1599999999999999</v>
      </c>
      <c r="H228" s="30">
        <v>16</v>
      </c>
      <c r="I228" s="48">
        <v>9.2799999999999994E-2</v>
      </c>
      <c r="J228" s="48">
        <v>0.2233</v>
      </c>
      <c r="K228" s="27">
        <v>11205178918.790001</v>
      </c>
      <c r="L228" s="28">
        <f>(K228/$K$230)</f>
        <v>0.62229768619381853</v>
      </c>
      <c r="M228" s="33">
        <v>1.17</v>
      </c>
      <c r="N228" s="33">
        <v>1.17</v>
      </c>
      <c r="O228" s="30">
        <v>16</v>
      </c>
      <c r="P228" s="48">
        <v>1.5E-3</v>
      </c>
      <c r="Q228" s="48">
        <v>0.21840000000000001</v>
      </c>
      <c r="R228" s="55">
        <f t="shared" si="171"/>
        <v>1.5789020289551029E-3</v>
      </c>
      <c r="S228" s="55">
        <f t="shared" si="172"/>
        <v>8.6206896551724223E-3</v>
      </c>
      <c r="T228" s="55">
        <f t="shared" si="173"/>
        <v>0</v>
      </c>
      <c r="U228" s="55">
        <f t="shared" si="174"/>
        <v>-9.1299999999999992E-2</v>
      </c>
      <c r="V228" s="56">
        <f t="shared" si="175"/>
        <v>-4.8999999999999877E-3</v>
      </c>
    </row>
    <row r="229" spans="1:22" ht="14.4" customHeight="1">
      <c r="A229" s="167">
        <v>5</v>
      </c>
      <c r="B229" s="168" t="s">
        <v>315</v>
      </c>
      <c r="C229" s="169" t="s">
        <v>52</v>
      </c>
      <c r="D229" s="27">
        <v>124389355.93000001</v>
      </c>
      <c r="E229" s="28">
        <f t="shared" ref="E229" si="176">(D229/$D$221)</f>
        <v>2.0112319071385648E-3</v>
      </c>
      <c r="F229" s="33">
        <v>1.0658000000000001</v>
      </c>
      <c r="G229" s="33">
        <v>1.0658000000000001</v>
      </c>
      <c r="H229" s="30">
        <v>12</v>
      </c>
      <c r="I229" s="48">
        <v>1.9900000000000001E-2</v>
      </c>
      <c r="J229" s="48">
        <v>6.5799999999999997E-2</v>
      </c>
      <c r="K229" s="27">
        <v>124389355.93000001</v>
      </c>
      <c r="L229" s="28">
        <f>(K229/$K$230)</f>
        <v>6.9081635325406489E-3</v>
      </c>
      <c r="M229" s="33">
        <v>1.0658000000000001</v>
      </c>
      <c r="N229" s="33">
        <v>1.0658000000000001</v>
      </c>
      <c r="O229" s="30">
        <v>12</v>
      </c>
      <c r="P229" s="48">
        <v>1.9900000000000001E-2</v>
      </c>
      <c r="Q229" s="48">
        <v>6.5799999999999997E-2</v>
      </c>
      <c r="R229" s="55">
        <f t="shared" ref="R229:R230" si="177">((K229-D229)/D229)</f>
        <v>0</v>
      </c>
      <c r="S229" s="55">
        <f t="shared" ref="S229" si="178">((N229-G229)/G229)</f>
        <v>0</v>
      </c>
      <c r="T229" s="55">
        <f t="shared" ref="T229" si="179">((O229-H229)/H229)</f>
        <v>0</v>
      </c>
      <c r="U229" s="55">
        <f t="shared" ref="U229" si="180">P229-I229</f>
        <v>0</v>
      </c>
      <c r="V229" s="56">
        <f t="shared" ref="V229" si="181">Q229-J229</f>
        <v>0</v>
      </c>
    </row>
    <row r="230" spans="1:22" ht="14.4" customHeight="1">
      <c r="A230" s="88"/>
      <c r="B230" s="88"/>
      <c r="C230" s="88" t="s">
        <v>53</v>
      </c>
      <c r="D230" s="88">
        <f>SUM(D225:D229)</f>
        <v>17994453853.234642</v>
      </c>
      <c r="E230" s="88"/>
      <c r="F230" s="88"/>
      <c r="G230" s="88"/>
      <c r="H230" s="88">
        <f>SUM(H225:H229)</f>
        <v>85</v>
      </c>
      <c r="I230" s="88"/>
      <c r="J230" s="88"/>
      <c r="K230" s="88">
        <f>SUM(K225:K229)</f>
        <v>18006139452.847134</v>
      </c>
      <c r="L230" s="38"/>
      <c r="M230" s="88"/>
      <c r="N230" s="88"/>
      <c r="O230" s="88">
        <f>SUM(O225:O229)</f>
        <v>85</v>
      </c>
      <c r="P230" s="88"/>
      <c r="Q230" s="88"/>
      <c r="R230" s="116">
        <f t="shared" si="177"/>
        <v>6.494000711442004E-4</v>
      </c>
      <c r="S230" s="88"/>
      <c r="T230" s="88"/>
      <c r="U230" s="88"/>
      <c r="V230" s="88"/>
    </row>
    <row r="231" spans="1:22" ht="6" customHeight="1">
      <c r="A231" s="34"/>
      <c r="B231" s="131"/>
      <c r="C231" s="69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35"/>
    </row>
    <row r="232" spans="1:22" ht="15.6">
      <c r="A232" s="183" t="s">
        <v>249</v>
      </c>
      <c r="B232" s="183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</row>
    <row r="233" spans="1:22">
      <c r="A233" s="167">
        <v>1</v>
      </c>
      <c r="B233" s="168" t="s">
        <v>250</v>
      </c>
      <c r="C233" s="169" t="s">
        <v>251</v>
      </c>
      <c r="D233" s="27">
        <v>117431274879</v>
      </c>
      <c r="E233" s="28">
        <f>(D233/$D$235)</f>
        <v>0.89182677522607845</v>
      </c>
      <c r="F233" s="58">
        <v>111.28</v>
      </c>
      <c r="G233" s="58">
        <v>111.28</v>
      </c>
      <c r="H233" s="30">
        <v>0</v>
      </c>
      <c r="I233" s="48">
        <v>0.23899999999999999</v>
      </c>
      <c r="J233" s="48">
        <v>0.23899999999999999</v>
      </c>
      <c r="K233" s="27">
        <v>114390469985</v>
      </c>
      <c r="L233" s="28">
        <f>(K233/$K$235)</f>
        <v>0.88926965022383564</v>
      </c>
      <c r="M233" s="58">
        <v>108.35</v>
      </c>
      <c r="N233" s="58">
        <v>108.35</v>
      </c>
      <c r="O233" s="30">
        <v>0</v>
      </c>
      <c r="P233" s="48">
        <v>0.23899999999999999</v>
      </c>
      <c r="Q233" s="48">
        <v>0.23899999999999999</v>
      </c>
      <c r="R233" s="55">
        <f>((K233-D233)/D233)</f>
        <v>-2.5894336045769874E-2</v>
      </c>
      <c r="S233" s="55">
        <f>((N233-G233)/G233)</f>
        <v>-2.6329978432782231E-2</v>
      </c>
      <c r="T233" s="55" t="e">
        <f>((O233-H233)/H233)</f>
        <v>#DIV/0!</v>
      </c>
      <c r="U233" s="55">
        <f>P233-I233</f>
        <v>0</v>
      </c>
      <c r="V233" s="56">
        <f>Q233-J233</f>
        <v>0</v>
      </c>
    </row>
    <row r="234" spans="1:22" ht="14.4" customHeight="1">
      <c r="A234" s="167">
        <v>2</v>
      </c>
      <c r="B234" s="168" t="s">
        <v>252</v>
      </c>
      <c r="C234" s="169" t="s">
        <v>52</v>
      </c>
      <c r="D234" s="27">
        <v>14243707461.860001</v>
      </c>
      <c r="E234" s="28">
        <f>(D234/$D$235)</f>
        <v>0.10817322477392156</v>
      </c>
      <c r="F234" s="89">
        <v>1000000</v>
      </c>
      <c r="G234" s="89">
        <v>1000000</v>
      </c>
      <c r="H234" s="30">
        <v>26</v>
      </c>
      <c r="I234" s="48">
        <v>0.2233</v>
      </c>
      <c r="J234" s="48">
        <v>0.2233</v>
      </c>
      <c r="K234" s="27">
        <v>14243707461.860001</v>
      </c>
      <c r="L234" s="28">
        <f>(K234/$K$235)</f>
        <v>0.11073034977616436</v>
      </c>
      <c r="M234" s="89">
        <v>1000000</v>
      </c>
      <c r="N234" s="89">
        <v>1000000</v>
      </c>
      <c r="O234" s="30">
        <v>26</v>
      </c>
      <c r="P234" s="48">
        <v>0.2233</v>
      </c>
      <c r="Q234" s="48">
        <v>0.2233</v>
      </c>
      <c r="R234" s="55">
        <f>((K234-D234)/D234)</f>
        <v>0</v>
      </c>
      <c r="S234" s="55">
        <f>((N234-G234)/G234)</f>
        <v>0</v>
      </c>
      <c r="T234" s="55">
        <f>((O234-H234)/H234)</f>
        <v>0</v>
      </c>
      <c r="U234" s="55">
        <f>P234-I234</f>
        <v>0</v>
      </c>
      <c r="V234" s="56">
        <f>Q234-J234</f>
        <v>0</v>
      </c>
    </row>
    <row r="235" spans="1:22" ht="15" customHeight="1">
      <c r="A235" s="83"/>
      <c r="B235" s="83"/>
      <c r="C235" s="84" t="s">
        <v>253</v>
      </c>
      <c r="D235" s="88">
        <f>SUM(D233:D234)</f>
        <v>131674982340.86</v>
      </c>
      <c r="E235" s="90"/>
      <c r="F235" s="91"/>
      <c r="G235" s="91"/>
      <c r="H235" s="88">
        <f>SUM(H233:H234)</f>
        <v>26</v>
      </c>
      <c r="I235" s="111"/>
      <c r="J235" s="111"/>
      <c r="K235" s="88">
        <f>SUM(K233:K234)</f>
        <v>128634177446.86</v>
      </c>
      <c r="L235" s="90"/>
      <c r="M235" s="91"/>
      <c r="N235" s="91"/>
      <c r="O235" s="88">
        <f>SUM(O233:O234)</f>
        <v>26</v>
      </c>
      <c r="P235" s="111"/>
      <c r="Q235" s="88"/>
      <c r="R235" s="116">
        <f>((K235-D235)/D235)</f>
        <v>-2.3093262212319349E-2</v>
      </c>
      <c r="S235" s="117"/>
      <c r="T235" s="117"/>
      <c r="U235" s="116"/>
      <c r="V235" s="118"/>
    </row>
    <row r="236" spans="1:22" ht="4.5" customHeight="1">
      <c r="A236" s="34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</row>
    <row r="237" spans="1:22" ht="15.6">
      <c r="A237" s="183" t="s">
        <v>254</v>
      </c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</row>
    <row r="238" spans="1:22">
      <c r="A238" s="167">
        <v>1</v>
      </c>
      <c r="B238" s="168" t="s">
        <v>255</v>
      </c>
      <c r="C238" s="169" t="s">
        <v>80</v>
      </c>
      <c r="D238" s="92">
        <v>1195105231.6199999</v>
      </c>
      <c r="E238" s="93">
        <f t="shared" ref="E238:E249" si="182">(D238/$D$250)</f>
        <v>7.7887365184803881E-2</v>
      </c>
      <c r="F238" s="89">
        <v>292.01492141</v>
      </c>
      <c r="G238" s="89">
        <v>292.01492141</v>
      </c>
      <c r="H238" s="94">
        <v>266</v>
      </c>
      <c r="I238" s="50">
        <v>3.5764999999999998E-2</v>
      </c>
      <c r="J238" s="50">
        <v>0.197627</v>
      </c>
      <c r="K238" s="92">
        <v>1238229843.7</v>
      </c>
      <c r="L238" s="93">
        <f t="shared" ref="L238:L249" si="183">(K238/$K$250)</f>
        <v>7.7331277764345702E-2</v>
      </c>
      <c r="M238" s="89">
        <v>302.55209409999998</v>
      </c>
      <c r="N238" s="89">
        <v>302.55209409999998</v>
      </c>
      <c r="O238" s="94">
        <v>266</v>
      </c>
      <c r="P238" s="50">
        <v>3.6209999999999999E-2</v>
      </c>
      <c r="Q238" s="50">
        <v>0.240843</v>
      </c>
      <c r="R238" s="55">
        <f>((K238-D238)/D238)</f>
        <v>3.6084363902870294E-2</v>
      </c>
      <c r="S238" s="55">
        <f>((N238-G238)/G238)</f>
        <v>3.6084363905519022E-2</v>
      </c>
      <c r="T238" s="55">
        <f>((O238-H238)/H238)</f>
        <v>0</v>
      </c>
      <c r="U238" s="55">
        <f>P238-I238</f>
        <v>4.4500000000000095E-4</v>
      </c>
      <c r="V238" s="56">
        <f>Q238-J238</f>
        <v>4.3216000000000004E-2</v>
      </c>
    </row>
    <row r="239" spans="1:22">
      <c r="A239" s="167">
        <v>2</v>
      </c>
      <c r="B239" s="168" t="s">
        <v>256</v>
      </c>
      <c r="C239" s="169" t="s">
        <v>228</v>
      </c>
      <c r="D239" s="92">
        <v>1507596525.1400001</v>
      </c>
      <c r="E239" s="93">
        <f t="shared" si="182"/>
        <v>9.8253039145139248E-2</v>
      </c>
      <c r="F239" s="89">
        <v>42.88</v>
      </c>
      <c r="G239" s="89">
        <v>47.39</v>
      </c>
      <c r="H239" s="94">
        <v>230</v>
      </c>
      <c r="I239" s="50">
        <v>4.3299999999999998E-2</v>
      </c>
      <c r="J239" s="50">
        <v>0.3987</v>
      </c>
      <c r="K239" s="92">
        <v>1604854387.76</v>
      </c>
      <c r="L239" s="93">
        <f t="shared" si="183"/>
        <v>0.10022811278748824</v>
      </c>
      <c r="M239" s="89">
        <v>45.65</v>
      </c>
      <c r="N239" s="89">
        <v>50.45</v>
      </c>
      <c r="O239" s="94">
        <v>230</v>
      </c>
      <c r="P239" s="50">
        <v>6.4500000000000002E-2</v>
      </c>
      <c r="Q239" s="50">
        <v>0.48899999999999999</v>
      </c>
      <c r="R239" s="55">
        <f t="shared" ref="R239:R250" si="184">((K239-D239)/D239)</f>
        <v>6.451186441343662E-2</v>
      </c>
      <c r="S239" s="55">
        <f t="shared" ref="S239:S250" si="185">((N239-G239)/G239)</f>
        <v>6.457058451150037E-2</v>
      </c>
      <c r="T239" s="55">
        <f t="shared" ref="T239:T250" si="186">((O239-H239)/H239)</f>
        <v>0</v>
      </c>
      <c r="U239" s="55">
        <f t="shared" ref="U239:U250" si="187">P239-I239</f>
        <v>2.1200000000000004E-2</v>
      </c>
      <c r="V239" s="56">
        <f t="shared" ref="V239:V250" si="188">Q239-J239</f>
        <v>9.0299999999999991E-2</v>
      </c>
    </row>
    <row r="240" spans="1:22">
      <c r="A240" s="167">
        <v>3</v>
      </c>
      <c r="B240" s="168" t="s">
        <v>257</v>
      </c>
      <c r="C240" s="169" t="s">
        <v>43</v>
      </c>
      <c r="D240" s="92">
        <v>474621152.01999998</v>
      </c>
      <c r="E240" s="93">
        <f t="shared" si="182"/>
        <v>3.0931996625689795E-2</v>
      </c>
      <c r="F240" s="89">
        <v>35.411838000000003</v>
      </c>
      <c r="G240" s="89">
        <v>35.829019000000002</v>
      </c>
      <c r="H240" s="94">
        <v>195</v>
      </c>
      <c r="I240" s="50">
        <v>5.2900000000000003E-2</v>
      </c>
      <c r="J240" s="50">
        <v>0.23830000000000001</v>
      </c>
      <c r="K240" s="92">
        <v>496508640.96999997</v>
      </c>
      <c r="L240" s="93">
        <f t="shared" si="183"/>
        <v>3.1008497996234223E-2</v>
      </c>
      <c r="M240" s="89">
        <v>37.044879000000002</v>
      </c>
      <c r="N240" s="89">
        <v>37.471096000000003</v>
      </c>
      <c r="O240" s="94">
        <v>195</v>
      </c>
      <c r="P240" s="50">
        <v>5.2900000000000003E-2</v>
      </c>
      <c r="Q240" s="50">
        <v>0.2954</v>
      </c>
      <c r="R240" s="55">
        <f t="shared" si="184"/>
        <v>4.6115704824461076E-2</v>
      </c>
      <c r="S240" s="55">
        <f t="shared" si="185"/>
        <v>4.5830922694255191E-2</v>
      </c>
      <c r="T240" s="55">
        <f t="shared" si="186"/>
        <v>0</v>
      </c>
      <c r="U240" s="55">
        <f t="shared" si="187"/>
        <v>0</v>
      </c>
      <c r="V240" s="56">
        <f t="shared" si="188"/>
        <v>5.7099999999999984E-2</v>
      </c>
    </row>
    <row r="241" spans="1:26">
      <c r="A241" s="167">
        <v>4</v>
      </c>
      <c r="B241" s="168" t="s">
        <v>258</v>
      </c>
      <c r="C241" s="169" t="s">
        <v>43</v>
      </c>
      <c r="D241" s="92">
        <v>1083703531.04</v>
      </c>
      <c r="E241" s="93">
        <f t="shared" si="182"/>
        <v>7.0627096627932956E-2</v>
      </c>
      <c r="F241" s="89">
        <v>81.319481999999994</v>
      </c>
      <c r="G241" s="89">
        <v>81.831800000000001</v>
      </c>
      <c r="H241" s="94">
        <v>230</v>
      </c>
      <c r="I241" s="50">
        <v>0.12809999999999999</v>
      </c>
      <c r="J241" s="50">
        <v>0.22589999999999999</v>
      </c>
      <c r="K241" s="92">
        <v>1127415875.5599999</v>
      </c>
      <c r="L241" s="93">
        <f t="shared" si="183"/>
        <v>7.0410603227220023E-2</v>
      </c>
      <c r="M241" s="89">
        <v>84.599591000000004</v>
      </c>
      <c r="N241" s="89">
        <v>85.130752999999999</v>
      </c>
      <c r="O241" s="94">
        <v>230</v>
      </c>
      <c r="P241" s="50">
        <v>0.12809999999999999</v>
      </c>
      <c r="Q241" s="50">
        <v>0.27529999999999999</v>
      </c>
      <c r="R241" s="55">
        <f t="shared" si="184"/>
        <v>4.0336072798480657E-2</v>
      </c>
      <c r="S241" s="55">
        <f t="shared" si="185"/>
        <v>4.0313826654185751E-2</v>
      </c>
      <c r="T241" s="55">
        <f t="shared" si="186"/>
        <v>0</v>
      </c>
      <c r="U241" s="55">
        <f t="shared" si="187"/>
        <v>0</v>
      </c>
      <c r="V241" s="56">
        <f t="shared" si="188"/>
        <v>4.9399999999999999E-2</v>
      </c>
    </row>
    <row r="242" spans="1:26">
      <c r="A242" s="167">
        <v>5</v>
      </c>
      <c r="B242" s="168" t="s">
        <v>259</v>
      </c>
      <c r="C242" s="169" t="s">
        <v>260</v>
      </c>
      <c r="D242" s="92">
        <v>1602151238.0599999</v>
      </c>
      <c r="E242" s="93">
        <f t="shared" si="182"/>
        <v>0.10441535628700413</v>
      </c>
      <c r="F242" s="89">
        <v>46450</v>
      </c>
      <c r="G242" s="89">
        <v>48650</v>
      </c>
      <c r="H242" s="94">
        <v>271</v>
      </c>
      <c r="I242" s="50">
        <v>7.0000000000000001E-3</v>
      </c>
      <c r="J242" s="50">
        <v>0.27</v>
      </c>
      <c r="K242" s="92">
        <v>1603738400.5999999</v>
      </c>
      <c r="L242" s="93">
        <f t="shared" si="183"/>
        <v>0.10015841594284304</v>
      </c>
      <c r="M242" s="89">
        <v>46250</v>
      </c>
      <c r="N242" s="89">
        <v>48740</v>
      </c>
      <c r="O242" s="94">
        <v>271</v>
      </c>
      <c r="P242" s="50">
        <v>1E-3</v>
      </c>
      <c r="Q242" s="50">
        <v>0.27</v>
      </c>
      <c r="R242" s="55">
        <f t="shared" si="184"/>
        <v>9.906446422135607E-4</v>
      </c>
      <c r="S242" s="55">
        <f t="shared" si="185"/>
        <v>1.8499486125385406E-3</v>
      </c>
      <c r="T242" s="55">
        <f t="shared" si="186"/>
        <v>0</v>
      </c>
      <c r="U242" s="55">
        <f t="shared" si="187"/>
        <v>-6.0000000000000001E-3</v>
      </c>
      <c r="V242" s="56">
        <f t="shared" si="188"/>
        <v>0</v>
      </c>
    </row>
    <row r="243" spans="1:26">
      <c r="A243" s="167">
        <v>6</v>
      </c>
      <c r="B243" s="168" t="s">
        <v>261</v>
      </c>
      <c r="C243" s="169" t="s">
        <v>262</v>
      </c>
      <c r="D243" s="92">
        <v>895408669.61000001</v>
      </c>
      <c r="E243" s="93">
        <f t="shared" si="182"/>
        <v>5.8355549113459651E-2</v>
      </c>
      <c r="F243" s="89">
        <v>320</v>
      </c>
      <c r="G243" s="89">
        <v>320</v>
      </c>
      <c r="H243" s="94">
        <v>145</v>
      </c>
      <c r="I243" s="50">
        <v>6.6500000000000004E-2</v>
      </c>
      <c r="J243" s="50">
        <v>0.36170000000000002</v>
      </c>
      <c r="K243" s="92">
        <v>918177871.04999995</v>
      </c>
      <c r="L243" s="93">
        <f t="shared" si="183"/>
        <v>5.7343043655832003E-2</v>
      </c>
      <c r="M243" s="89">
        <v>320</v>
      </c>
      <c r="N243" s="89">
        <v>320</v>
      </c>
      <c r="O243" s="94">
        <v>145</v>
      </c>
      <c r="P243" s="50">
        <v>2.5499999999999998E-2</v>
      </c>
      <c r="Q243" s="50">
        <v>0.39579999999999999</v>
      </c>
      <c r="R243" s="55">
        <f t="shared" si="184"/>
        <v>2.5428837370892538E-2</v>
      </c>
      <c r="S243" s="55">
        <f t="shared" si="185"/>
        <v>0</v>
      </c>
      <c r="T243" s="55">
        <f t="shared" si="186"/>
        <v>0</v>
      </c>
      <c r="U243" s="55">
        <f t="shared" si="187"/>
        <v>-4.1000000000000009E-2</v>
      </c>
      <c r="V243" s="56">
        <f t="shared" si="188"/>
        <v>3.4099999999999964E-2</v>
      </c>
    </row>
    <row r="244" spans="1:26">
      <c r="A244" s="167">
        <v>7</v>
      </c>
      <c r="B244" s="168" t="s">
        <v>263</v>
      </c>
      <c r="C244" s="169" t="s">
        <v>262</v>
      </c>
      <c r="D244" s="92">
        <v>885463210.25999999</v>
      </c>
      <c r="E244" s="93">
        <f t="shared" si="182"/>
        <v>5.7707383911074883E-2</v>
      </c>
      <c r="F244" s="89">
        <v>450</v>
      </c>
      <c r="G244" s="89">
        <v>450</v>
      </c>
      <c r="H244" s="94">
        <v>682</v>
      </c>
      <c r="I244" s="50">
        <v>3.5000000000000003E-2</v>
      </c>
      <c r="J244" s="50">
        <v>0.215</v>
      </c>
      <c r="K244" s="92">
        <v>922817431.07000005</v>
      </c>
      <c r="L244" s="93">
        <f t="shared" si="183"/>
        <v>5.7632798507434427E-2</v>
      </c>
      <c r="M244" s="89">
        <v>500</v>
      </c>
      <c r="N244" s="89">
        <v>500</v>
      </c>
      <c r="O244" s="94">
        <v>682</v>
      </c>
      <c r="P244" s="50">
        <v>4.2200000000000001E-2</v>
      </c>
      <c r="Q244" s="50">
        <v>0.26579999999999998</v>
      </c>
      <c r="R244" s="55">
        <f t="shared" si="184"/>
        <v>4.2186078853611191E-2</v>
      </c>
      <c r="S244" s="55">
        <f t="shared" si="185"/>
        <v>0.1111111111111111</v>
      </c>
      <c r="T244" s="55">
        <f t="shared" si="186"/>
        <v>0</v>
      </c>
      <c r="U244" s="55">
        <f t="shared" si="187"/>
        <v>7.1999999999999981E-3</v>
      </c>
      <c r="V244" s="56">
        <f t="shared" si="188"/>
        <v>5.0799999999999984E-2</v>
      </c>
    </row>
    <row r="245" spans="1:26">
      <c r="A245" s="167">
        <v>8</v>
      </c>
      <c r="B245" s="168" t="s">
        <v>264</v>
      </c>
      <c r="C245" s="169" t="s">
        <v>265</v>
      </c>
      <c r="D245" s="92">
        <v>98578094</v>
      </c>
      <c r="E245" s="93">
        <f t="shared" si="182"/>
        <v>6.4245288226143808E-3</v>
      </c>
      <c r="F245" s="89">
        <v>27.76</v>
      </c>
      <c r="G245" s="89">
        <v>27.86</v>
      </c>
      <c r="H245" s="94">
        <v>102</v>
      </c>
      <c r="I245" s="50">
        <v>6.6799999999999998E-2</v>
      </c>
      <c r="J245" s="50">
        <v>0.625</v>
      </c>
      <c r="K245" s="92">
        <v>99941836.469999999</v>
      </c>
      <c r="L245" s="93">
        <f t="shared" si="183"/>
        <v>6.2416763379294611E-3</v>
      </c>
      <c r="M245" s="89">
        <v>28.14</v>
      </c>
      <c r="N245" s="89">
        <v>28.24</v>
      </c>
      <c r="O245" s="94">
        <v>110</v>
      </c>
      <c r="P245" s="50">
        <v>6.6199999999999995E-2</v>
      </c>
      <c r="Q245" s="50">
        <v>0.73260000000000003</v>
      </c>
      <c r="R245" s="55">
        <f t="shared" si="184"/>
        <v>1.3834133068143911E-2</v>
      </c>
      <c r="S245" s="55">
        <f t="shared" si="185"/>
        <v>1.3639626704953303E-2</v>
      </c>
      <c r="T245" s="55">
        <f t="shared" si="186"/>
        <v>7.8431372549019607E-2</v>
      </c>
      <c r="U245" s="55">
        <f t="shared" si="187"/>
        <v>-6.0000000000000331E-4</v>
      </c>
      <c r="V245" s="56">
        <f t="shared" si="188"/>
        <v>0.10760000000000003</v>
      </c>
    </row>
    <row r="246" spans="1:26">
      <c r="A246" s="167">
        <v>9</v>
      </c>
      <c r="B246" s="168" t="s">
        <v>266</v>
      </c>
      <c r="C246" s="169" t="s">
        <v>265</v>
      </c>
      <c r="D246" s="95">
        <v>918944698.59000003</v>
      </c>
      <c r="E246" s="93">
        <f t="shared" si="182"/>
        <v>5.9889438544836748E-2</v>
      </c>
      <c r="F246" s="89">
        <v>14.53</v>
      </c>
      <c r="G246" s="89">
        <v>14.63</v>
      </c>
      <c r="H246" s="94">
        <v>154</v>
      </c>
      <c r="I246" s="50">
        <v>7.4099999999999999E-2</v>
      </c>
      <c r="J246" s="50">
        <v>0.33029999999999998</v>
      </c>
      <c r="K246" s="95">
        <v>963423094.73000002</v>
      </c>
      <c r="L246" s="93">
        <f t="shared" si="183"/>
        <v>6.016874760547429E-2</v>
      </c>
      <c r="M246" s="89">
        <v>15.31</v>
      </c>
      <c r="N246" s="89">
        <v>15.41</v>
      </c>
      <c r="O246" s="94">
        <v>172</v>
      </c>
      <c r="P246" s="50">
        <v>8.2799999999999999E-2</v>
      </c>
      <c r="Q246" s="50">
        <v>0.44040000000000001</v>
      </c>
      <c r="R246" s="55">
        <f t="shared" si="184"/>
        <v>4.8401602629893008E-2</v>
      </c>
      <c r="S246" s="55">
        <f t="shared" si="185"/>
        <v>5.331510594668485E-2</v>
      </c>
      <c r="T246" s="55">
        <f t="shared" si="186"/>
        <v>0.11688311688311688</v>
      </c>
      <c r="U246" s="55">
        <f t="shared" si="187"/>
        <v>8.6999999999999994E-3</v>
      </c>
      <c r="V246" s="56">
        <f t="shared" si="188"/>
        <v>0.11010000000000003</v>
      </c>
    </row>
    <row r="247" spans="1:26" ht="15" customHeight="1">
      <c r="A247" s="167">
        <v>10</v>
      </c>
      <c r="B247" s="168" t="s">
        <v>267</v>
      </c>
      <c r="C247" s="169" t="s">
        <v>265</v>
      </c>
      <c r="D247" s="92">
        <v>116566565.84</v>
      </c>
      <c r="E247" s="93">
        <f t="shared" si="182"/>
        <v>7.596873013108337E-3</v>
      </c>
      <c r="F247" s="89">
        <v>140.1</v>
      </c>
      <c r="G247" s="89">
        <v>142.1</v>
      </c>
      <c r="H247" s="94">
        <v>308</v>
      </c>
      <c r="I247" s="50">
        <v>-0.26140000000000002</v>
      </c>
      <c r="J247" s="50">
        <v>0.58540000000000003</v>
      </c>
      <c r="K247" s="92">
        <v>119232041.41</v>
      </c>
      <c r="L247" s="93">
        <f t="shared" si="183"/>
        <v>7.4464092103732251E-3</v>
      </c>
      <c r="M247" s="89">
        <v>143.33000000000001</v>
      </c>
      <c r="N247" s="89">
        <v>145.33000000000001</v>
      </c>
      <c r="O247" s="94">
        <v>317</v>
      </c>
      <c r="P247" s="50">
        <v>0</v>
      </c>
      <c r="Q247" s="50">
        <v>0.58540000000000003</v>
      </c>
      <c r="R247" s="55">
        <f t="shared" si="184"/>
        <v>2.2866553121747117E-2</v>
      </c>
      <c r="S247" s="55">
        <f t="shared" si="185"/>
        <v>2.2730471498944534E-2</v>
      </c>
      <c r="T247" s="55">
        <f t="shared" si="186"/>
        <v>2.922077922077922E-2</v>
      </c>
      <c r="U247" s="55">
        <f t="shared" si="187"/>
        <v>0.26140000000000002</v>
      </c>
      <c r="V247" s="56">
        <f t="shared" si="188"/>
        <v>0</v>
      </c>
    </row>
    <row r="248" spans="1:26">
      <c r="A248" s="167">
        <v>11</v>
      </c>
      <c r="B248" s="168" t="s">
        <v>268</v>
      </c>
      <c r="C248" s="169" t="s">
        <v>265</v>
      </c>
      <c r="D248" s="92">
        <v>6500731685.54</v>
      </c>
      <c r="E248" s="93">
        <f t="shared" si="182"/>
        <v>0.42366550606906939</v>
      </c>
      <c r="F248" s="89">
        <v>46.45</v>
      </c>
      <c r="G248" s="89">
        <v>46.45</v>
      </c>
      <c r="H248" s="94">
        <v>327</v>
      </c>
      <c r="I248" s="50">
        <v>6.3299999999999995E-2</v>
      </c>
      <c r="J248" s="50">
        <v>0.25</v>
      </c>
      <c r="K248" s="92">
        <v>6840227108.7200003</v>
      </c>
      <c r="L248" s="93">
        <f t="shared" si="183"/>
        <v>0.42719330761324442</v>
      </c>
      <c r="M248" s="89">
        <v>48.58</v>
      </c>
      <c r="N248" s="89">
        <v>48.78</v>
      </c>
      <c r="O248" s="94">
        <v>341</v>
      </c>
      <c r="P248" s="50">
        <v>2.1299999999999999E-2</v>
      </c>
      <c r="Q248" s="50">
        <v>0.27660000000000001</v>
      </c>
      <c r="R248" s="55">
        <f t="shared" si="184"/>
        <v>5.2224186384305329E-2</v>
      </c>
      <c r="S248" s="55">
        <f t="shared" si="185"/>
        <v>5.016146393972009E-2</v>
      </c>
      <c r="T248" s="55">
        <f t="shared" si="186"/>
        <v>4.2813455657492352E-2</v>
      </c>
      <c r="U248" s="55">
        <f t="shared" si="187"/>
        <v>-4.1999999999999996E-2</v>
      </c>
      <c r="V248" s="56">
        <f t="shared" si="188"/>
        <v>2.6600000000000013E-2</v>
      </c>
    </row>
    <row r="249" spans="1:26">
      <c r="A249" s="167">
        <v>12</v>
      </c>
      <c r="B249" s="168" t="s">
        <v>269</v>
      </c>
      <c r="C249" s="169" t="s">
        <v>265</v>
      </c>
      <c r="D249" s="95">
        <v>65148659.740000002</v>
      </c>
      <c r="E249" s="93">
        <f t="shared" si="182"/>
        <v>4.2458666552665052E-3</v>
      </c>
      <c r="F249" s="89">
        <v>36.71</v>
      </c>
      <c r="G249" s="89">
        <v>36.909999999999997</v>
      </c>
      <c r="H249" s="94">
        <v>98</v>
      </c>
      <c r="I249" s="50">
        <v>4.2500000000000003E-2</v>
      </c>
      <c r="J249" s="50">
        <v>-9.1999999999999998E-2</v>
      </c>
      <c r="K249" s="95">
        <v>77451884.018000007</v>
      </c>
      <c r="L249" s="93">
        <f t="shared" si="183"/>
        <v>4.8371093515809163E-3</v>
      </c>
      <c r="M249" s="89">
        <v>43.77</v>
      </c>
      <c r="N249" s="89">
        <v>43.97</v>
      </c>
      <c r="O249" s="94">
        <v>107</v>
      </c>
      <c r="P249" s="50">
        <v>0.12889999999999999</v>
      </c>
      <c r="Q249" s="50">
        <v>2.5100000000000001E-2</v>
      </c>
      <c r="R249" s="55">
        <f t="shared" si="184"/>
        <v>0.18884846330071262</v>
      </c>
      <c r="S249" s="55">
        <f t="shared" si="185"/>
        <v>0.19127607694391771</v>
      </c>
      <c r="T249" s="55">
        <f t="shared" si="186"/>
        <v>9.1836734693877556E-2</v>
      </c>
      <c r="U249" s="55">
        <f t="shared" si="187"/>
        <v>8.6399999999999977E-2</v>
      </c>
      <c r="V249" s="56">
        <f t="shared" si="188"/>
        <v>0.1171</v>
      </c>
    </row>
    <row r="250" spans="1:26">
      <c r="A250" s="127"/>
      <c r="B250" s="127"/>
      <c r="C250" s="128" t="s">
        <v>270</v>
      </c>
      <c r="D250" s="88">
        <f>SUM(D238:D249)</f>
        <v>15344019261.460001</v>
      </c>
      <c r="E250" s="90"/>
      <c r="F250" s="90"/>
      <c r="G250" s="91"/>
      <c r="H250" s="88">
        <f>SUM(H238:H249)</f>
        <v>3008</v>
      </c>
      <c r="I250" s="111"/>
      <c r="J250" s="111"/>
      <c r="K250" s="88">
        <f>SUM(K238:K249)</f>
        <v>16012018416.058001</v>
      </c>
      <c r="L250" s="90"/>
      <c r="M250" s="90"/>
      <c r="N250" s="91"/>
      <c r="O250" s="88">
        <f>SUM(O238:O249)</f>
        <v>3066</v>
      </c>
      <c r="P250" s="111"/>
      <c r="Q250" s="111"/>
      <c r="R250" s="55">
        <f t="shared" si="184"/>
        <v>4.3534822474827803E-2</v>
      </c>
      <c r="S250" s="55" t="e">
        <f t="shared" si="185"/>
        <v>#DIV/0!</v>
      </c>
      <c r="T250" s="55">
        <f t="shared" si="186"/>
        <v>1.9281914893617021E-2</v>
      </c>
      <c r="U250" s="55">
        <f t="shared" si="187"/>
        <v>0</v>
      </c>
      <c r="V250" s="56">
        <f t="shared" si="188"/>
        <v>0</v>
      </c>
      <c r="Z250" s="63"/>
    </row>
    <row r="251" spans="1:26">
      <c r="A251" s="96"/>
      <c r="B251" s="96"/>
      <c r="C251" s="97" t="s">
        <v>271</v>
      </c>
      <c r="D251" s="98">
        <f>SUM(D222,D230,D235,D250)</f>
        <v>6174037229470.8301</v>
      </c>
      <c r="E251" s="99"/>
      <c r="F251" s="99"/>
      <c r="G251" s="100"/>
      <c r="H251" s="98">
        <f>SUM(H222,H230,H235,H250)</f>
        <v>926608</v>
      </c>
      <c r="I251" s="112"/>
      <c r="J251" s="112"/>
      <c r="K251" s="98">
        <f>SUM(K222,K230,K235,K250)</f>
        <v>6242687616395.9316</v>
      </c>
      <c r="L251" s="99"/>
      <c r="M251" s="99"/>
      <c r="N251" s="98"/>
      <c r="O251" s="98">
        <f>SUM(O222,O230,O235,O250)</f>
        <v>929943</v>
      </c>
      <c r="P251" s="113"/>
      <c r="Q251" s="98"/>
      <c r="R251" s="119"/>
      <c r="S251" s="120"/>
      <c r="T251" s="120"/>
      <c r="U251" s="121"/>
      <c r="V251" s="121"/>
      <c r="Z251" s="63"/>
    </row>
    <row r="252" spans="1:26">
      <c r="A252" s="101" t="s">
        <v>272</v>
      </c>
      <c r="B252" s="125" t="s">
        <v>322</v>
      </c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</row>
    <row r="253" spans="1:26">
      <c r="B253" s="124"/>
    </row>
    <row r="254" spans="1:26">
      <c r="B254" s="124"/>
      <c r="C254" s="103"/>
      <c r="D254" s="104"/>
      <c r="K254" s="104"/>
    </row>
    <row r="255" spans="1:26" ht="15">
      <c r="B255" s="105"/>
      <c r="C255" s="106"/>
      <c r="D255" s="107"/>
      <c r="F255" s="108"/>
      <c r="G255" s="108"/>
      <c r="I255" s="114"/>
      <c r="J255" s="115"/>
    </row>
    <row r="256" spans="1:26">
      <c r="C256" s="124"/>
    </row>
    <row r="258" spans="2:2">
      <c r="B258" s="103"/>
    </row>
  </sheetData>
  <sheetProtection algorithmName="SHA-512" hashValue="GKhCW/fwI03ESHXewRrrNc8A7FyRGgVhZWQFe8hQt+UufrCwW4cQcJNaq16Q3Ln8BN7pOxnAa4ANpalTx1Fnjg==" saltValue="+T0r3sw81drpGtC7sm6SCw==" spinCount="100000" sheet="1" objects="1" scenarios="1"/>
  <sortState ref="A150:C177">
    <sortCondition descending="1" ref="A149"/>
  </sortState>
  <mergeCells count="34">
    <mergeCell ref="A224:V224"/>
    <mergeCell ref="A232:V232"/>
    <mergeCell ref="B236:V236"/>
    <mergeCell ref="A237:V237"/>
    <mergeCell ref="B201:V201"/>
    <mergeCell ref="A202:V202"/>
    <mergeCell ref="B216:V216"/>
    <mergeCell ref="A217:V217"/>
    <mergeCell ref="B223:U223"/>
    <mergeCell ref="B191:V191"/>
    <mergeCell ref="A192:V192"/>
    <mergeCell ref="B196:V196"/>
    <mergeCell ref="A197:V197"/>
    <mergeCell ref="A198:V198"/>
    <mergeCell ref="A132:V132"/>
    <mergeCell ref="B151:V151"/>
    <mergeCell ref="A152:V152"/>
    <mergeCell ref="B160:V160"/>
    <mergeCell ref="A161:V161"/>
    <mergeCell ref="A71:V71"/>
    <mergeCell ref="B111:V111"/>
    <mergeCell ref="A112:V112"/>
    <mergeCell ref="A113:V113"/>
    <mergeCell ref="B131:V131"/>
    <mergeCell ref="B4:V4"/>
    <mergeCell ref="A5:V5"/>
    <mergeCell ref="B26:V26"/>
    <mergeCell ref="A27:V27"/>
    <mergeCell ref="B70:V70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5 E95 E76 L48 E48 L34 E34 L136 E136" formula="1"/>
    <ignoredError sqref="S159 S25 S69 S110 S150 S190 S195 S221 S250 T233:T234 R49:T49 R136 R125:T125 R45:T4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G29"/>
  <sheetViews>
    <sheetView zoomScaleNormal="100" workbookViewId="0">
      <selection activeCell="E7" sqref="E7"/>
    </sheetView>
  </sheetViews>
  <sheetFormatPr defaultColWidth="9" defaultRowHeight="14.4"/>
  <cols>
    <col min="1" max="1" width="34" customWidth="1"/>
    <col min="2" max="2" width="17.6640625" customWidth="1"/>
    <col min="3" max="3" width="16.109375" customWidth="1"/>
  </cols>
  <sheetData>
    <row r="1" spans="1:7">
      <c r="A1" s="145"/>
      <c r="B1" s="145"/>
      <c r="C1" s="145"/>
      <c r="D1" s="145"/>
      <c r="E1" s="19"/>
      <c r="F1" s="15"/>
      <c r="G1" s="136"/>
    </row>
    <row r="2" spans="1:7" ht="27.6">
      <c r="A2" s="152" t="s">
        <v>273</v>
      </c>
      <c r="B2" s="153" t="s">
        <v>319</v>
      </c>
      <c r="C2" s="153" t="s">
        <v>323</v>
      </c>
      <c r="D2" s="154"/>
      <c r="E2" s="19"/>
      <c r="F2" s="15"/>
      <c r="G2" s="136"/>
    </row>
    <row r="3" spans="1:7">
      <c r="A3" s="155" t="s">
        <v>17</v>
      </c>
      <c r="B3" s="156">
        <f t="shared" ref="B3:C10" si="0">B13</f>
        <v>52.269878832034998</v>
      </c>
      <c r="C3" s="156">
        <f t="shared" si="0"/>
        <v>54.748473127348902</v>
      </c>
      <c r="D3" s="154"/>
      <c r="E3" s="19"/>
      <c r="F3" s="15"/>
      <c r="G3" s="136"/>
    </row>
    <row r="4" spans="1:7" ht="15.6" customHeight="1">
      <c r="A4" s="152" t="s">
        <v>54</v>
      </c>
      <c r="B4" s="157">
        <f t="shared" si="0"/>
        <v>3306.8002389559247</v>
      </c>
      <c r="C4" s="157">
        <f t="shared" si="0"/>
        <v>3358.1880605559186</v>
      </c>
      <c r="D4" s="154"/>
      <c r="E4" s="19"/>
      <c r="F4" s="15"/>
      <c r="G4" s="136"/>
    </row>
    <row r="5" spans="1:7" ht="16.2" customHeight="1">
      <c r="A5" s="152" t="s">
        <v>274</v>
      </c>
      <c r="B5" s="156">
        <f t="shared" si="0"/>
        <v>217.09711959670133</v>
      </c>
      <c r="C5" s="156">
        <f t="shared" si="0"/>
        <v>217.4348858070386</v>
      </c>
      <c r="D5" s="154"/>
      <c r="E5" s="19"/>
      <c r="F5" s="15"/>
      <c r="G5" s="136"/>
    </row>
    <row r="6" spans="1:7">
      <c r="A6" s="152" t="s">
        <v>154</v>
      </c>
      <c r="B6" s="157">
        <f t="shared" si="0"/>
        <v>1936.1466696702039</v>
      </c>
      <c r="C6" s="157">
        <f t="shared" si="0"/>
        <v>1944.5231280365656</v>
      </c>
      <c r="D6" s="154"/>
      <c r="E6" s="19"/>
      <c r="F6" s="15"/>
      <c r="G6" s="136"/>
    </row>
    <row r="7" spans="1:7">
      <c r="A7" s="152" t="s">
        <v>275</v>
      </c>
      <c r="B7" s="156">
        <f t="shared" si="0"/>
        <v>360.49414577505428</v>
      </c>
      <c r="C7" s="156">
        <f t="shared" si="0"/>
        <v>364.31083834493245</v>
      </c>
      <c r="D7" s="154"/>
      <c r="E7" s="19"/>
      <c r="F7" s="15"/>
      <c r="G7" s="136"/>
    </row>
    <row r="8" spans="1:7">
      <c r="A8" s="152" t="s">
        <v>191</v>
      </c>
      <c r="B8" s="158">
        <f t="shared" si="0"/>
        <v>67.08446815660588</v>
      </c>
      <c r="C8" s="158">
        <f t="shared" si="0"/>
        <v>70.484807160729034</v>
      </c>
      <c r="D8" s="154"/>
      <c r="E8" s="19"/>
      <c r="F8" s="15"/>
      <c r="G8" s="136"/>
    </row>
    <row r="9" spans="1:7">
      <c r="A9" s="152" t="s">
        <v>221</v>
      </c>
      <c r="B9" s="156">
        <f t="shared" si="0"/>
        <v>7.2839068880599998</v>
      </c>
      <c r="C9" s="156">
        <f t="shared" si="0"/>
        <v>7.4822681718400004</v>
      </c>
      <c r="D9" s="154"/>
      <c r="E9" s="19"/>
      <c r="F9" s="15"/>
      <c r="G9" s="136"/>
    </row>
    <row r="10" spans="1:7">
      <c r="A10" s="152" t="s">
        <v>276</v>
      </c>
      <c r="B10" s="156">
        <f t="shared" si="0"/>
        <v>61.847346140690554</v>
      </c>
      <c r="C10" s="156">
        <f t="shared" si="0"/>
        <v>62.862819875793413</v>
      </c>
      <c r="D10" s="154"/>
      <c r="E10" s="19"/>
      <c r="F10" s="15"/>
      <c r="G10" s="136"/>
    </row>
    <row r="11" spans="1:7">
      <c r="A11" s="152"/>
      <c r="B11" s="156"/>
      <c r="C11" s="156"/>
      <c r="D11" s="154"/>
      <c r="E11" s="19"/>
      <c r="F11" s="15"/>
      <c r="G11" s="136"/>
    </row>
    <row r="12" spans="1:7">
      <c r="A12" s="145"/>
      <c r="B12" s="145"/>
      <c r="C12" s="145"/>
      <c r="D12" s="145"/>
      <c r="E12" s="19"/>
      <c r="F12" s="15"/>
      <c r="G12" s="136"/>
    </row>
    <row r="13" spans="1:7">
      <c r="A13" s="159" t="s">
        <v>17</v>
      </c>
      <c r="B13" s="160">
        <f>'Weekly Valuation'!D25/1000000000</f>
        <v>52.269878832034998</v>
      </c>
      <c r="C13" s="161">
        <f>'Weekly Valuation'!K25/1000000000</f>
        <v>54.748473127348902</v>
      </c>
      <c r="D13" s="145"/>
      <c r="E13" s="19"/>
      <c r="F13" s="15"/>
      <c r="G13" s="136"/>
    </row>
    <row r="14" spans="1:7">
      <c r="A14" s="162" t="s">
        <v>54</v>
      </c>
      <c r="B14" s="160">
        <f>'Weekly Valuation'!D69/1000000000</f>
        <v>3306.8002389559247</v>
      </c>
      <c r="C14" s="163">
        <f>'Weekly Valuation'!K69/1000000000</f>
        <v>3358.1880605559186</v>
      </c>
      <c r="D14" s="145"/>
      <c r="E14" s="19"/>
      <c r="F14" s="15"/>
      <c r="G14" s="136"/>
    </row>
    <row r="15" spans="1:7">
      <c r="A15" s="162" t="s">
        <v>274</v>
      </c>
      <c r="B15" s="160">
        <f>'Weekly Valuation'!D110/1000000000</f>
        <v>217.09711959670133</v>
      </c>
      <c r="C15" s="161">
        <f>'Weekly Valuation'!K110/1000000000</f>
        <v>217.4348858070386</v>
      </c>
      <c r="D15" s="145"/>
      <c r="E15" s="19"/>
      <c r="F15" s="15"/>
      <c r="G15" s="136"/>
    </row>
    <row r="16" spans="1:7">
      <c r="A16" s="162" t="s">
        <v>154</v>
      </c>
      <c r="B16" s="160">
        <f>'Weekly Valuation'!D150/1000000000</f>
        <v>1936.1466696702039</v>
      </c>
      <c r="C16" s="163">
        <f>'Weekly Valuation'!K150/1000000000</f>
        <v>1944.5231280365656</v>
      </c>
      <c r="D16" s="145"/>
      <c r="E16" s="19"/>
      <c r="F16" s="15"/>
      <c r="G16" s="136"/>
    </row>
    <row r="17" spans="1:7">
      <c r="A17" s="162" t="s">
        <v>275</v>
      </c>
      <c r="B17" s="160">
        <f>'Weekly Valuation'!D159/1000000000</f>
        <v>360.49414577505428</v>
      </c>
      <c r="C17" s="161">
        <f>'Weekly Valuation'!K159/1000000000</f>
        <v>364.31083834493245</v>
      </c>
      <c r="D17" s="145"/>
      <c r="E17" s="19"/>
      <c r="F17" s="15"/>
      <c r="G17" s="136"/>
    </row>
    <row r="18" spans="1:7">
      <c r="A18" s="162" t="s">
        <v>191</v>
      </c>
      <c r="B18" s="160">
        <f>'Weekly Valuation'!D190/1000000000</f>
        <v>67.08446815660588</v>
      </c>
      <c r="C18" s="164">
        <f>'Weekly Valuation'!K190/1000000000</f>
        <v>70.484807160729034</v>
      </c>
      <c r="D18" s="145"/>
      <c r="E18" s="19"/>
      <c r="F18" s="15"/>
      <c r="G18" s="136"/>
    </row>
    <row r="19" spans="1:7">
      <c r="A19" s="162" t="s">
        <v>221</v>
      </c>
      <c r="B19" s="160">
        <f>'Weekly Valuation'!D195/1000000000</f>
        <v>7.2839068880599998</v>
      </c>
      <c r="C19" s="161">
        <f>'Weekly Valuation'!K195/1000000000</f>
        <v>7.4822681718400004</v>
      </c>
      <c r="D19" s="145"/>
      <c r="E19" s="19"/>
      <c r="F19" s="15"/>
      <c r="G19" s="136"/>
    </row>
    <row r="20" spans="1:7">
      <c r="A20" s="162" t="s">
        <v>276</v>
      </c>
      <c r="B20" s="160">
        <f>'Weekly Valuation'!D221/1000000000</f>
        <v>61.847346140690554</v>
      </c>
      <c r="C20" s="161">
        <f>'Weekly Valuation'!K221/1000000000</f>
        <v>62.862819875793413</v>
      </c>
      <c r="D20" s="145"/>
      <c r="E20" s="19"/>
      <c r="F20" s="15"/>
      <c r="G20" s="136"/>
    </row>
    <row r="21" spans="1:7">
      <c r="A21" s="141"/>
      <c r="B21" s="145"/>
      <c r="C21" s="144"/>
      <c r="D21" s="145"/>
      <c r="E21" s="19"/>
      <c r="F21" s="15"/>
      <c r="G21" s="136"/>
    </row>
    <row r="22" spans="1:7">
      <c r="A22" s="141"/>
      <c r="B22" s="145"/>
      <c r="C22" s="142"/>
      <c r="D22" s="145"/>
      <c r="E22" s="19"/>
      <c r="F22" s="15"/>
      <c r="G22" s="136"/>
    </row>
    <row r="23" spans="1:7">
      <c r="A23" s="165"/>
      <c r="B23" s="166"/>
      <c r="C23" s="143"/>
      <c r="D23" s="19"/>
      <c r="E23" s="19"/>
      <c r="F23" s="15"/>
      <c r="G23" s="136"/>
    </row>
    <row r="24" spans="1:7">
      <c r="A24" s="165"/>
      <c r="B24" s="166"/>
      <c r="C24" s="166"/>
      <c r="D24" s="19"/>
      <c r="E24" s="19"/>
      <c r="F24" s="15"/>
      <c r="G24" s="136"/>
    </row>
    <row r="25" spans="1:7">
      <c r="A25" s="165"/>
      <c r="B25" s="166"/>
      <c r="C25" s="166"/>
      <c r="D25" s="19"/>
      <c r="E25" s="19"/>
      <c r="F25" s="15"/>
      <c r="G25" s="136"/>
    </row>
    <row r="26" spans="1:7">
      <c r="A26" s="165"/>
      <c r="B26" s="166"/>
      <c r="C26" s="166"/>
      <c r="D26" s="19"/>
      <c r="E26" s="19"/>
      <c r="F26" s="15"/>
      <c r="G26" s="136"/>
    </row>
    <row r="27" spans="1:7">
      <c r="A27" s="138"/>
      <c r="B27" s="137"/>
      <c r="C27" s="137"/>
      <c r="D27" s="15"/>
      <c r="E27" s="15"/>
      <c r="F27" s="15"/>
      <c r="G27" s="136"/>
    </row>
    <row r="28" spans="1:7">
      <c r="A28" s="15"/>
      <c r="B28" s="15"/>
      <c r="C28" s="15"/>
      <c r="D28" s="15"/>
      <c r="E28" s="15"/>
      <c r="F28" s="15"/>
    </row>
    <row r="29" spans="1:7">
      <c r="A29" s="15"/>
      <c r="B29" s="15"/>
      <c r="C29" s="15"/>
      <c r="D29" s="15"/>
      <c r="E29" s="15"/>
      <c r="F29" s="15"/>
    </row>
  </sheetData>
  <sheetProtection algorithmName="SHA-512" hashValue="nZIZNcUp4lKnVDWvijF/cXIJWbRpKYFrXa6os0EdJp+WXNHVRuqmb0QI4IjkeLuCAadp/92b7WRJ57xTKWSEzg==" saltValue="/QpVkTe/qGfDp6zTqtCoU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G11" sqref="G11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39" t="s">
        <v>273</v>
      </c>
      <c r="B1" s="140">
        <v>45856</v>
      </c>
      <c r="C1" s="19"/>
      <c r="D1" s="19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41" t="s">
        <v>221</v>
      </c>
      <c r="B2" s="142">
        <f>'Weekly Valuation'!K195</f>
        <v>7482268171.8400002</v>
      </c>
      <c r="C2" s="19"/>
      <c r="D2" s="1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41" t="s">
        <v>17</v>
      </c>
      <c r="B3" s="142">
        <f>'Weekly Valuation'!K25</f>
        <v>54748473127.3489</v>
      </c>
      <c r="C3" s="19"/>
      <c r="D3" s="1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41" t="s">
        <v>276</v>
      </c>
      <c r="B4" s="143">
        <f>'Weekly Valuation'!K221</f>
        <v>62862819875.793411</v>
      </c>
      <c r="C4" s="19"/>
      <c r="D4" s="1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41" t="s">
        <v>191</v>
      </c>
      <c r="B5" s="142">
        <f>'Weekly Valuation'!K190</f>
        <v>70484807160.729034</v>
      </c>
      <c r="C5" s="19"/>
      <c r="D5" s="1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41" t="s">
        <v>275</v>
      </c>
      <c r="B6" s="142">
        <f>'Weekly Valuation'!K159</f>
        <v>364310838344.93243</v>
      </c>
      <c r="C6" s="19"/>
      <c r="D6" s="1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41" t="s">
        <v>274</v>
      </c>
      <c r="B7" s="142">
        <f>'Weekly Valuation'!K110</f>
        <v>217434885807.0386</v>
      </c>
      <c r="C7" s="19"/>
      <c r="D7" s="1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41" t="s">
        <v>154</v>
      </c>
      <c r="B8" s="144">
        <f>'Weekly Valuation'!K150</f>
        <v>1944523128036.5657</v>
      </c>
      <c r="C8" s="19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41" t="s">
        <v>54</v>
      </c>
      <c r="B9" s="144">
        <f>'Weekly Valuation'!K69</f>
        <v>3358188060555.9185</v>
      </c>
      <c r="C9" s="19"/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45"/>
      <c r="B10" s="145"/>
      <c r="C10" s="19"/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41"/>
      <c r="B11" s="146"/>
      <c r="C11" s="19"/>
      <c r="D11" s="1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41"/>
      <c r="B12" s="19"/>
      <c r="C12" s="19"/>
      <c r="D12" s="1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66"/>
      <c r="B13" s="166"/>
      <c r="C13" s="19"/>
      <c r="D13" s="1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166"/>
      <c r="B14" s="166"/>
      <c r="C14" s="19"/>
      <c r="D14" s="19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41"/>
      <c r="B15" s="143"/>
      <c r="C15" s="19"/>
      <c r="D15" s="1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137"/>
      <c r="B16" s="13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137"/>
      <c r="B17" s="13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34"/>
      <c r="B18" s="13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34"/>
      <c r="B19" s="13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34"/>
      <c r="B20" s="13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138"/>
      <c r="B21" s="13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3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20"/>
    </row>
    <row r="33" spans="1:17" ht="15" customHeight="1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20"/>
    </row>
  </sheetData>
  <sheetProtection algorithmName="SHA-512" hashValue="6nw4/kUu24qX+cn5/Qbo1vKFX1DJTrR2KWpVQ9NqPvIs/kXEefmFnfdtfdf+XZUyJwjkRi9RvBfjTvK6bnkwvQ==" saltValue="uLlVhmzLcUqz8QcPUESaMg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7"/>
  <sheetViews>
    <sheetView zoomScale="110" zoomScaleNormal="110" workbookViewId="0">
      <selection activeCell="E7" sqref="E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47" t="s">
        <v>277</v>
      </c>
      <c r="B2" s="148">
        <v>45807</v>
      </c>
      <c r="C2" s="148">
        <v>45813</v>
      </c>
      <c r="D2" s="148">
        <v>45821</v>
      </c>
      <c r="E2" s="148">
        <v>45828</v>
      </c>
      <c r="F2" s="148">
        <v>45835</v>
      </c>
      <c r="G2" s="148">
        <v>45842</v>
      </c>
      <c r="H2" s="148">
        <v>45849</v>
      </c>
      <c r="I2" s="148">
        <v>45856</v>
      </c>
      <c r="J2" s="19"/>
      <c r="K2" s="19"/>
      <c r="L2" s="15"/>
      <c r="M2" s="15"/>
    </row>
    <row r="3" spans="1:13">
      <c r="A3" s="147" t="s">
        <v>278</v>
      </c>
      <c r="B3" s="149">
        <f t="shared" ref="B3:I3" si="0">B4</f>
        <v>5661.0011217265082</v>
      </c>
      <c r="C3" s="149">
        <f t="shared" si="0"/>
        <v>5706.8748281549615</v>
      </c>
      <c r="D3" s="149">
        <f t="shared" si="0"/>
        <v>5739.2216808320509</v>
      </c>
      <c r="E3" s="149">
        <f t="shared" si="0"/>
        <v>5778.470729655005</v>
      </c>
      <c r="F3" s="149">
        <f t="shared" si="0"/>
        <v>5812.2705854093538</v>
      </c>
      <c r="G3" s="149">
        <f t="shared" si="0"/>
        <v>5912.1449998326807</v>
      </c>
      <c r="H3" s="149">
        <f t="shared" si="0"/>
        <v>6009.0237740152752</v>
      </c>
      <c r="I3" s="149">
        <f t="shared" si="0"/>
        <v>6080.0352810801669</v>
      </c>
      <c r="J3" s="19"/>
      <c r="K3" s="19"/>
      <c r="L3" s="15"/>
      <c r="M3" s="15"/>
    </row>
    <row r="4" spans="1:13">
      <c r="A4" s="19"/>
      <c r="B4" s="150">
        <f>'NAV Trend'!C10/1000000000</f>
        <v>5661.0011217265082</v>
      </c>
      <c r="C4" s="150">
        <f>'NAV Trend'!D10/1000000000</f>
        <v>5706.8748281549615</v>
      </c>
      <c r="D4" s="150">
        <f>'NAV Trend'!E10/1000000000</f>
        <v>5739.2216808320509</v>
      </c>
      <c r="E4" s="150">
        <f>'NAV Trend'!F10/1000000000</f>
        <v>5778.470729655005</v>
      </c>
      <c r="F4" s="150">
        <f>'NAV Trend'!G10/1000000000</f>
        <v>5812.2705854093538</v>
      </c>
      <c r="G4" s="150">
        <f>'NAV Trend'!H10/1000000000</f>
        <v>5912.1449998326807</v>
      </c>
      <c r="H4" s="151">
        <f>'NAV Trend'!I10/1000000000</f>
        <v>6009.0237740152752</v>
      </c>
      <c r="I4" s="151">
        <f>'NAV Trend'!J10/1000000000</f>
        <v>6080.0352810801669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  <c r="M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  <c r="M7" s="15"/>
    </row>
    <row r="8" spans="1:1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5"/>
      <c r="M8" s="15"/>
    </row>
    <row r="9" spans="1:1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5"/>
      <c r="M9" s="15"/>
    </row>
    <row r="10" spans="1:1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5"/>
      <c r="M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</sheetData>
  <sheetProtection algorithmName="SHA-512" hashValue="RGR31l4bPuipOwkwPYJAORTtSL6HVwPO/6x0nTc6eU8nU25OlqLFWE8b0iP4pQ5/vtlwa/+zsQ6EvF5VksQ/tQ==" saltValue="BIkeJIkNAr6IKc0wSNF57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F7" sqref="F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  <c r="N1" s="15"/>
    </row>
    <row r="2" spans="1:14">
      <c r="A2" s="147" t="s">
        <v>277</v>
      </c>
      <c r="B2" s="148">
        <v>45807</v>
      </c>
      <c r="C2" s="148">
        <v>45813</v>
      </c>
      <c r="D2" s="148">
        <v>45821</v>
      </c>
      <c r="E2" s="148">
        <v>45828</v>
      </c>
      <c r="F2" s="148">
        <v>45835</v>
      </c>
      <c r="G2" s="148">
        <v>45842</v>
      </c>
      <c r="H2" s="148">
        <v>45849</v>
      </c>
      <c r="I2" s="148">
        <v>45856</v>
      </c>
      <c r="J2" s="19"/>
      <c r="K2" s="19"/>
      <c r="L2" s="15"/>
      <c r="M2" s="15"/>
      <c r="N2" s="15"/>
    </row>
    <row r="3" spans="1:14">
      <c r="A3" s="147" t="s">
        <v>279</v>
      </c>
      <c r="B3" s="149">
        <f t="shared" ref="B3:I3" si="0">B4</f>
        <v>13.663574619923001</v>
      </c>
      <c r="C3" s="149">
        <f t="shared" si="0"/>
        <v>13.910462089520001</v>
      </c>
      <c r="D3" s="149">
        <f t="shared" si="0"/>
        <v>14.097996343838002</v>
      </c>
      <c r="E3" s="149">
        <f t="shared" si="0"/>
        <v>14.438197157056999</v>
      </c>
      <c r="F3" s="149">
        <f t="shared" si="0"/>
        <v>14.649626500489999</v>
      </c>
      <c r="G3" s="149">
        <f t="shared" si="0"/>
        <v>14.538175757549999</v>
      </c>
      <c r="H3" s="149">
        <f t="shared" si="0"/>
        <v>15.344019261460002</v>
      </c>
      <c r="I3" s="149">
        <f t="shared" si="0"/>
        <v>16.012018416058002</v>
      </c>
      <c r="J3" s="19"/>
      <c r="K3" s="19"/>
      <c r="L3" s="15"/>
      <c r="M3" s="15"/>
      <c r="N3" s="15"/>
    </row>
    <row r="4" spans="1:14">
      <c r="A4" s="19"/>
      <c r="B4" s="150">
        <f>'NAV Trend'!C16/1000000000</f>
        <v>13.663574619923001</v>
      </c>
      <c r="C4" s="150">
        <f>'NAV Trend'!D16/1000000000</f>
        <v>13.910462089520001</v>
      </c>
      <c r="D4" s="150">
        <f>'NAV Trend'!E16/1000000000</f>
        <v>14.097996343838002</v>
      </c>
      <c r="E4" s="150">
        <f>'NAV Trend'!F16/1000000000</f>
        <v>14.438197157056999</v>
      </c>
      <c r="F4" s="150">
        <f>'NAV Trend'!G16/1000000000</f>
        <v>14.649626500489999</v>
      </c>
      <c r="G4" s="150">
        <f>'NAV Trend'!H16/1000000000</f>
        <v>14.538175757549999</v>
      </c>
      <c r="H4" s="150">
        <f>'NAV Trend'!I16/1000000000</f>
        <v>15.344019261460002</v>
      </c>
      <c r="I4" s="151">
        <f>'NAV Trend'!J16/1000000000</f>
        <v>16.012018416058002</v>
      </c>
      <c r="J4" s="19"/>
      <c r="K4" s="19"/>
      <c r="L4" s="15"/>
      <c r="M4" s="15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  <c r="M6" s="15"/>
      <c r="N6" s="15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  <c r="M7" s="15"/>
      <c r="N7" s="15"/>
    </row>
    <row r="8" spans="1:1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wrv4SLqoP71uZhaN7xuKdZrBgrn7mENT1QZ3B7jvCB5Y/EJ05VCUOQmvmicCvihQRBROvnAhYzRt4tLbaOQTpw==" saltValue="DzrPPQSjBHp9xSISgmMTw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273</v>
      </c>
      <c r="B1" s="2">
        <v>45800</v>
      </c>
      <c r="C1" s="2">
        <v>45807</v>
      </c>
      <c r="D1" s="2">
        <v>45813</v>
      </c>
      <c r="E1" s="2">
        <v>45821</v>
      </c>
      <c r="F1" s="2">
        <v>45828</v>
      </c>
      <c r="G1" s="2">
        <v>45835</v>
      </c>
      <c r="H1" s="2">
        <v>45842</v>
      </c>
      <c r="I1" s="2">
        <v>45849</v>
      </c>
      <c r="J1" s="2">
        <v>45856</v>
      </c>
    </row>
    <row r="2" spans="1:11">
      <c r="A2" s="3" t="s">
        <v>17</v>
      </c>
      <c r="B2" s="4">
        <v>41222274085.630005</v>
      </c>
      <c r="C2" s="4">
        <v>41941704345.110001</v>
      </c>
      <c r="D2" s="4">
        <v>42835043182.520004</v>
      </c>
      <c r="E2" s="4">
        <v>42622857191.780403</v>
      </c>
      <c r="F2" s="4">
        <v>45399164105.915703</v>
      </c>
      <c r="G2" s="4">
        <v>47767435566.352699</v>
      </c>
      <c r="H2" s="4">
        <v>48773441499.2379</v>
      </c>
      <c r="I2" s="4">
        <v>52269878832.034996</v>
      </c>
      <c r="J2" s="4">
        <v>54748473127.3489</v>
      </c>
    </row>
    <row r="3" spans="1:11">
      <c r="A3" s="3" t="s">
        <v>54</v>
      </c>
      <c r="B3" s="4">
        <v>2955969352323.3311</v>
      </c>
      <c r="C3" s="4">
        <v>2990664241362.4419</v>
      </c>
      <c r="D3" s="4">
        <v>3044846889135.2236</v>
      </c>
      <c r="E3" s="4">
        <v>3096275132899.1284</v>
      </c>
      <c r="F3" s="4">
        <v>3113167425546.7334</v>
      </c>
      <c r="G3" s="4">
        <v>3143972127991.3154</v>
      </c>
      <c r="H3" s="4">
        <v>3240091962076.584</v>
      </c>
      <c r="I3" s="4">
        <v>3306800238955.9248</v>
      </c>
      <c r="J3" s="4">
        <v>3358188060555.9185</v>
      </c>
    </row>
    <row r="4" spans="1:11">
      <c r="A4" s="3" t="s">
        <v>274</v>
      </c>
      <c r="B4" s="5">
        <v>209025769943.79047</v>
      </c>
      <c r="C4" s="5">
        <v>209159742342.28909</v>
      </c>
      <c r="D4" s="5">
        <v>210586835111.91571</v>
      </c>
      <c r="E4" s="5">
        <v>202341287400.03244</v>
      </c>
      <c r="F4" s="5">
        <v>210070664052.05121</v>
      </c>
      <c r="G4" s="5">
        <v>209229734710.64914</v>
      </c>
      <c r="H4" s="5">
        <v>209302612953.89981</v>
      </c>
      <c r="I4" s="5">
        <v>217097119596.70132</v>
      </c>
      <c r="J4" s="5">
        <v>217434885807.0386</v>
      </c>
    </row>
    <row r="5" spans="1:11">
      <c r="A5" s="3" t="s">
        <v>154</v>
      </c>
      <c r="B5" s="4">
        <v>1929073604440.7039</v>
      </c>
      <c r="C5" s="4">
        <v>1938034504366.4832</v>
      </c>
      <c r="D5" s="4">
        <v>1924601424924.0278</v>
      </c>
      <c r="E5" s="4">
        <v>1913220478334.1814</v>
      </c>
      <c r="F5" s="4">
        <v>1920956396176.9661</v>
      </c>
      <c r="G5" s="4">
        <v>1919903068979.0251</v>
      </c>
      <c r="H5" s="4">
        <v>1920430716545.5254</v>
      </c>
      <c r="I5" s="4">
        <v>1936146669670.2039</v>
      </c>
      <c r="J5" s="4">
        <v>1944523128036.5657</v>
      </c>
    </row>
    <row r="6" spans="1:11">
      <c r="A6" s="3" t="s">
        <v>275</v>
      </c>
      <c r="B6" s="6">
        <v>354567498315.10614</v>
      </c>
      <c r="C6" s="6">
        <v>355725329056.43384</v>
      </c>
      <c r="D6" s="6">
        <v>356681164790.01733</v>
      </c>
      <c r="E6" s="6">
        <v>357629608042.17529</v>
      </c>
      <c r="F6" s="6">
        <v>358535779287.37018</v>
      </c>
      <c r="G6" s="6">
        <v>358384976471.11237</v>
      </c>
      <c r="H6" s="6">
        <v>359566481710.30396</v>
      </c>
      <c r="I6" s="6">
        <v>360494145775.05426</v>
      </c>
      <c r="J6" s="6">
        <v>364310838344.93243</v>
      </c>
    </row>
    <row r="7" spans="1:11">
      <c r="A7" s="3" t="s">
        <v>191</v>
      </c>
      <c r="B7" s="7">
        <v>60839325442.61261</v>
      </c>
      <c r="C7" s="7">
        <v>60841613029.135788</v>
      </c>
      <c r="D7" s="7">
        <v>61815946486.813843</v>
      </c>
      <c r="E7" s="7">
        <v>61694711710.161476</v>
      </c>
      <c r="F7" s="7">
        <v>63650811988.436371</v>
      </c>
      <c r="G7" s="7">
        <v>65741491816.116287</v>
      </c>
      <c r="H7" s="7">
        <v>66337534088.000557</v>
      </c>
      <c r="I7" s="7">
        <v>67084468156.605881</v>
      </c>
      <c r="J7" s="7">
        <v>70484807160.729034</v>
      </c>
    </row>
    <row r="8" spans="1:11">
      <c r="A8" s="3" t="s">
        <v>221</v>
      </c>
      <c r="B8" s="6">
        <v>5993726972.2399998</v>
      </c>
      <c r="C8" s="6">
        <v>5992665978.8000002</v>
      </c>
      <c r="D8" s="6">
        <v>6131520024.7600002</v>
      </c>
      <c r="E8" s="6">
        <v>6161637634.4500008</v>
      </c>
      <c r="F8" s="6">
        <v>6456038640.0900002</v>
      </c>
      <c r="G8" s="6">
        <v>6771356167.3599997</v>
      </c>
      <c r="H8" s="6">
        <v>6807247820.3100004</v>
      </c>
      <c r="I8" s="6">
        <v>7283906888.0599995</v>
      </c>
      <c r="J8" s="6">
        <v>7482268171.8400002</v>
      </c>
    </row>
    <row r="9" spans="1:11">
      <c r="A9" s="3" t="s">
        <v>276</v>
      </c>
      <c r="B9" s="6">
        <v>58096299884.927956</v>
      </c>
      <c r="C9" s="6">
        <v>58641321245.814735</v>
      </c>
      <c r="D9" s="6">
        <v>59376004499.683235</v>
      </c>
      <c r="E9" s="6">
        <v>59275967620.142563</v>
      </c>
      <c r="F9" s="6">
        <v>60234449857.442543</v>
      </c>
      <c r="G9" s="6">
        <v>60500393707.422546</v>
      </c>
      <c r="H9" s="6">
        <v>60835003138.819405</v>
      </c>
      <c r="I9" s="6">
        <v>61847346140.690552</v>
      </c>
      <c r="J9" s="6">
        <v>62862819875.793411</v>
      </c>
    </row>
    <row r="10" spans="1:11" ht="15.6">
      <c r="A10" s="8" t="s">
        <v>280</v>
      </c>
      <c r="B10" s="9">
        <f t="shared" ref="B10:J10" si="0">SUM(B2:B9)</f>
        <v>5614787851408.3418</v>
      </c>
      <c r="C10" s="9">
        <f t="shared" si="0"/>
        <v>5661001121726.5078</v>
      </c>
      <c r="D10" s="9">
        <f t="shared" si="0"/>
        <v>5706874828154.9619</v>
      </c>
      <c r="E10" s="9">
        <f t="shared" si="0"/>
        <v>5739221680832.0508</v>
      </c>
      <c r="F10" s="9">
        <f t="shared" si="0"/>
        <v>5778470729655.0049</v>
      </c>
      <c r="G10" s="9">
        <f t="shared" si="0"/>
        <v>5812270585409.3535</v>
      </c>
      <c r="H10" s="9">
        <f t="shared" si="0"/>
        <v>5912144999832.6807</v>
      </c>
      <c r="I10" s="9">
        <f t="shared" si="0"/>
        <v>6009023774015.2754</v>
      </c>
      <c r="J10" s="9">
        <f t="shared" si="0"/>
        <v>6080035281080.167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281</v>
      </c>
      <c r="B12" s="122" t="s">
        <v>282</v>
      </c>
      <c r="C12" s="13">
        <f>(B10+C10)/2</f>
        <v>5637894486567.4248</v>
      </c>
      <c r="D12" s="14">
        <f t="shared" ref="D12:J12" si="1">(C10+D10)/2</f>
        <v>5683937974940.7344</v>
      </c>
      <c r="E12" s="14">
        <f t="shared" si="1"/>
        <v>5723048254493.5059</v>
      </c>
      <c r="F12" s="14">
        <f t="shared" si="1"/>
        <v>5758846205243.5273</v>
      </c>
      <c r="G12" s="14">
        <f t="shared" si="1"/>
        <v>5795370657532.1797</v>
      </c>
      <c r="H12" s="14">
        <f t="shared" si="1"/>
        <v>5862207792621.0176</v>
      </c>
      <c r="I12" s="14">
        <f t="shared" si="1"/>
        <v>5960584386923.9785</v>
      </c>
      <c r="J12" s="14">
        <f t="shared" si="1"/>
        <v>6044529527547.7207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45800</v>
      </c>
      <c r="C15" s="2">
        <v>45807</v>
      </c>
      <c r="D15" s="2">
        <v>45813</v>
      </c>
      <c r="E15" s="2">
        <v>45821</v>
      </c>
      <c r="F15" s="2">
        <v>45828</v>
      </c>
      <c r="G15" s="2">
        <v>45835</v>
      </c>
      <c r="H15" s="2">
        <v>45842</v>
      </c>
      <c r="I15" s="2">
        <v>45849</v>
      </c>
      <c r="J15" s="2">
        <v>45856</v>
      </c>
      <c r="K15" s="15"/>
    </row>
    <row r="16" spans="1:11">
      <c r="A16" s="16" t="s">
        <v>283</v>
      </c>
      <c r="B16" s="17">
        <v>13574054999.743</v>
      </c>
      <c r="C16" s="17">
        <v>13663574619.923</v>
      </c>
      <c r="D16" s="17">
        <v>13910462089.52</v>
      </c>
      <c r="E16" s="17">
        <v>14097996343.838001</v>
      </c>
      <c r="F16" s="17">
        <v>14438197157.056999</v>
      </c>
      <c r="G16" s="17">
        <v>14649626500.49</v>
      </c>
      <c r="H16" s="17">
        <v>14538175757.549999</v>
      </c>
      <c r="I16" s="17">
        <v>15344019261.460001</v>
      </c>
      <c r="J16" s="17">
        <v>16012018416.058001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29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c2zlxQV5VIeDDALHBTPYdTSEHXefEBlk9QwpaPxVo+Xu8eQKFl13J+o5wBo0TplzHIJf2E4PifTyv9g55BqQ1g==" saltValue="zmsafoFen2W/XHTonHgsJw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  <vt:lpstr>FX_RATE</vt:lpstr>
      <vt:lpstr>'Weekly Valuation'!NFEM_RATE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2025-07-24T15:24:52Z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