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34" i="1" l="1"/>
  <c r="M134" i="1"/>
  <c r="K134" i="1"/>
  <c r="N128" i="1" l="1"/>
  <c r="M128" i="1"/>
  <c r="K128" i="1"/>
  <c r="K119" i="1"/>
  <c r="N149" i="1"/>
  <c r="M149" i="1"/>
  <c r="K149" i="1"/>
  <c r="N126" i="1"/>
  <c r="M126" i="1"/>
  <c r="K126" i="1"/>
  <c r="N118" i="1"/>
  <c r="M118" i="1"/>
  <c r="K118" i="1"/>
  <c r="N114" i="1"/>
  <c r="M114" i="1"/>
  <c r="K114" i="1"/>
  <c r="N143" i="1" l="1"/>
  <c r="M143" i="1"/>
  <c r="K143" i="1"/>
  <c r="N142" i="1" l="1"/>
  <c r="M142" i="1"/>
  <c r="K142" i="1"/>
  <c r="K125" i="1"/>
  <c r="K127" i="1"/>
  <c r="N129" i="1" l="1"/>
  <c r="M129" i="1"/>
  <c r="K129" i="1"/>
  <c r="N139" i="1" l="1"/>
  <c r="K139" i="1"/>
  <c r="N136" i="1"/>
  <c r="M136" i="1"/>
  <c r="K136" i="1"/>
  <c r="R81" i="1"/>
  <c r="R82" i="1"/>
  <c r="N148" i="1" l="1"/>
  <c r="M148" i="1"/>
  <c r="K148" i="1"/>
  <c r="N124" i="1" l="1"/>
  <c r="M124" i="1"/>
  <c r="K124" i="1"/>
  <c r="N123" i="1"/>
  <c r="M123" i="1"/>
  <c r="K123" i="1"/>
  <c r="N227" i="1"/>
  <c r="M227" i="1"/>
  <c r="K227" i="1"/>
  <c r="N146" i="1" l="1"/>
  <c r="M146" i="1"/>
  <c r="K146" i="1"/>
  <c r="N130" i="1"/>
  <c r="M130" i="1"/>
  <c r="K130" i="1"/>
  <c r="K115" i="1" l="1"/>
  <c r="N120" i="1" l="1"/>
  <c r="M120" i="1"/>
  <c r="K120" i="1"/>
  <c r="N121" i="1"/>
  <c r="M121" i="1"/>
  <c r="K121" i="1"/>
  <c r="N140" i="1" l="1"/>
  <c r="M140" i="1"/>
  <c r="K140" i="1"/>
  <c r="N145" i="1" l="1"/>
  <c r="M145" i="1"/>
  <c r="K145" i="1"/>
  <c r="N133" i="1" l="1"/>
  <c r="M133" i="1"/>
  <c r="K133" i="1"/>
  <c r="N225" i="1" l="1"/>
  <c r="M225" i="1"/>
  <c r="K225" i="1"/>
  <c r="N117" i="1"/>
  <c r="M117" i="1"/>
  <c r="N116" i="1"/>
  <c r="M116" i="1"/>
  <c r="K117" i="1"/>
  <c r="K116" i="1"/>
  <c r="G227" i="1" l="1"/>
  <c r="F227" i="1"/>
  <c r="G225" i="1"/>
  <c r="F225" i="1"/>
  <c r="D227" i="1"/>
  <c r="D225" i="1"/>
  <c r="N141" i="1" l="1"/>
  <c r="M141" i="1"/>
  <c r="R104" i="1" l="1"/>
  <c r="S104" i="1"/>
  <c r="T104" i="1"/>
  <c r="U104" i="1"/>
  <c r="V104" i="1"/>
  <c r="N138" i="1" l="1"/>
  <c r="M138" i="1"/>
  <c r="N127" i="1" l="1"/>
  <c r="M127" i="1"/>
  <c r="N119" i="1" l="1"/>
  <c r="M119" i="1"/>
  <c r="M139" i="1" l="1"/>
  <c r="R15" i="1" l="1"/>
  <c r="V228" i="1" l="1"/>
  <c r="U228" i="1"/>
  <c r="T228" i="1"/>
  <c r="S228" i="1"/>
  <c r="R228" i="1"/>
  <c r="R234" i="1"/>
  <c r="R154" i="1" l="1"/>
  <c r="S154" i="1"/>
  <c r="T154" i="1"/>
  <c r="U154" i="1"/>
  <c r="V154" i="1"/>
  <c r="R126" i="1" l="1"/>
  <c r="R125" i="1"/>
  <c r="S133" i="1"/>
  <c r="R133" i="1"/>
  <c r="S149" i="1"/>
  <c r="R149" i="1"/>
  <c r="S121" i="1"/>
  <c r="S140" i="1"/>
  <c r="R140" i="1"/>
  <c r="R127" i="1"/>
  <c r="S145" i="1"/>
  <c r="R145" i="1"/>
  <c r="S136" i="1"/>
  <c r="R136" i="1"/>
  <c r="S120" i="1"/>
  <c r="R120" i="1"/>
  <c r="K159" i="1"/>
  <c r="L156" i="1" s="1"/>
  <c r="V218" i="1"/>
  <c r="U218" i="1"/>
  <c r="T218" i="1"/>
  <c r="S218" i="1"/>
  <c r="R218" i="1"/>
  <c r="K195" i="1"/>
  <c r="L218" i="1" s="1"/>
  <c r="D195" i="1"/>
  <c r="B19" i="2" s="1"/>
  <c r="B9" i="2" s="1"/>
  <c r="V219" i="1"/>
  <c r="U219" i="1"/>
  <c r="T219" i="1"/>
  <c r="S219" i="1"/>
  <c r="R219" i="1"/>
  <c r="K221" i="1"/>
  <c r="L203" i="1" s="1"/>
  <c r="D221" i="1"/>
  <c r="S134" i="1"/>
  <c r="S148" i="1"/>
  <c r="R115" i="1"/>
  <c r="S143" i="1"/>
  <c r="R143" i="1"/>
  <c r="R128" i="1"/>
  <c r="S114" i="1"/>
  <c r="V234" i="1"/>
  <c r="M125" i="1"/>
  <c r="N125" i="1"/>
  <c r="S125" i="1" s="1"/>
  <c r="V226" i="1"/>
  <c r="U226" i="1"/>
  <c r="T226" i="1"/>
  <c r="S226" i="1"/>
  <c r="R226" i="1"/>
  <c r="K230" i="1"/>
  <c r="S138" i="1"/>
  <c r="U142" i="1"/>
  <c r="V142" i="1"/>
  <c r="N115" i="1"/>
  <c r="S115" i="1" s="1"/>
  <c r="M115" i="1"/>
  <c r="R227" i="1"/>
  <c r="S227" i="1"/>
  <c r="T227" i="1"/>
  <c r="U227" i="1"/>
  <c r="V227" i="1"/>
  <c r="V52" i="1"/>
  <c r="U52" i="1"/>
  <c r="T52" i="1"/>
  <c r="S52" i="1"/>
  <c r="R52" i="1"/>
  <c r="R148" i="1"/>
  <c r="V148" i="1"/>
  <c r="U148" i="1"/>
  <c r="T148" i="1"/>
  <c r="R167" i="1"/>
  <c r="S167" i="1"/>
  <c r="T167" i="1"/>
  <c r="U167" i="1"/>
  <c r="V167" i="1"/>
  <c r="V143" i="1"/>
  <c r="U143" i="1"/>
  <c r="T143" i="1"/>
  <c r="R58" i="1"/>
  <c r="V58" i="1"/>
  <c r="U58" i="1"/>
  <c r="S58" i="1"/>
  <c r="T58" i="1"/>
  <c r="R32" i="1"/>
  <c r="V32" i="1"/>
  <c r="U32" i="1"/>
  <c r="T32" i="1"/>
  <c r="S32" i="1"/>
  <c r="T137" i="1"/>
  <c r="V125" i="1"/>
  <c r="U125" i="1"/>
  <c r="T125" i="1"/>
  <c r="R45" i="1"/>
  <c r="S45" i="1"/>
  <c r="T45" i="1"/>
  <c r="U45" i="1"/>
  <c r="V45" i="1"/>
  <c r="O230" i="1"/>
  <c r="H230" i="1"/>
  <c r="D230" i="1"/>
  <c r="V225" i="1"/>
  <c r="U225" i="1"/>
  <c r="T225" i="1"/>
  <c r="S225" i="1"/>
  <c r="R225" i="1"/>
  <c r="V136" i="1"/>
  <c r="U136" i="1"/>
  <c r="T136" i="1"/>
  <c r="V82" i="1"/>
  <c r="U82" i="1"/>
  <c r="T82" i="1"/>
  <c r="S82" i="1"/>
  <c r="R171" i="1"/>
  <c r="V23" i="1"/>
  <c r="U23" i="1"/>
  <c r="T23" i="1"/>
  <c r="S23" i="1"/>
  <c r="R23" i="1"/>
  <c r="O221" i="1"/>
  <c r="H221" i="1"/>
  <c r="V220" i="1"/>
  <c r="U220" i="1"/>
  <c r="T220" i="1"/>
  <c r="S220" i="1"/>
  <c r="R220" i="1"/>
  <c r="R31" i="1"/>
  <c r="R117" i="1"/>
  <c r="S117" i="1"/>
  <c r="T117" i="1"/>
  <c r="U117" i="1"/>
  <c r="V117" i="1"/>
  <c r="R53" i="1"/>
  <c r="R212" i="1"/>
  <c r="V204" i="1"/>
  <c r="U204" i="1"/>
  <c r="T204" i="1"/>
  <c r="S204" i="1"/>
  <c r="R204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 s="1"/>
  <c r="G3" i="5" s="1"/>
  <c r="G10" i="4"/>
  <c r="F4" i="5" s="1"/>
  <c r="F3" i="5" s="1"/>
  <c r="F10" i="4"/>
  <c r="E10" i="4"/>
  <c r="F12" i="4" s="1"/>
  <c r="D10" i="4"/>
  <c r="E12" i="4" s="1"/>
  <c r="C10" i="4"/>
  <c r="D12" i="4" s="1"/>
  <c r="B10" i="4"/>
  <c r="I4" i="6"/>
  <c r="I3" i="6" s="1"/>
  <c r="H4" i="6"/>
  <c r="H3" i="6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V250" i="1"/>
  <c r="U250" i="1"/>
  <c r="S250" i="1"/>
  <c r="O250" i="1"/>
  <c r="K250" i="1"/>
  <c r="L247" i="1" s="1"/>
  <c r="H250" i="1"/>
  <c r="D250" i="1"/>
  <c r="E238" i="1" s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O235" i="1"/>
  <c r="K235" i="1"/>
  <c r="L233" i="1" s="1"/>
  <c r="H235" i="1"/>
  <c r="D235" i="1"/>
  <c r="E233" i="1" s="1"/>
  <c r="E234" i="1"/>
  <c r="U234" i="1"/>
  <c r="T234" i="1"/>
  <c r="S234" i="1"/>
  <c r="V233" i="1"/>
  <c r="U233" i="1"/>
  <c r="T233" i="1"/>
  <c r="S233" i="1"/>
  <c r="R233" i="1"/>
  <c r="V229" i="1"/>
  <c r="U229" i="1"/>
  <c r="T229" i="1"/>
  <c r="S229" i="1"/>
  <c r="R229" i="1"/>
  <c r="V221" i="1"/>
  <c r="U221" i="1"/>
  <c r="S221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3" i="1"/>
  <c r="U203" i="1"/>
  <c r="T203" i="1"/>
  <c r="S203" i="1"/>
  <c r="R203" i="1"/>
  <c r="V200" i="1"/>
  <c r="U200" i="1"/>
  <c r="T200" i="1"/>
  <c r="S200" i="1"/>
  <c r="R200" i="1"/>
  <c r="V199" i="1"/>
  <c r="U199" i="1"/>
  <c r="T199" i="1"/>
  <c r="S199" i="1"/>
  <c r="R199" i="1"/>
  <c r="V195" i="1"/>
  <c r="U195" i="1"/>
  <c r="S195" i="1"/>
  <c r="O195" i="1"/>
  <c r="H195" i="1"/>
  <c r="T195" i="1" s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H190" i="1"/>
  <c r="D190" i="1"/>
  <c r="E167" i="1" s="1"/>
  <c r="V159" i="1"/>
  <c r="U159" i="1"/>
  <c r="S159" i="1"/>
  <c r="O159" i="1"/>
  <c r="H159" i="1"/>
  <c r="D159" i="1"/>
  <c r="E153" i="1" s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V133" i="1"/>
  <c r="U133" i="1"/>
  <c r="T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V120" i="1"/>
  <c r="U120" i="1"/>
  <c r="T120" i="1"/>
  <c r="V119" i="1"/>
  <c r="U119" i="1"/>
  <c r="T119" i="1"/>
  <c r="S119" i="1"/>
  <c r="V118" i="1"/>
  <c r="U118" i="1"/>
  <c r="T118" i="1"/>
  <c r="S118" i="1"/>
  <c r="V116" i="1"/>
  <c r="U116" i="1"/>
  <c r="T116" i="1"/>
  <c r="S116" i="1"/>
  <c r="V115" i="1"/>
  <c r="U115" i="1"/>
  <c r="T115" i="1"/>
  <c r="V114" i="1"/>
  <c r="U114" i="1"/>
  <c r="T114" i="1"/>
  <c r="R114" i="1"/>
  <c r="V110" i="1"/>
  <c r="U110" i="1"/>
  <c r="S110" i="1"/>
  <c r="O110" i="1"/>
  <c r="K110" i="1"/>
  <c r="L104" i="1" s="1"/>
  <c r="H110" i="1"/>
  <c r="D110" i="1"/>
  <c r="E96" i="1" s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36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D4" i="5"/>
  <c r="D3" i="5" s="1"/>
  <c r="E98" i="1"/>
  <c r="E100" i="1"/>
  <c r="E88" i="1"/>
  <c r="D150" i="1"/>
  <c r="E139" i="1" s="1"/>
  <c r="R116" i="1"/>
  <c r="R119" i="1"/>
  <c r="R130" i="1"/>
  <c r="R134" i="1"/>
  <c r="R142" i="1"/>
  <c r="R146" i="1"/>
  <c r="G12" i="4" l="1"/>
  <c r="E157" i="1"/>
  <c r="E4" i="5"/>
  <c r="E3" i="5" s="1"/>
  <c r="E91" i="1"/>
  <c r="E104" i="1"/>
  <c r="E78" i="1"/>
  <c r="L170" i="1"/>
  <c r="L188" i="1"/>
  <c r="L189" i="1"/>
  <c r="E103" i="1"/>
  <c r="E90" i="1"/>
  <c r="I12" i="4"/>
  <c r="H12" i="4"/>
  <c r="E45" i="1"/>
  <c r="E193" i="1"/>
  <c r="E194" i="1"/>
  <c r="E108" i="1"/>
  <c r="E13" i="1"/>
  <c r="E17" i="1"/>
  <c r="E15" i="1"/>
  <c r="E34" i="1"/>
  <c r="E14" i="1"/>
  <c r="C4" i="5"/>
  <c r="C3" i="5" s="1"/>
  <c r="C12" i="4"/>
  <c r="B4" i="5"/>
  <c r="B3" i="5" s="1"/>
  <c r="T159" i="1"/>
  <c r="E89" i="1"/>
  <c r="E106" i="1"/>
  <c r="E85" i="1"/>
  <c r="E79" i="1"/>
  <c r="E93" i="1"/>
  <c r="E248" i="1"/>
  <c r="E77" i="1"/>
  <c r="E74" i="1"/>
  <c r="E181" i="1"/>
  <c r="E109" i="1"/>
  <c r="E72" i="1"/>
  <c r="E185" i="1"/>
  <c r="E84" i="1"/>
  <c r="E81" i="1"/>
  <c r="T110" i="1"/>
  <c r="E80" i="1"/>
  <c r="E75" i="1"/>
  <c r="E140" i="1"/>
  <c r="E107" i="1"/>
  <c r="E97" i="1"/>
  <c r="B15" i="2"/>
  <c r="B5" i="2" s="1"/>
  <c r="E86" i="1"/>
  <c r="B16" i="2"/>
  <c r="B6" i="2" s="1"/>
  <c r="E82" i="1"/>
  <c r="E105" i="1"/>
  <c r="E102" i="1"/>
  <c r="E101" i="1"/>
  <c r="E16" i="1"/>
  <c r="E9" i="1"/>
  <c r="E20" i="1"/>
  <c r="E243" i="1"/>
  <c r="E18" i="1"/>
  <c r="B13" i="2"/>
  <c r="B3" i="2" s="1"/>
  <c r="E6" i="1"/>
  <c r="E10" i="1"/>
  <c r="E24" i="1"/>
  <c r="E11" i="1"/>
  <c r="E204" i="1"/>
  <c r="E228" i="1"/>
  <c r="E12" i="1"/>
  <c r="E21" i="1"/>
  <c r="E7" i="1"/>
  <c r="E22" i="1"/>
  <c r="E8" i="1"/>
  <c r="E126" i="1"/>
  <c r="E19" i="1"/>
  <c r="L234" i="1"/>
  <c r="R235" i="1"/>
  <c r="L78" i="1"/>
  <c r="L101" i="1"/>
  <c r="L227" i="1"/>
  <c r="L228" i="1"/>
  <c r="L226" i="1"/>
  <c r="R230" i="1"/>
  <c r="E205" i="1"/>
  <c r="B20" i="2"/>
  <c r="B10" i="2" s="1"/>
  <c r="E203" i="1"/>
  <c r="E210" i="1"/>
  <c r="E208" i="1"/>
  <c r="E226" i="1"/>
  <c r="E225" i="1"/>
  <c r="E213" i="1"/>
  <c r="E220" i="1"/>
  <c r="E211" i="1"/>
  <c r="E218" i="1"/>
  <c r="E180" i="1"/>
  <c r="E188" i="1"/>
  <c r="E169" i="1"/>
  <c r="E163" i="1"/>
  <c r="E175" i="1"/>
  <c r="E184" i="1"/>
  <c r="E48" i="1"/>
  <c r="E166" i="1"/>
  <c r="E186" i="1"/>
  <c r="E177" i="1"/>
  <c r="E168" i="1"/>
  <c r="E189" i="1"/>
  <c r="E179" i="1"/>
  <c r="E164" i="1"/>
  <c r="E176" i="1"/>
  <c r="E170" i="1"/>
  <c r="E182" i="1"/>
  <c r="E171" i="1"/>
  <c r="E183" i="1"/>
  <c r="E162" i="1"/>
  <c r="E187" i="1"/>
  <c r="E174" i="1"/>
  <c r="E165" i="1"/>
  <c r="E178" i="1"/>
  <c r="E172" i="1"/>
  <c r="B18" i="2"/>
  <c r="B8" i="2" s="1"/>
  <c r="E173" i="1"/>
  <c r="E156" i="1"/>
  <c r="E158" i="1"/>
  <c r="E143" i="1"/>
  <c r="E116" i="1"/>
  <c r="E133" i="1"/>
  <c r="E145" i="1"/>
  <c r="E125" i="1"/>
  <c r="E117" i="1"/>
  <c r="E141" i="1"/>
  <c r="E118" i="1"/>
  <c r="E136" i="1"/>
  <c r="L225" i="1"/>
  <c r="L158" i="1"/>
  <c r="L153" i="1"/>
  <c r="B6" i="3"/>
  <c r="L229" i="1"/>
  <c r="T221" i="1"/>
  <c r="L155" i="1"/>
  <c r="L154" i="1"/>
  <c r="L157" i="1"/>
  <c r="C17" i="2"/>
  <c r="C7" i="2" s="1"/>
  <c r="E247" i="1"/>
  <c r="E245" i="1"/>
  <c r="L239" i="1"/>
  <c r="R195" i="1"/>
  <c r="L194" i="1"/>
  <c r="L193" i="1"/>
  <c r="B2" i="3"/>
  <c r="C19" i="2"/>
  <c r="C9" i="2" s="1"/>
  <c r="L210" i="1"/>
  <c r="L200" i="1"/>
  <c r="L211" i="1"/>
  <c r="L213" i="1"/>
  <c r="C20" i="2"/>
  <c r="C10" i="2" s="1"/>
  <c r="L199" i="1"/>
  <c r="L215" i="1"/>
  <c r="L209" i="1"/>
  <c r="L206" i="1"/>
  <c r="B4" i="3"/>
  <c r="L204" i="1"/>
  <c r="L214" i="1"/>
  <c r="L212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8" i="1"/>
  <c r="L243" i="1"/>
  <c r="L245" i="1"/>
  <c r="L241" i="1"/>
  <c r="L207" i="1"/>
  <c r="L219" i="1"/>
  <c r="L205" i="1"/>
  <c r="L208" i="1"/>
  <c r="L220" i="1"/>
  <c r="E30" i="1"/>
  <c r="T250" i="1"/>
  <c r="L246" i="1"/>
  <c r="L249" i="1"/>
  <c r="L244" i="1"/>
  <c r="L242" i="1"/>
  <c r="L240" i="1"/>
  <c r="L238" i="1"/>
  <c r="K150" i="1"/>
  <c r="L118" i="1" s="1"/>
  <c r="R118" i="1"/>
  <c r="R121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1" i="1"/>
  <c r="E239" i="1"/>
  <c r="E242" i="1"/>
  <c r="E244" i="1"/>
  <c r="E246" i="1"/>
  <c r="E249" i="1"/>
  <c r="E240" i="1"/>
  <c r="R250" i="1"/>
  <c r="E219" i="1"/>
  <c r="E206" i="1"/>
  <c r="E199" i="1"/>
  <c r="E200" i="1"/>
  <c r="E215" i="1"/>
  <c r="E209" i="1"/>
  <c r="E227" i="1"/>
  <c r="E229" i="1"/>
  <c r="E214" i="1"/>
  <c r="R221" i="1"/>
  <c r="E212" i="1"/>
  <c r="T190" i="1"/>
  <c r="H222" i="1"/>
  <c r="H251" i="1" s="1"/>
  <c r="B17" i="2"/>
  <c r="B7" i="2" s="1"/>
  <c r="E155" i="1"/>
  <c r="R159" i="1"/>
  <c r="T150" i="1"/>
  <c r="E122" i="1"/>
  <c r="E149" i="1"/>
  <c r="E135" i="1"/>
  <c r="E123" i="1"/>
  <c r="E146" i="1"/>
  <c r="E128" i="1"/>
  <c r="E127" i="1"/>
  <c r="E138" i="1"/>
  <c r="E142" i="1"/>
  <c r="E130" i="1"/>
  <c r="E144" i="1"/>
  <c r="E134" i="1"/>
  <c r="E124" i="1"/>
  <c r="E119" i="1"/>
  <c r="E114" i="1"/>
  <c r="E137" i="1"/>
  <c r="E129" i="1"/>
  <c r="E115" i="1"/>
  <c r="E121" i="1"/>
  <c r="E83" i="1"/>
  <c r="E99" i="1"/>
  <c r="E94" i="1"/>
  <c r="E73" i="1"/>
  <c r="E87" i="1"/>
  <c r="E92" i="1"/>
  <c r="D222" i="1"/>
  <c r="E25" i="1" s="1"/>
  <c r="J12" i="4"/>
  <c r="O222" i="1"/>
  <c r="O251" i="1" s="1"/>
  <c r="L179" i="1"/>
  <c r="L171" i="1"/>
  <c r="L182" i="1"/>
  <c r="R190" i="1"/>
  <c r="B5" i="3"/>
  <c r="L162" i="1"/>
  <c r="L183" i="1"/>
  <c r="L48" i="1"/>
  <c r="L174" i="1"/>
  <c r="L173" i="1"/>
  <c r="L186" i="1"/>
  <c r="L172" i="1"/>
  <c r="L165" i="1"/>
  <c r="L166" i="1"/>
  <c r="L181" i="1"/>
  <c r="L178" i="1"/>
  <c r="C18" i="2"/>
  <c r="C8" i="2" s="1"/>
  <c r="L177" i="1"/>
  <c r="L185" i="1"/>
  <c r="L167" i="1"/>
  <c r="L184" i="1"/>
  <c r="L163" i="1"/>
  <c r="L169" i="1"/>
  <c r="L164" i="1"/>
  <c r="L175" i="1"/>
  <c r="L176" i="1"/>
  <c r="L187" i="1"/>
  <c r="L180" i="1"/>
  <c r="L168" i="1"/>
  <c r="L72" i="1"/>
  <c r="L98" i="1"/>
  <c r="L75" i="1"/>
  <c r="L96" i="1"/>
  <c r="L99" i="1"/>
  <c r="L106" i="1"/>
  <c r="L92" i="1"/>
  <c r="L73" i="1"/>
  <c r="L82" i="1"/>
  <c r="L136" i="1"/>
  <c r="L83" i="1"/>
  <c r="E76" i="1"/>
  <c r="L88" i="1"/>
  <c r="R110" i="1"/>
  <c r="L91" i="1"/>
  <c r="L86" i="1"/>
  <c r="L80" i="1"/>
  <c r="L84" i="1"/>
  <c r="C15" i="2"/>
  <c r="C5" i="2" s="1"/>
  <c r="L89" i="1"/>
  <c r="L97" i="1"/>
  <c r="L105" i="1"/>
  <c r="L81" i="1"/>
  <c r="B7" i="3"/>
  <c r="L87" i="1"/>
  <c r="L79" i="1"/>
  <c r="L107" i="1"/>
  <c r="L77" i="1"/>
  <c r="L102" i="1"/>
  <c r="L76" i="1"/>
  <c r="L93" i="1"/>
  <c r="L103" i="1"/>
  <c r="L109" i="1"/>
  <c r="L100" i="1"/>
  <c r="L74" i="1"/>
  <c r="L85" i="1"/>
  <c r="L108" i="1"/>
  <c r="L142" i="1" l="1"/>
  <c r="B8" i="3"/>
  <c r="L137" i="1"/>
  <c r="L128" i="1"/>
  <c r="L146" i="1"/>
  <c r="L143" i="1"/>
  <c r="L123" i="1"/>
  <c r="L140" i="1"/>
  <c r="L129" i="1"/>
  <c r="L124" i="1"/>
  <c r="R150" i="1"/>
  <c r="L121" i="1"/>
  <c r="L120" i="1"/>
  <c r="C16" i="2"/>
  <c r="C6" i="2" s="1"/>
  <c r="L147" i="1"/>
  <c r="L135" i="1"/>
  <c r="L145" i="1"/>
  <c r="K222" i="1"/>
  <c r="L150" i="1" s="1"/>
  <c r="L117" i="1"/>
  <c r="L116" i="1"/>
  <c r="L130" i="1"/>
  <c r="L148" i="1"/>
  <c r="L119" i="1"/>
  <c r="L114" i="1"/>
  <c r="L141" i="1"/>
  <c r="L139" i="1"/>
  <c r="L122" i="1"/>
  <c r="L138" i="1"/>
  <c r="L125" i="1"/>
  <c r="L144" i="1"/>
  <c r="L126" i="1"/>
  <c r="L133" i="1"/>
  <c r="L134" i="1"/>
  <c r="L115" i="1"/>
  <c r="L127" i="1"/>
  <c r="L149" i="1"/>
  <c r="E221" i="1"/>
  <c r="D251" i="1"/>
  <c r="E159" i="1"/>
  <c r="E195" i="1"/>
  <c r="E110" i="1"/>
  <c r="E190" i="1"/>
  <c r="E150" i="1"/>
  <c r="E69" i="1"/>
  <c r="L25" i="1" l="1"/>
  <c r="L69" i="1"/>
  <c r="L159" i="1"/>
  <c r="R222" i="1"/>
  <c r="L195" i="1"/>
  <c r="L190" i="1"/>
  <c r="K251" i="1"/>
  <c r="L221" i="1"/>
  <c r="L110" i="1"/>
</calcChain>
</file>

<file path=xl/sharedStrings.xml><?xml version="1.0" encoding="utf-8"?>
<sst xmlns="http://schemas.openxmlformats.org/spreadsheetml/2006/main" count="513" uniqueCount="324">
  <si>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</si>
  <si>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</si>
  <si>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</si>
  <si>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</si>
  <si>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</si>
  <si>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</si>
  <si>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</si>
  <si>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</si>
  <si>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</si>
  <si>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</si>
  <si>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</si>
  <si>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</si>
  <si>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</si>
  <si>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</si>
  <si>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</si>
  <si>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</si>
  <si>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</si>
  <si>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</si>
  <si>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</si>
  <si>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</si>
  <si>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</si>
  <si>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</si>
  <si>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</si>
  <si>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</si>
  <si>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</si>
  <si>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</si>
  <si>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</si>
  <si>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</si>
  <si>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</si>
  <si>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</si>
  <si>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</si>
  <si>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</si>
  <si>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</si>
  <si>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</si>
  <si>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</si>
  <si>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</si>
  <si>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</si>
  <si>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</si>
  <si>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</si>
  <si>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</si>
  <si>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</si>
  <si>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</si>
  <si>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</si>
  <si>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</si>
  <si>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</si>
  <si>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</si>
  <si>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</si>
  <si>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</si>
  <si>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</si>
  <si>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</si>
  <si>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</si>
  <si>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</si>
  <si>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</si>
  <si>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</si>
  <si>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</si>
  <si>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</si>
  <si>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</si>
  <si>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</si>
  <si>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</si>
  <si>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</si>
  <si>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</si>
  <si>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</si>
  <si>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</si>
  <si>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</si>
  <si>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</si>
  <si>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</si>
  <si>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</si>
  <si>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</si>
  <si>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</si>
  <si>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</si>
  <si>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</si>
  <si>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</si>
  <si>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</si>
  <si>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</si>
  <si>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</si>
  <si>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</si>
  <si>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</si>
  <si>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</si>
  <si>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</si>
  <si>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</si>
  <si>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</si>
  <si>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</si>
  <si>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</si>
  <si>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</si>
  <si>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</si>
  <si>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</si>
  <si>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</si>
  <si>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</si>
  <si>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</si>
  <si>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</si>
  <si>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</si>
  <si>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</si>
  <si>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</si>
  <si>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</si>
  <si>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</si>
  <si>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</si>
  <si>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</si>
  <si>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</si>
  <si>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</si>
  <si>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</si>
  <si>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</si>
  <si>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</si>
  <si>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</si>
  <si>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</si>
  <si>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</si>
  <si>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</si>
  <si>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</si>
  <si>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</si>
  <si>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</si>
  <si>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</si>
  <si>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</si>
  <si>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</si>
  <si>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</si>
  <si>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</si>
  <si>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</si>
  <si>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</si>
  <si>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</si>
  <si>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</si>
  <si>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</si>
  <si>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</si>
  <si>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</si>
  <si>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</si>
  <si>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</si>
  <si>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</si>
  <si>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</si>
  <si>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</si>
  <si>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</si>
  <si>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</si>
  <si>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</si>
  <si>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</si>
  <si>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</si>
  <si>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</si>
  <si>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</si>
  <si>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</si>
  <si>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</si>
  <si>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</si>
  <si>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</si>
  <si>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</si>
  <si>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</si>
  <si>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</si>
  <si>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</si>
  <si>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</si>
  <si>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</si>
  <si>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</si>
  <si>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</si>
  <si>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</si>
  <si>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</si>
  <si>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</si>
  <si>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</si>
  <si>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</si>
  <si>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</si>
  <si>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</si>
  <si>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</si>
  <si>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</si>
  <si>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</si>
  <si>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</si>
  <si>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</si>
  <si>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</si>
  <si>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</si>
  <si>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</si>
  <si>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</si>
  <si>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</si>
  <si>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</si>
  <si>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</si>
  <si>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</si>
  <si>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</si>
  <si>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</si>
  <si>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</si>
  <si>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</si>
  <si>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</si>
  <si>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</si>
  <si>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</si>
  <si>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</si>
  <si>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</si>
  <si>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</si>
  <si>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</si>
  <si>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</si>
  <si>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</si>
  <si>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</si>
  <si>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</si>
  <si>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</si>
  <si>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</si>
  <si>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</si>
  <si>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</si>
  <si>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</si>
  <si>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</si>
  <si>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</si>
  <si>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</si>
  <si>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</si>
  <si>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</si>
  <si>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</si>
  <si>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</si>
  <si>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</si>
  <si>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</si>
  <si>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</si>
  <si>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</si>
  <si>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</si>
  <si>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</si>
  <si>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</si>
  <si>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</si>
  <si>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</si>
  <si>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</si>
  <si>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</si>
  <si>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</si>
  <si>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</si>
  <si>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</si>
  <si>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</si>
  <si>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</si>
  <si>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</si>
  <si>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</si>
  <si>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</si>
  <si>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</si>
  <si>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</si>
  <si>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</si>
  <si>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</si>
  <si>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</si>
  <si>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</si>
  <si>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</si>
  <si>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</si>
  <si>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</si>
  <si>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</si>
  <si>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</si>
  <si>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</si>
  <si>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</si>
  <si>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</si>
  <si>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</si>
  <si>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</si>
  <si>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</si>
  <si>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</si>
  <si>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</si>
  <si>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</si>
  <si>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</si>
  <si>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</si>
  <si>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</si>
  <si>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</si>
  <si>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</si>
  <si>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</si>
  <si>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</si>
  <si>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</si>
  <si>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</si>
  <si>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</si>
  <si>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</si>
  <si>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</si>
  <si>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</si>
  <si>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</si>
  <si>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</si>
  <si>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</si>
  <si>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</si>
  <si>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</si>
  <si>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</si>
  <si>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</si>
  <si>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</si>
  <si>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</si>
  <si>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</si>
  <si>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</si>
  <si>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</si>
  <si>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</si>
  <si>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</si>
  <si>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</si>
  <si>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</si>
  <si>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</si>
  <si>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</si>
  <si>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</si>
  <si>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</si>
  <si>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</si>
  <si>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</si>
  <si>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</si>
  <si>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</si>
  <si>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</si>
  <si>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</si>
  <si>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</si>
  <si>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</si>
  <si>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</si>
  <si>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</si>
  <si>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</si>
  <si>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</si>
  <si>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</si>
  <si>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</si>
  <si>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</si>
  <si>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</si>
  <si>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</si>
  <si>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</si>
  <si>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</si>
  <si>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</si>
  <si>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</si>
  <si>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</si>
  <si>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</si>
  <si>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</si>
  <si>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</si>
  <si>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</si>
  <si>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</si>
  <si>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</si>
  <si>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</si>
  <si>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</si>
  <si>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</si>
  <si>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</si>
  <si>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</si>
  <si>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</si>
  <si>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</si>
  <si>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</si>
  <si>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</si>
  <si>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</si>
  <si>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</si>
  <si>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</si>
  <si>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</si>
  <si>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</si>
  <si>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</si>
  <si>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</si>
  <si>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</si>
  <si>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</si>
  <si>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</si>
  <si>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</si>
  <si>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</si>
  <si>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ARM Halal Balanced Fund</t>
  </si>
  <si>
    <t>MOFI Real Estate Investment Fund</t>
  </si>
  <si>
    <t>United Capital Children Investment Fund</t>
  </si>
  <si>
    <t>NAV, Unit Price and Yield as at Week Ended June 13, 2025</t>
  </si>
  <si>
    <t>Trustbanc Fixed Income Fund</t>
  </si>
  <si>
    <t>Week Ended June 13, 2025</t>
  </si>
  <si>
    <t>NAV, Unit Price and Yield as at Week Ended June 20, 2025</t>
  </si>
  <si>
    <t>WEEKLY VALUATION REPORT OF COLLECTIVE INVESTMENT SCHEMES AS AT WEEK ENDED FRIDAY, JUNE 20, 2025</t>
  </si>
  <si>
    <t>NFEM RATE NG₦/US$ as at 20th June, 2025 = N1547.3636</t>
  </si>
  <si>
    <t>First Asset Management Limited</t>
  </si>
  <si>
    <t>Week Ended 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</si>
</sst>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0" fontId="42" fillId="0" borderId="0" xfId="0" applyFont="1"/>
    <xf numFmtId="167" fontId="41" fillId="0" borderId="0" xfId="1" applyNumberFormat="1" applyFont="1"/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0" fontId="10" fillId="0" borderId="0" xfId="0" applyFont="1" applyBorder="1"/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45" fillId="0" borderId="0" xfId="0" applyFont="1"/>
    <xf numFmtId="0" fontId="16" fillId="2" borderId="1" xfId="0" applyFont="1" applyFill="1" applyBorder="1" applyAlignment="1">
      <alignment horizontal="left" wrapText="1"/>
    </xf>
    <xf numFmtId="4" fontId="5" fillId="2" borderId="0" xfId="0" applyNumberFormat="1" applyFont="1" applyFill="1"/>
    <xf numFmtId="0" fontId="47" fillId="0" borderId="0" xfId="0" applyFont="1" applyBorder="1" applyAlignment="1">
      <alignment horizontal="right"/>
    </xf>
    <xf numFmtId="16" fontId="47" fillId="2" borderId="0" xfId="0" applyNumberFormat="1" applyFont="1" applyFill="1" applyBorder="1" applyAlignment="1">
      <alignment horizontal="center" wrapText="1"/>
    </xf>
    <xf numFmtId="0" fontId="48" fillId="0" borderId="0" xfId="0" applyFont="1" applyBorder="1"/>
    <xf numFmtId="0" fontId="47" fillId="0" borderId="0" xfId="0" applyFont="1" applyBorder="1" applyAlignment="1">
      <alignment horizontal="right" wrapText="1"/>
    </xf>
    <xf numFmtId="4" fontId="49" fillId="2" borderId="0" xfId="0" applyNumberFormat="1" applyFont="1" applyFill="1" applyBorder="1"/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0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  <xf numFmtId="4" fontId="44" fillId="2" borderId="0" xfId="0" applyNumberFormat="1" applyFont="1" applyFill="1" applyBorder="1" applyAlignment="1">
      <alignment horizontal="right"/>
    </xf>
    <xf numFmtId="0" fontId="51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164" fontId="10" fillId="0" borderId="0" xfId="1" applyFont="1" applyBorder="1"/>
    <xf numFmtId="0" fontId="46" fillId="0" borderId="0" xfId="0" applyFont="1"/>
    <xf numFmtId="16" fontId="52" fillId="2" borderId="0" xfId="0" applyNumberFormat="1" applyFont="1" applyFill="1"/>
    <xf numFmtId="164" fontId="53" fillId="0" borderId="0" xfId="1" applyFont="1"/>
    <xf numFmtId="43" fontId="53" fillId="0" borderId="0" xfId="0" applyNumberFormat="1" applyFont="1"/>
    <xf numFmtId="4" fontId="53" fillId="0" borderId="0" xfId="0" applyNumberFormat="1" applyFont="1"/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Border="1" applyAlignment="1">
      <alignment wrapText="1"/>
    </xf>
    <xf numFmtId="49" fontId="16" fillId="2" borderId="1" xfId="0" applyNumberFormat="1" applyFont="1" applyFill="1" applyBorder="1" applyAlignment="1">
      <alignment wrapText="1"/>
    </xf>
    <xf numFmtId="0" fontId="7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23" fillId="14" borderId="1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wrapText="1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June 13,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42.622857191780405</c:v>
                </c:pt>
                <c:pt idx="1">
                  <c:v>3096.1272959019284</c:v>
                </c:pt>
                <c:pt idx="2">
                  <c:v>202.34128740003243</c:v>
                </c:pt>
                <c:pt idx="3">
                  <c:v>1913.2204783341815</c:v>
                </c:pt>
                <c:pt idx="4">
                  <c:v>357.62960804217528</c:v>
                </c:pt>
                <c:pt idx="5" formatCode="_-* #,##0.00_-;\-* #,##0.00_-;_-* &quot;-&quot;??_-;_-@_-">
                  <c:v>61.694711710161478</c:v>
                </c:pt>
                <c:pt idx="6">
                  <c:v>6.1616376344500008</c:v>
                </c:pt>
                <c:pt idx="7">
                  <c:v>59.275967620142566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June 20,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45.399164105915702</c:v>
                </c:pt>
                <c:pt idx="1">
                  <c:v>3113.1674255467333</c:v>
                </c:pt>
                <c:pt idx="2">
                  <c:v>210.0706640520512</c:v>
                </c:pt>
                <c:pt idx="3">
                  <c:v>1920.9563961769661</c:v>
                </c:pt>
                <c:pt idx="4">
                  <c:v>358.53577928737019</c:v>
                </c:pt>
                <c:pt idx="5" formatCode="_-* #,##0.00_-;\-* #,##0.00_-;_-* &quot;-&quot;??_-;_-@_-">
                  <c:v>63.650811988436374</c:v>
                </c:pt>
                <c:pt idx="6">
                  <c:v>6.4560386400900001</c:v>
                </c:pt>
                <c:pt idx="7">
                  <c:v>60.234449857442542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20TH JUNE,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4175604054306885"/>
          <c:y val="1.653327529846503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20-Jun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256134317466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6456038640.0900002</c:v>
                </c:pt>
                <c:pt idx="1">
                  <c:v>45399164105.915703</c:v>
                </c:pt>
                <c:pt idx="2" formatCode="_-* #,##0.00_-;\-* #,##0.00_-;_-* &quot;-&quot;??_-;_-@_-">
                  <c:v>60234449857.442543</c:v>
                </c:pt>
                <c:pt idx="3">
                  <c:v>63650811988.436371</c:v>
                </c:pt>
                <c:pt idx="4">
                  <c:v>358535779287.37018</c:v>
                </c:pt>
                <c:pt idx="5">
                  <c:v>210070664052.05121</c:v>
                </c:pt>
                <c:pt idx="6">
                  <c:v>1920956396176.9661</c:v>
                </c:pt>
                <c:pt idx="7">
                  <c:v>3113167425546.7334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45813</c:v>
                </c:pt>
                <c:pt idx="6">
                  <c:v>45821</c:v>
                </c:pt>
                <c:pt idx="7">
                  <c:v>45828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5212.4190322973518</c:v>
                </c:pt>
                <c:pt idx="1">
                  <c:v>5297.7036669070822</c:v>
                </c:pt>
                <c:pt idx="2">
                  <c:v>5600.7611033252406</c:v>
                </c:pt>
                <c:pt idx="3">
                  <c:v>5614.7878514083422</c:v>
                </c:pt>
                <c:pt idx="4">
                  <c:v>5661.0011217265082</c:v>
                </c:pt>
                <c:pt idx="5">
                  <c:v>5706.8748281549615</c:v>
                </c:pt>
                <c:pt idx="6">
                  <c:v>5739.2216808320509</c:v>
                </c:pt>
                <c:pt idx="7">
                  <c:v>5778.470729655005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45813</c:v>
                </c:pt>
                <c:pt idx="6">
                  <c:v>45821</c:v>
                </c:pt>
                <c:pt idx="7">
                  <c:v>45828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13.564027253040001</c:v>
                </c:pt>
                <c:pt idx="1">
                  <c:v>13.89362105705</c:v>
                </c:pt>
                <c:pt idx="2">
                  <c:v>13.906596090597997</c:v>
                </c:pt>
                <c:pt idx="3">
                  <c:v>13.574054999743</c:v>
                </c:pt>
                <c:pt idx="4">
                  <c:v>13.663574619923001</c:v>
                </c:pt>
                <c:pt idx="5">
                  <c:v>13.910462089520001</c:v>
                </c:pt>
                <c:pt idx="6">
                  <c:v>14.097996343838002</c:v>
                </c:pt>
                <c:pt idx="7">
                  <c:v>14.438197157056999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8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82" t="s">
        <v>320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5" ht="15" customHeight="1">
      <c r="A2" s="132"/>
      <c r="B2" s="21"/>
      <c r="C2" s="123"/>
      <c r="D2" s="183" t="s">
        <v>316</v>
      </c>
      <c r="E2" s="183"/>
      <c r="F2" s="183"/>
      <c r="G2" s="183"/>
      <c r="H2" s="183"/>
      <c r="I2" s="183"/>
      <c r="J2" s="183"/>
      <c r="K2" s="183" t="s">
        <v>319</v>
      </c>
      <c r="L2" s="183"/>
      <c r="M2" s="183"/>
      <c r="N2" s="183"/>
      <c r="O2" s="183"/>
      <c r="P2" s="183"/>
      <c r="Q2" s="183"/>
      <c r="R2" s="183" t="s">
        <v>0</v>
      </c>
      <c r="S2" s="183"/>
      <c r="T2" s="183"/>
      <c r="U2" s="183" t="s">
        <v>1</v>
      </c>
      <c r="V2" s="183"/>
    </row>
    <row r="3" spans="1:25" ht="20.39999999999999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 t="s">
        <v>284</v>
      </c>
      <c r="G3" s="26" t="s">
        <v>8</v>
      </c>
      <c r="H3" s="26" t="s">
        <v>9</v>
      </c>
      <c r="I3" s="26" t="s">
        <v>10</v>
      </c>
      <c r="J3" s="26" t="s">
        <v>11</v>
      </c>
      <c r="K3" s="47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25" t="s">
        <v>12</v>
      </c>
      <c r="S3" s="26" t="s">
        <v>13</v>
      </c>
      <c r="T3" s="26" t="s">
        <v>14</v>
      </c>
      <c r="U3" s="26" t="s">
        <v>15</v>
      </c>
      <c r="V3" s="26" t="s">
        <v>16</v>
      </c>
    </row>
    <row r="4" spans="1:25" ht="5.25" customHeight="1">
      <c r="A4" s="133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</row>
    <row r="5" spans="1:25" ht="15" customHeight="1">
      <c r="A5" s="180" t="s">
        <v>17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1:25">
      <c r="A6" s="145">
        <v>1</v>
      </c>
      <c r="B6" s="141" t="s">
        <v>18</v>
      </c>
      <c r="C6" s="142" t="s">
        <v>19</v>
      </c>
      <c r="D6" s="27">
        <v>1800188133.48</v>
      </c>
      <c r="E6" s="28">
        <f t="shared" ref="E6:E22" si="0">(D6/$D$25)</f>
        <v>4.2235275907950086E-2</v>
      </c>
      <c r="F6" s="29">
        <v>468.26319999999998</v>
      </c>
      <c r="G6" s="29">
        <v>472.72309999999999</v>
      </c>
      <c r="H6" s="30">
        <v>1689</v>
      </c>
      <c r="I6" s="48">
        <v>2.0799999999999999E-2</v>
      </c>
      <c r="J6" s="48">
        <v>0.17799999999999999</v>
      </c>
      <c r="K6" s="27">
        <v>1894485762.4300001</v>
      </c>
      <c r="L6" s="28">
        <f t="shared" ref="L6:L22" si="1">(K6/$K$25)</f>
        <v>4.1729529601254062E-2</v>
      </c>
      <c r="M6" s="29">
        <v>479.71089999999998</v>
      </c>
      <c r="N6" s="29">
        <v>484.24540000000002</v>
      </c>
      <c r="O6" s="30">
        <v>1689</v>
      </c>
      <c r="P6" s="48">
        <v>2.4400000000000002E-2</v>
      </c>
      <c r="Q6" s="48">
        <v>0.20680000000000001</v>
      </c>
      <c r="R6" s="54">
        <f>((K6-D6)/D6)</f>
        <v>5.238209673547306E-2</v>
      </c>
      <c r="S6" s="54">
        <f>((N6-G6)/G6)</f>
        <v>2.4374311304017151E-2</v>
      </c>
      <c r="T6" s="54">
        <f>((O6-H6)/H6)</f>
        <v>0</v>
      </c>
      <c r="U6" s="55">
        <f>P6-I6</f>
        <v>3.6000000000000025E-3</v>
      </c>
      <c r="V6" s="56">
        <f>Q6-J6</f>
        <v>2.880000000000002E-2</v>
      </c>
    </row>
    <row r="7" spans="1:25">
      <c r="A7" s="145">
        <v>2</v>
      </c>
      <c r="B7" s="141" t="s">
        <v>20</v>
      </c>
      <c r="C7" s="142" t="s">
        <v>21</v>
      </c>
      <c r="D7" s="31">
        <v>757662306.25</v>
      </c>
      <c r="E7" s="28">
        <f t="shared" si="0"/>
        <v>1.7775962386587994E-2</v>
      </c>
      <c r="F7" s="31">
        <v>310.4529</v>
      </c>
      <c r="G7" s="31">
        <v>314.19760000000002</v>
      </c>
      <c r="H7" s="30">
        <v>497</v>
      </c>
      <c r="I7" s="48">
        <v>2.1462999999999999E-2</v>
      </c>
      <c r="J7" s="48">
        <v>0.2056</v>
      </c>
      <c r="K7" s="31">
        <v>771222063.25</v>
      </c>
      <c r="L7" s="28">
        <f t="shared" si="1"/>
        <v>1.6987582887005324E-2</v>
      </c>
      <c r="M7" s="31">
        <v>315.71690000000001</v>
      </c>
      <c r="N7" s="31">
        <v>319.57870000000003</v>
      </c>
      <c r="O7" s="30">
        <v>499</v>
      </c>
      <c r="P7" s="48">
        <v>2.4810000000000001E-3</v>
      </c>
      <c r="Q7" s="48">
        <v>0.22600000000000001</v>
      </c>
      <c r="R7" s="54">
        <f t="shared" ref="R7:R25" si="2">((K7-D7)/D7)</f>
        <v>1.7896834629550374E-2</v>
      </c>
      <c r="S7" s="54">
        <f t="shared" ref="S7:S25" si="3">((N7-G7)/G7)</f>
        <v>1.7126483461363178E-2</v>
      </c>
      <c r="T7" s="54">
        <f t="shared" ref="T7:T25" si="4">((O7-H7)/H7)</f>
        <v>4.0241448692152921E-3</v>
      </c>
      <c r="U7" s="55">
        <f t="shared" ref="U7:U25" si="5">P7-I7</f>
        <v>-1.8981999999999999E-2</v>
      </c>
      <c r="V7" s="56">
        <f t="shared" ref="V7:V25" si="6">Q7-J7</f>
        <v>2.0400000000000001E-2</v>
      </c>
    </row>
    <row r="8" spans="1:25">
      <c r="A8" s="145">
        <v>3</v>
      </c>
      <c r="B8" s="141" t="s">
        <v>22</v>
      </c>
      <c r="C8" s="142" t="s">
        <v>23</v>
      </c>
      <c r="D8" s="31">
        <v>4449316347.3100004</v>
      </c>
      <c r="E8" s="28">
        <f t="shared" si="0"/>
        <v>0.104388035914402</v>
      </c>
      <c r="F8" s="31">
        <v>38.973500000000001</v>
      </c>
      <c r="G8" s="31">
        <v>40.148499999999999</v>
      </c>
      <c r="H8" s="32">
        <v>6745</v>
      </c>
      <c r="I8" s="49">
        <v>0.36149999999999999</v>
      </c>
      <c r="J8" s="49">
        <v>0.22090000000000001</v>
      </c>
      <c r="K8" s="31">
        <v>4582468361.1700001</v>
      </c>
      <c r="L8" s="28">
        <f t="shared" si="1"/>
        <v>0.1009372848909543</v>
      </c>
      <c r="M8" s="31">
        <v>40.200499999999998</v>
      </c>
      <c r="N8" s="31">
        <v>41.412599999999998</v>
      </c>
      <c r="O8" s="32">
        <v>6750</v>
      </c>
      <c r="P8" s="49">
        <v>0.16417000000000001</v>
      </c>
      <c r="Q8" s="49">
        <v>0.28570000000000001</v>
      </c>
      <c r="R8" s="54">
        <f t="shared" si="2"/>
        <v>2.9926398454562946E-2</v>
      </c>
      <c r="S8" s="54">
        <f t="shared" si="3"/>
        <v>3.1485609674084938E-2</v>
      </c>
      <c r="T8" s="54">
        <f t="shared" si="4"/>
        <v>7.4128984432913266E-4</v>
      </c>
      <c r="U8" s="55">
        <f t="shared" si="5"/>
        <v>-0.19732999999999998</v>
      </c>
      <c r="V8" s="56">
        <f t="shared" si="6"/>
        <v>6.4799999999999996E-2</v>
      </c>
      <c r="X8" s="57"/>
      <c r="Y8" s="57"/>
    </row>
    <row r="9" spans="1:25">
      <c r="A9" s="145">
        <v>4</v>
      </c>
      <c r="B9" s="141" t="s">
        <v>24</v>
      </c>
      <c r="C9" s="142" t="s">
        <v>25</v>
      </c>
      <c r="D9" s="31">
        <v>706369747.28999996</v>
      </c>
      <c r="E9" s="28">
        <f t="shared" si="0"/>
        <v>1.657255739829238E-2</v>
      </c>
      <c r="F9" s="31">
        <v>240.3811</v>
      </c>
      <c r="G9" s="31">
        <v>240.3811</v>
      </c>
      <c r="H9" s="30">
        <v>1970</v>
      </c>
      <c r="I9" s="48">
        <v>7.0000000000000001E-3</v>
      </c>
      <c r="J9" s="48">
        <v>9.7799999999999998E-2</v>
      </c>
      <c r="K9" s="31">
        <v>733190729.01999998</v>
      </c>
      <c r="L9" s="28">
        <f t="shared" si="1"/>
        <v>1.6149872876722461E-2</v>
      </c>
      <c r="M9" s="31">
        <v>246.70609999999999</v>
      </c>
      <c r="N9" s="31">
        <v>246.70609999999999</v>
      </c>
      <c r="O9" s="30">
        <v>1971</v>
      </c>
      <c r="P9" s="48">
        <v>2.63E-2</v>
      </c>
      <c r="Q9" s="48">
        <v>0.12670000000000001</v>
      </c>
      <c r="R9" s="54">
        <f t="shared" si="2"/>
        <v>3.7970173316310883E-2</v>
      </c>
      <c r="S9" s="54">
        <f t="shared" si="3"/>
        <v>2.6312384792315156E-2</v>
      </c>
      <c r="T9" s="54">
        <f t="shared" si="4"/>
        <v>5.0761421319796957E-4</v>
      </c>
      <c r="U9" s="55">
        <f t="shared" si="5"/>
        <v>1.9300000000000001E-2</v>
      </c>
      <c r="V9" s="56">
        <f t="shared" si="6"/>
        <v>2.8900000000000009E-2</v>
      </c>
    </row>
    <row r="10" spans="1:25">
      <c r="A10" s="145">
        <v>5</v>
      </c>
      <c r="B10" s="141" t="s">
        <v>26</v>
      </c>
      <c r="C10" s="142" t="s">
        <v>27</v>
      </c>
      <c r="D10" s="31">
        <v>1143743593.0799999</v>
      </c>
      <c r="E10" s="28">
        <f t="shared" si="0"/>
        <v>2.6834043244303316E-2</v>
      </c>
      <c r="F10" s="31">
        <v>1.4121999999999999</v>
      </c>
      <c r="G10" s="31">
        <v>1.4282999999999999</v>
      </c>
      <c r="H10" s="30">
        <v>522</v>
      </c>
      <c r="I10" s="48">
        <v>-8.8000000000000005E-3</v>
      </c>
      <c r="J10" s="48">
        <v>0.13930000000000001</v>
      </c>
      <c r="K10" s="31">
        <v>1190318390.24</v>
      </c>
      <c r="L10" s="28">
        <f t="shared" si="1"/>
        <v>2.6218949482483895E-2</v>
      </c>
      <c r="M10" s="31">
        <v>1.4560999999999999</v>
      </c>
      <c r="N10" s="31">
        <v>1.4718</v>
      </c>
      <c r="O10" s="30">
        <v>525</v>
      </c>
      <c r="P10" s="48">
        <v>3.0800000000000001E-2</v>
      </c>
      <c r="Q10" s="48">
        <v>0.1744</v>
      </c>
      <c r="R10" s="54">
        <f t="shared" si="2"/>
        <v>4.072136223694884E-2</v>
      </c>
      <c r="S10" s="54">
        <f t="shared" si="3"/>
        <v>3.0455786599453964E-2</v>
      </c>
      <c r="T10" s="54">
        <f t="shared" si="4"/>
        <v>5.7471264367816091E-3</v>
      </c>
      <c r="U10" s="55">
        <f t="shared" si="5"/>
        <v>3.9600000000000003E-2</v>
      </c>
      <c r="V10" s="56">
        <f t="shared" si="6"/>
        <v>3.5099999999999992E-2</v>
      </c>
    </row>
    <row r="11" spans="1:25">
      <c r="A11" s="145">
        <v>6</v>
      </c>
      <c r="B11" s="141" t="s">
        <v>28</v>
      </c>
      <c r="C11" s="142" t="s">
        <v>29</v>
      </c>
      <c r="D11" s="33">
        <v>119689352.23</v>
      </c>
      <c r="E11" s="28">
        <f t="shared" si="0"/>
        <v>2.8081025092114536E-3</v>
      </c>
      <c r="F11" s="31">
        <v>176.07040000000001</v>
      </c>
      <c r="G11" s="31">
        <v>176.9462</v>
      </c>
      <c r="H11" s="32">
        <v>74</v>
      </c>
      <c r="I11" s="49">
        <v>3.5669999999999999E-3</v>
      </c>
      <c r="J11" s="49">
        <v>0.1137</v>
      </c>
      <c r="K11" s="33">
        <v>121013727.29000001</v>
      </c>
      <c r="L11" s="28">
        <f t="shared" si="1"/>
        <v>2.6655496785728573E-3</v>
      </c>
      <c r="M11" s="31">
        <v>178.43950000000001</v>
      </c>
      <c r="N11" s="31">
        <v>179.3364</v>
      </c>
      <c r="O11" s="32">
        <v>75</v>
      </c>
      <c r="P11" s="49">
        <v>8.9759999999999996E-3</v>
      </c>
      <c r="Q11" s="49">
        <v>0.1288</v>
      </c>
      <c r="R11" s="54">
        <f t="shared" si="2"/>
        <v>1.1065103414170281E-2</v>
      </c>
      <c r="S11" s="54">
        <f t="shared" si="3"/>
        <v>1.350806064216125E-2</v>
      </c>
      <c r="T11" s="54">
        <f t="shared" si="4"/>
        <v>1.3513513513513514E-2</v>
      </c>
      <c r="U11" s="55">
        <f t="shared" si="5"/>
        <v>5.4089999999999997E-3</v>
      </c>
      <c r="V11" s="56">
        <f t="shared" si="6"/>
        <v>1.5100000000000002E-2</v>
      </c>
    </row>
    <row r="12" spans="1:25">
      <c r="A12" s="145">
        <v>7</v>
      </c>
      <c r="B12" s="141" t="s">
        <v>30</v>
      </c>
      <c r="C12" s="142" t="s">
        <v>31</v>
      </c>
      <c r="D12" s="31">
        <v>1632323846.46</v>
      </c>
      <c r="E12" s="28">
        <f t="shared" si="0"/>
        <v>3.829691283048911E-2</v>
      </c>
      <c r="F12" s="31">
        <v>395.78</v>
      </c>
      <c r="G12" s="31">
        <v>400.98</v>
      </c>
      <c r="H12" s="32">
        <v>1681</v>
      </c>
      <c r="I12" s="49">
        <v>1.2699999999999999E-2</v>
      </c>
      <c r="J12" s="49">
        <v>0.2223</v>
      </c>
      <c r="K12" s="31">
        <v>1750173402.99</v>
      </c>
      <c r="L12" s="28">
        <f t="shared" si="1"/>
        <v>3.8550784743676479E-2</v>
      </c>
      <c r="M12" s="31">
        <v>409.58</v>
      </c>
      <c r="N12" s="31">
        <v>414.83</v>
      </c>
      <c r="O12" s="32">
        <v>1682</v>
      </c>
      <c r="P12" s="49">
        <v>3.4700000000000002E-2</v>
      </c>
      <c r="Q12" s="49">
        <v>0.26490000000000002</v>
      </c>
      <c r="R12" s="54">
        <f t="shared" si="2"/>
        <v>7.2197411552602633E-2</v>
      </c>
      <c r="S12" s="54">
        <f t="shared" si="3"/>
        <v>3.4540376078607327E-2</v>
      </c>
      <c r="T12" s="54">
        <f t="shared" si="4"/>
        <v>5.9488399762046404E-4</v>
      </c>
      <c r="U12" s="55">
        <f t="shared" si="5"/>
        <v>2.2000000000000002E-2</v>
      </c>
      <c r="V12" s="56">
        <f t="shared" si="6"/>
        <v>4.2600000000000027E-2</v>
      </c>
    </row>
    <row r="13" spans="1:25">
      <c r="A13" s="145">
        <v>8</v>
      </c>
      <c r="B13" s="141" t="s">
        <v>32</v>
      </c>
      <c r="C13" s="142" t="s">
        <v>33</v>
      </c>
      <c r="D13" s="27">
        <v>461002380.04000002</v>
      </c>
      <c r="E13" s="28">
        <f t="shared" si="0"/>
        <v>1.0815848828850965E-2</v>
      </c>
      <c r="F13" s="31">
        <v>229.74</v>
      </c>
      <c r="G13" s="31">
        <v>240.35</v>
      </c>
      <c r="H13" s="30">
        <v>2469</v>
      </c>
      <c r="I13" s="48">
        <v>4.0149999999999998E-2</v>
      </c>
      <c r="J13" s="48">
        <v>8.48E-2</v>
      </c>
      <c r="K13" s="27">
        <v>451534487.33600003</v>
      </c>
      <c r="L13" s="28">
        <f t="shared" si="1"/>
        <v>9.9458766747902126E-3</v>
      </c>
      <c r="M13" s="31">
        <v>225.02</v>
      </c>
      <c r="N13" s="31">
        <v>235.27</v>
      </c>
      <c r="O13" s="30">
        <v>2469</v>
      </c>
      <c r="P13" s="48">
        <v>-2.0500000000000001E-2</v>
      </c>
      <c r="Q13" s="48">
        <v>6.25E-2</v>
      </c>
      <c r="R13" s="54">
        <f t="shared" si="2"/>
        <v>-2.0537622177088308E-2</v>
      </c>
      <c r="S13" s="54">
        <f t="shared" si="3"/>
        <v>-2.1135843561472786E-2</v>
      </c>
      <c r="T13" s="54">
        <f t="shared" si="4"/>
        <v>0</v>
      </c>
      <c r="U13" s="55">
        <f t="shared" si="5"/>
        <v>-6.0649999999999996E-2</v>
      </c>
      <c r="V13" s="56">
        <f t="shared" si="6"/>
        <v>-2.23E-2</v>
      </c>
    </row>
    <row r="14" spans="1:25">
      <c r="A14" s="145">
        <v>9</v>
      </c>
      <c r="B14" s="141" t="s">
        <v>34</v>
      </c>
      <c r="C14" s="142" t="s">
        <v>35</v>
      </c>
      <c r="D14" s="33">
        <v>72286979.640400007</v>
      </c>
      <c r="E14" s="28">
        <f t="shared" si="0"/>
        <v>1.6959674785560874E-3</v>
      </c>
      <c r="F14" s="31">
        <v>255.51</v>
      </c>
      <c r="G14" s="31">
        <v>263.45999999999998</v>
      </c>
      <c r="H14" s="30">
        <v>18</v>
      </c>
      <c r="I14" s="48">
        <v>-3.3999999999999998E-3</v>
      </c>
      <c r="J14" s="48">
        <v>0.15620000000000001</v>
      </c>
      <c r="K14" s="33">
        <v>73379535.419699997</v>
      </c>
      <c r="L14" s="28">
        <f t="shared" si="1"/>
        <v>1.6163190857106185E-3</v>
      </c>
      <c r="M14" s="31">
        <v>259.35000000000002</v>
      </c>
      <c r="N14" s="31">
        <v>267.45999999999998</v>
      </c>
      <c r="O14" s="30">
        <v>18</v>
      </c>
      <c r="P14" s="48">
        <v>1.5100000000000001E-2</v>
      </c>
      <c r="Q14" s="48">
        <v>0.1736</v>
      </c>
      <c r="R14" s="54">
        <f t="shared" si="2"/>
        <v>1.5114143442360371E-2</v>
      </c>
      <c r="S14" s="54">
        <f t="shared" si="3"/>
        <v>1.5182570409170273E-2</v>
      </c>
      <c r="T14" s="54">
        <f t="shared" si="4"/>
        <v>0</v>
      </c>
      <c r="U14" s="55">
        <f t="shared" si="5"/>
        <v>1.8499999999999999E-2</v>
      </c>
      <c r="V14" s="56">
        <f t="shared" si="6"/>
        <v>1.7399999999999999E-2</v>
      </c>
    </row>
    <row r="15" spans="1:25" ht="14.25" customHeight="1">
      <c r="A15" s="145">
        <v>10</v>
      </c>
      <c r="B15" s="141" t="s">
        <v>36</v>
      </c>
      <c r="C15" s="142" t="s">
        <v>37</v>
      </c>
      <c r="D15" s="27">
        <v>1078790883.1700001</v>
      </c>
      <c r="E15" s="28">
        <f t="shared" si="0"/>
        <v>2.5310149395100602E-2</v>
      </c>
      <c r="F15" s="31">
        <v>3.0503100000000001</v>
      </c>
      <c r="G15" s="31">
        <v>3.0785559999999998</v>
      </c>
      <c r="H15" s="30">
        <v>629</v>
      </c>
      <c r="I15" s="48">
        <v>1.7395019673752898E-2</v>
      </c>
      <c r="J15" s="48">
        <v>0.45622669378951408</v>
      </c>
      <c r="K15" s="27">
        <v>1086140631.1500001</v>
      </c>
      <c r="L15" s="28">
        <f t="shared" si="1"/>
        <v>2.3924242935752012E-2</v>
      </c>
      <c r="M15" s="31">
        <v>3.0227529999999998</v>
      </c>
      <c r="N15" s="31">
        <v>3.046465</v>
      </c>
      <c r="O15" s="30">
        <v>644</v>
      </c>
      <c r="P15" s="48">
        <v>-9.0341637407346242E-3</v>
      </c>
      <c r="Q15" s="48">
        <v>0.44307090339419108</v>
      </c>
      <c r="R15" s="54">
        <f t="shared" si="2"/>
        <v>6.8129496593472942E-3</v>
      </c>
      <c r="S15" s="54">
        <f t="shared" si="3"/>
        <v>-1.0424042960400873E-2</v>
      </c>
      <c r="T15" s="54">
        <f t="shared" si="4"/>
        <v>2.3847376788553261E-2</v>
      </c>
      <c r="U15" s="55">
        <f t="shared" si="5"/>
        <v>-2.6429183414487523E-2</v>
      </c>
      <c r="V15" s="56">
        <f t="shared" si="6"/>
        <v>-1.3155790395322997E-2</v>
      </c>
    </row>
    <row r="16" spans="1:25" ht="14.25" customHeight="1">
      <c r="A16" s="145">
        <v>11</v>
      </c>
      <c r="B16" s="141" t="s">
        <v>38</v>
      </c>
      <c r="C16" s="142" t="s">
        <v>39</v>
      </c>
      <c r="D16" s="27">
        <v>41130942.859999999</v>
      </c>
      <c r="E16" s="28">
        <f t="shared" si="0"/>
        <v>9.6499731763481796E-4</v>
      </c>
      <c r="F16" s="31">
        <v>17.25</v>
      </c>
      <c r="G16" s="31">
        <v>17.82</v>
      </c>
      <c r="H16" s="30">
        <v>29</v>
      </c>
      <c r="I16" s="48">
        <v>5.1999999999999998E-3</v>
      </c>
      <c r="J16" s="48">
        <v>0.72</v>
      </c>
      <c r="K16" s="27">
        <v>42009567.710000001</v>
      </c>
      <c r="L16" s="28">
        <f t="shared" si="1"/>
        <v>9.2533791177282882E-4</v>
      </c>
      <c r="M16" s="31">
        <v>17.62</v>
      </c>
      <c r="N16" s="31">
        <v>18.2</v>
      </c>
      <c r="O16" s="30">
        <v>29</v>
      </c>
      <c r="P16" s="48">
        <v>2.07E-2</v>
      </c>
      <c r="Q16" s="48">
        <v>0.76</v>
      </c>
      <c r="R16" s="54">
        <f t="shared" ref="R16" si="7">((K16-D16)/D16)</f>
        <v>2.1361651080808741E-2</v>
      </c>
      <c r="S16" s="54">
        <f t="shared" ref="S16" si="8">((N16-G16)/G16)</f>
        <v>2.1324354657687936E-2</v>
      </c>
      <c r="T16" s="54">
        <f t="shared" ref="T16" si="9">((O16-H16)/H16)</f>
        <v>0</v>
      </c>
      <c r="U16" s="55">
        <f t="shared" ref="U16" si="10">P16-I16</f>
        <v>1.55E-2</v>
      </c>
      <c r="V16" s="56">
        <f t="shared" ref="V16" si="11">Q16-J16</f>
        <v>4.0000000000000036E-2</v>
      </c>
    </row>
    <row r="17" spans="1:22">
      <c r="A17" s="145">
        <v>12</v>
      </c>
      <c r="B17" s="141" t="s">
        <v>40</v>
      </c>
      <c r="C17" s="142" t="s">
        <v>41</v>
      </c>
      <c r="D17" s="126">
        <v>2051054103.6300001</v>
      </c>
      <c r="E17" s="28">
        <f t="shared" si="0"/>
        <v>4.8120990444196106E-2</v>
      </c>
      <c r="F17" s="31">
        <v>4.18</v>
      </c>
      <c r="G17" s="31">
        <v>4.2699999999999996</v>
      </c>
      <c r="H17" s="30">
        <v>3649</v>
      </c>
      <c r="I17" s="48">
        <v>-1.11E-2</v>
      </c>
      <c r="J17" s="48">
        <v>0.1487</v>
      </c>
      <c r="K17" s="126">
        <v>2108153626.0999999</v>
      </c>
      <c r="L17" s="28">
        <f t="shared" si="1"/>
        <v>4.6435956864353339E-2</v>
      </c>
      <c r="M17" s="31">
        <v>4.3</v>
      </c>
      <c r="N17" s="31">
        <v>4.3899999999999997</v>
      </c>
      <c r="O17" s="30">
        <v>3648</v>
      </c>
      <c r="P17" s="48">
        <v>1.89E-2</v>
      </c>
      <c r="Q17" s="48">
        <v>0.1825</v>
      </c>
      <c r="R17" s="54">
        <f t="shared" si="2"/>
        <v>2.7839110810847854E-2</v>
      </c>
      <c r="S17" s="54">
        <f t="shared" si="3"/>
        <v>2.8103044496487147E-2</v>
      </c>
      <c r="T17" s="54">
        <f t="shared" si="4"/>
        <v>-2.7404768429706771E-4</v>
      </c>
      <c r="U17" s="55">
        <f t="shared" si="5"/>
        <v>0.03</v>
      </c>
      <c r="V17" s="56">
        <f t="shared" si="6"/>
        <v>3.3799999999999997E-2</v>
      </c>
    </row>
    <row r="18" spans="1:22">
      <c r="A18" s="145">
        <v>13</v>
      </c>
      <c r="B18" s="141" t="s">
        <v>42</v>
      </c>
      <c r="C18" s="142" t="s">
        <v>43</v>
      </c>
      <c r="D18" s="31">
        <v>1038368330.39</v>
      </c>
      <c r="E18" s="28">
        <f t="shared" si="0"/>
        <v>2.4361772035081775E-2</v>
      </c>
      <c r="F18" s="31">
        <v>27.14</v>
      </c>
      <c r="G18" s="31">
        <v>27.27</v>
      </c>
      <c r="H18" s="30">
        <v>491</v>
      </c>
      <c r="I18" s="48">
        <v>6.0000000000000001E-3</v>
      </c>
      <c r="J18" s="48">
        <v>0.16259999999999999</v>
      </c>
      <c r="K18" s="31">
        <v>1063841370.75</v>
      </c>
      <c r="L18" s="28">
        <f t="shared" si="1"/>
        <v>2.3433060755657768E-2</v>
      </c>
      <c r="M18" s="31">
        <v>27.851375999999998</v>
      </c>
      <c r="N18" s="31">
        <v>27.99005</v>
      </c>
      <c r="O18" s="30">
        <v>504</v>
      </c>
      <c r="P18" s="48">
        <v>2.6100000000000002E-2</v>
      </c>
      <c r="Q18" s="48">
        <v>0.1918</v>
      </c>
      <c r="R18" s="54">
        <f t="shared" si="2"/>
        <v>2.4531796294704609E-2</v>
      </c>
      <c r="S18" s="54">
        <f t="shared" si="3"/>
        <v>2.6404473780711424E-2</v>
      </c>
      <c r="T18" s="54">
        <f t="shared" si="4"/>
        <v>2.6476578411405296E-2</v>
      </c>
      <c r="U18" s="55">
        <f t="shared" si="5"/>
        <v>2.01E-2</v>
      </c>
      <c r="V18" s="56">
        <f t="shared" si="6"/>
        <v>2.9200000000000004E-2</v>
      </c>
    </row>
    <row r="19" spans="1:22">
      <c r="A19" s="145">
        <v>14</v>
      </c>
      <c r="B19" s="141" t="s">
        <v>44</v>
      </c>
      <c r="C19" s="142" t="s">
        <v>45</v>
      </c>
      <c r="D19" s="31">
        <v>138677138.69</v>
      </c>
      <c r="E19" s="28">
        <f t="shared" si="0"/>
        <v>3.2535861701158591E-3</v>
      </c>
      <c r="F19" s="31">
        <v>1.508953</v>
      </c>
      <c r="G19" s="31">
        <v>1.5736460000000001</v>
      </c>
      <c r="H19" s="30">
        <v>22</v>
      </c>
      <c r="I19" s="48">
        <v>1.14E-2</v>
      </c>
      <c r="J19" s="48">
        <v>8.5000000000000006E-2</v>
      </c>
      <c r="K19" s="31">
        <v>141695519.63</v>
      </c>
      <c r="L19" s="28">
        <f t="shared" si="1"/>
        <v>3.1211041529184557E-3</v>
      </c>
      <c r="M19" s="31">
        <v>1.5417959999999999</v>
      </c>
      <c r="N19" s="31">
        <v>1.607151</v>
      </c>
      <c r="O19" s="30">
        <v>22</v>
      </c>
      <c r="P19" s="48">
        <v>3.56E-2</v>
      </c>
      <c r="Q19" s="48">
        <v>0.1084</v>
      </c>
      <c r="R19" s="54">
        <f t="shared" si="2"/>
        <v>2.1765526520901985E-2</v>
      </c>
      <c r="S19" s="54">
        <f t="shared" si="3"/>
        <v>2.1291319648764649E-2</v>
      </c>
      <c r="T19" s="54">
        <f t="shared" si="4"/>
        <v>0</v>
      </c>
      <c r="U19" s="55">
        <f t="shared" si="5"/>
        <v>2.4199999999999999E-2</v>
      </c>
      <c r="V19" s="56">
        <f t="shared" si="6"/>
        <v>2.339999999999999E-2</v>
      </c>
    </row>
    <row r="20" spans="1:22">
      <c r="A20" s="145">
        <v>15</v>
      </c>
      <c r="B20" s="141" t="s">
        <v>46</v>
      </c>
      <c r="C20" s="142" t="s">
        <v>47</v>
      </c>
      <c r="D20" s="27">
        <v>3663037276.71</v>
      </c>
      <c r="E20" s="28">
        <f t="shared" si="0"/>
        <v>8.5940678735549378E-2</v>
      </c>
      <c r="F20" s="31">
        <v>40.119999999999997</v>
      </c>
      <c r="G20" s="31">
        <v>40.270000000000003</v>
      </c>
      <c r="H20" s="30">
        <v>8944</v>
      </c>
      <c r="I20" s="48">
        <v>-6.0000000000000001E-3</v>
      </c>
      <c r="J20" s="48">
        <v>0.27450000000000002</v>
      </c>
      <c r="K20" s="27">
        <v>3975618458.4899998</v>
      </c>
      <c r="L20" s="28">
        <f t="shared" si="1"/>
        <v>8.7570300836705486E-2</v>
      </c>
      <c r="M20" s="31">
        <v>42.11</v>
      </c>
      <c r="N20" s="31">
        <v>42.28</v>
      </c>
      <c r="O20" s="30">
        <v>8944</v>
      </c>
      <c r="P20" s="48">
        <v>5.1400000000000001E-2</v>
      </c>
      <c r="Q20" s="48">
        <v>0.33979999999999999</v>
      </c>
      <c r="R20" s="54">
        <f t="shared" si="2"/>
        <v>8.5333879556024658E-2</v>
      </c>
      <c r="S20" s="54">
        <f t="shared" si="3"/>
        <v>4.9913086665011118E-2</v>
      </c>
      <c r="T20" s="54">
        <f t="shared" si="4"/>
        <v>0</v>
      </c>
      <c r="U20" s="55">
        <f t="shared" si="5"/>
        <v>5.74E-2</v>
      </c>
      <c r="V20" s="56">
        <f t="shared" si="6"/>
        <v>6.5299999999999969E-2</v>
      </c>
    </row>
    <row r="21" spans="1:22" ht="12.75" customHeight="1">
      <c r="A21" s="145">
        <v>16</v>
      </c>
      <c r="B21" s="141" t="s">
        <v>48</v>
      </c>
      <c r="C21" s="142" t="s">
        <v>49</v>
      </c>
      <c r="D21" s="31">
        <v>1048727744.89</v>
      </c>
      <c r="E21" s="28">
        <f t="shared" si="0"/>
        <v>2.4604820370705736E-2</v>
      </c>
      <c r="F21" s="31">
        <v>9899.58</v>
      </c>
      <c r="G21" s="31">
        <v>10026.290000000001</v>
      </c>
      <c r="H21" s="30">
        <v>23</v>
      </c>
      <c r="I21" s="48">
        <v>7.1000000000000004E-3</v>
      </c>
      <c r="J21" s="48">
        <v>0.2361</v>
      </c>
      <c r="K21" s="31">
        <v>1111984427.26</v>
      </c>
      <c r="L21" s="28">
        <f t="shared" si="1"/>
        <v>2.4493500027131639E-2</v>
      </c>
      <c r="M21" s="31">
        <v>10076.09</v>
      </c>
      <c r="N21" s="31">
        <v>10201.049999999999</v>
      </c>
      <c r="O21" s="30">
        <v>24</v>
      </c>
      <c r="P21" s="48">
        <v>1.7399999999999999E-2</v>
      </c>
      <c r="Q21" s="48">
        <v>0.25769999999999998</v>
      </c>
      <c r="R21" s="54">
        <f t="shared" si="2"/>
        <v>6.0317544451572544E-2</v>
      </c>
      <c r="S21" s="54">
        <f t="shared" si="3"/>
        <v>1.7430176067119382E-2</v>
      </c>
      <c r="T21" s="54">
        <f t="shared" si="4"/>
        <v>4.3478260869565216E-2</v>
      </c>
      <c r="U21" s="55">
        <f t="shared" si="5"/>
        <v>1.0299999999999998E-2</v>
      </c>
      <c r="V21" s="56">
        <f t="shared" si="6"/>
        <v>2.159999999999998E-2</v>
      </c>
    </row>
    <row r="22" spans="1:22">
      <c r="A22" s="145">
        <v>17</v>
      </c>
      <c r="B22" s="141" t="s">
        <v>50</v>
      </c>
      <c r="C22" s="142" t="s">
        <v>49</v>
      </c>
      <c r="D22" s="31">
        <v>15498685728.83</v>
      </c>
      <c r="E22" s="28">
        <f t="shared" si="0"/>
        <v>0.36362381008607841</v>
      </c>
      <c r="F22" s="31">
        <v>30565.62</v>
      </c>
      <c r="G22" s="31">
        <v>31011.96</v>
      </c>
      <c r="H22" s="30">
        <v>17837</v>
      </c>
      <c r="I22" s="48">
        <v>1.18E-2</v>
      </c>
      <c r="J22" s="48">
        <v>0.20660000000000001</v>
      </c>
      <c r="K22" s="31">
        <v>16049591505.27</v>
      </c>
      <c r="L22" s="28">
        <f t="shared" si="1"/>
        <v>0.35352174035245443</v>
      </c>
      <c r="M22" s="31">
        <v>31593.599999999999</v>
      </c>
      <c r="N22" s="31">
        <v>32055.21</v>
      </c>
      <c r="O22" s="30">
        <v>17856</v>
      </c>
      <c r="P22" s="48">
        <v>3.3599999999999998E-2</v>
      </c>
      <c r="Q22" s="48">
        <v>0.2472</v>
      </c>
      <c r="R22" s="54">
        <f t="shared" si="2"/>
        <v>3.5545322105294958E-2</v>
      </c>
      <c r="S22" s="54">
        <f t="shared" si="3"/>
        <v>3.3640247182054925E-2</v>
      </c>
      <c r="T22" s="54">
        <f t="shared" si="4"/>
        <v>1.0652015473454055E-3</v>
      </c>
      <c r="U22" s="55">
        <f t="shared" si="5"/>
        <v>2.18E-2</v>
      </c>
      <c r="V22" s="56">
        <f t="shared" si="6"/>
        <v>4.0599999999999997E-2</v>
      </c>
    </row>
    <row r="23" spans="1:22">
      <c r="A23" s="145">
        <v>18</v>
      </c>
      <c r="B23" s="142" t="s">
        <v>51</v>
      </c>
      <c r="C23" s="142" t="s">
        <v>52</v>
      </c>
      <c r="D23" s="31">
        <v>3767905817.8299999</v>
      </c>
      <c r="E23" s="28">
        <f t="shared" ref="E23" si="12">(D23/$D$25)</f>
        <v>8.8401061451052157E-2</v>
      </c>
      <c r="F23" s="31">
        <v>1.4803999999999999</v>
      </c>
      <c r="G23" s="29">
        <v>1.4976</v>
      </c>
      <c r="H23" s="30">
        <v>4926</v>
      </c>
      <c r="I23" s="48">
        <v>1.0200000000000001E-2</v>
      </c>
      <c r="J23" s="48">
        <v>0.17760000000000001</v>
      </c>
      <c r="K23" s="31">
        <v>4503316733.1499996</v>
      </c>
      <c r="L23" s="28">
        <f t="shared" ref="L23" si="13">(K23/$K$25)</f>
        <v>9.9193824860823773E-2</v>
      </c>
      <c r="M23" s="31">
        <v>1.5288999999999999</v>
      </c>
      <c r="N23" s="29">
        <v>1.5443</v>
      </c>
      <c r="O23" s="30">
        <v>4947</v>
      </c>
      <c r="P23" s="48">
        <v>3.2800000000000003E-2</v>
      </c>
      <c r="Q23" s="48">
        <v>0.21010000000000001</v>
      </c>
      <c r="R23" s="54">
        <f t="shared" ref="R23" si="14">((K23-D23)/D23)</f>
        <v>0.19517762674427333</v>
      </c>
      <c r="S23" s="54">
        <f t="shared" ref="S23" si="15">((N23-G23)/G23)</f>
        <v>3.1183226495726472E-2</v>
      </c>
      <c r="T23" s="54">
        <f t="shared" ref="T23" si="16">((O23-H23)/H23)</f>
        <v>4.2630937880633376E-3</v>
      </c>
      <c r="U23" s="55">
        <f t="shared" ref="U23" si="17">P23-I23</f>
        <v>2.2600000000000002E-2</v>
      </c>
      <c r="V23" s="56">
        <f t="shared" ref="V23" si="18">Q23-J23</f>
        <v>3.2500000000000001E-2</v>
      </c>
    </row>
    <row r="24" spans="1:22">
      <c r="A24" s="145">
        <v>19</v>
      </c>
      <c r="B24" s="142" t="s">
        <v>292</v>
      </c>
      <c r="C24" s="142" t="s">
        <v>293</v>
      </c>
      <c r="D24" s="31">
        <v>3153896539</v>
      </c>
      <c r="E24" s="28">
        <f>(D24/$D$25)</f>
        <v>7.3995427495841662E-2</v>
      </c>
      <c r="F24" s="31">
        <v>158.26</v>
      </c>
      <c r="G24" s="29">
        <v>164.03</v>
      </c>
      <c r="H24" s="30">
        <v>36</v>
      </c>
      <c r="I24" s="48">
        <v>9.5999999999999992E-3</v>
      </c>
      <c r="J24" s="48">
        <v>0.31609999999999999</v>
      </c>
      <c r="K24" s="31">
        <v>3749025807.2600002</v>
      </c>
      <c r="L24" s="28">
        <f>(K24/$K$25)</f>
        <v>8.257918138125997E-2</v>
      </c>
      <c r="M24" s="31">
        <v>165.26</v>
      </c>
      <c r="N24" s="29">
        <v>171.1</v>
      </c>
      <c r="O24" s="30">
        <v>37</v>
      </c>
      <c r="P24" s="48">
        <v>4.5699999999999998E-2</v>
      </c>
      <c r="Q24" s="48">
        <v>0.37330000000000002</v>
      </c>
      <c r="R24" s="54">
        <f t="shared" si="2"/>
        <v>0.18869650950842437</v>
      </c>
      <c r="S24" s="54">
        <f t="shared" si="3"/>
        <v>4.3101871608851997E-2</v>
      </c>
      <c r="T24" s="54">
        <f t="shared" si="4"/>
        <v>2.7777777777777776E-2</v>
      </c>
      <c r="U24" s="55">
        <f t="shared" si="5"/>
        <v>3.61E-2</v>
      </c>
      <c r="V24" s="56">
        <f t="shared" si="6"/>
        <v>5.7200000000000029E-2</v>
      </c>
    </row>
    <row r="25" spans="1:22">
      <c r="A25" s="34"/>
      <c r="B25" s="35"/>
      <c r="C25" s="36" t="s">
        <v>53</v>
      </c>
      <c r="D25" s="37">
        <f>SUM(D6:D24)</f>
        <v>42622857191.780403</v>
      </c>
      <c r="E25" s="38">
        <f>(D25/$D$222)</f>
        <v>7.4267831973564204E-3</v>
      </c>
      <c r="F25" s="39"/>
      <c r="G25" s="40"/>
      <c r="H25" s="41">
        <f>SUM(H6:H24)</f>
        <v>52251</v>
      </c>
      <c r="I25" s="50"/>
      <c r="J25" s="30">
        <v>0</v>
      </c>
      <c r="K25" s="37">
        <f>SUM(K6:K24)</f>
        <v>45399164105.915703</v>
      </c>
      <c r="L25" s="38">
        <f>(K25/$K$222)</f>
        <v>7.8566053597759061E-3</v>
      </c>
      <c r="M25" s="39"/>
      <c r="N25" s="40"/>
      <c r="O25" s="41">
        <f>SUM(O6:O24)</f>
        <v>52333</v>
      </c>
      <c r="P25" s="50"/>
      <c r="Q25" s="41"/>
      <c r="R25" s="54">
        <f t="shared" si="2"/>
        <v>6.513657452956241E-2</v>
      </c>
      <c r="S25" s="54" t="e">
        <f t="shared" si="3"/>
        <v>#DIV/0!</v>
      </c>
      <c r="T25" s="54">
        <f t="shared" si="4"/>
        <v>1.569347955063061E-3</v>
      </c>
      <c r="U25" s="55">
        <f t="shared" si="5"/>
        <v>0</v>
      </c>
      <c r="V25" s="56">
        <f t="shared" si="6"/>
        <v>0</v>
      </c>
    </row>
    <row r="26" spans="1:22" ht="4.5" customHeight="1">
      <c r="A26" s="34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</row>
    <row r="27" spans="1:22" ht="15" customHeight="1">
      <c r="A27" s="180" t="s">
        <v>54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</row>
    <row r="28" spans="1:22">
      <c r="A28" s="143">
        <v>20</v>
      </c>
      <c r="B28" s="141" t="s">
        <v>55</v>
      </c>
      <c r="C28" s="142" t="s">
        <v>19</v>
      </c>
      <c r="D28" s="42">
        <v>3593702338.6300001</v>
      </c>
      <c r="E28" s="28">
        <f t="shared" ref="E28:E33" si="19">(D28/$K$69)</f>
        <v>1.1543556280140877E-3</v>
      </c>
      <c r="F28" s="29">
        <v>100</v>
      </c>
      <c r="G28" s="29">
        <v>100</v>
      </c>
      <c r="H28" s="30">
        <v>851</v>
      </c>
      <c r="I28" s="48">
        <v>0.17660000000000001</v>
      </c>
      <c r="J28" s="48">
        <v>0.17660000000000001</v>
      </c>
      <c r="K28" s="42">
        <v>3635693861.75</v>
      </c>
      <c r="L28" s="28">
        <f t="shared" ref="L28:L33" si="20">(K28/$K$69)</f>
        <v>1.1678439880603276E-3</v>
      </c>
      <c r="M28" s="29">
        <v>100</v>
      </c>
      <c r="N28" s="29">
        <v>100</v>
      </c>
      <c r="O28" s="30">
        <v>851</v>
      </c>
      <c r="P28" s="48">
        <v>0.1804</v>
      </c>
      <c r="Q28" s="48">
        <v>0.1804</v>
      </c>
      <c r="R28" s="54">
        <f>((K28-D28)/D28)</f>
        <v>1.1684752704367829E-2</v>
      </c>
      <c r="S28" s="54">
        <f>((N28-G28)/G28)</f>
        <v>0</v>
      </c>
      <c r="T28" s="54">
        <f>((O28-H28)/H28)</f>
        <v>0</v>
      </c>
      <c r="U28" s="55">
        <f>P28-I28</f>
        <v>3.7999999999999978E-3</v>
      </c>
      <c r="V28" s="56">
        <f>Q28-J28</f>
        <v>3.7999999999999978E-3</v>
      </c>
    </row>
    <row r="29" spans="1:22">
      <c r="A29" s="143">
        <v>21</v>
      </c>
      <c r="B29" s="141" t="s">
        <v>56</v>
      </c>
      <c r="C29" s="142" t="s">
        <v>57</v>
      </c>
      <c r="D29" s="42">
        <v>21607496587.799999</v>
      </c>
      <c r="E29" s="28">
        <f t="shared" si="19"/>
        <v>6.9406792614134134E-3</v>
      </c>
      <c r="F29" s="29">
        <v>100</v>
      </c>
      <c r="G29" s="29">
        <v>100</v>
      </c>
      <c r="H29" s="30">
        <v>2915</v>
      </c>
      <c r="I29" s="48">
        <v>0.21001400000000001</v>
      </c>
      <c r="J29" s="48">
        <v>0.21001400000000001</v>
      </c>
      <c r="K29" s="42">
        <v>21908974265.630001</v>
      </c>
      <c r="L29" s="28">
        <f t="shared" si="20"/>
        <v>7.037518793831769E-3</v>
      </c>
      <c r="M29" s="29">
        <v>100</v>
      </c>
      <c r="N29" s="29">
        <v>100</v>
      </c>
      <c r="O29" s="30">
        <v>2940</v>
      </c>
      <c r="P29" s="48">
        <v>0.211289</v>
      </c>
      <c r="Q29" s="48">
        <v>0.211289</v>
      </c>
      <c r="R29" s="54">
        <f t="shared" ref="R29:R69" si="21">((K29-D29)/D29)</f>
        <v>1.395245750033911E-2</v>
      </c>
      <c r="S29" s="54">
        <f t="shared" ref="S29:S69" si="22">((N29-G29)/G29)</f>
        <v>0</v>
      </c>
      <c r="T29" s="54">
        <f t="shared" ref="T29:T69" si="23">((O29-H29)/H29)</f>
        <v>8.5763293310463125E-3</v>
      </c>
      <c r="U29" s="55">
        <f t="shared" ref="U29:U69" si="24">P29-I29</f>
        <v>1.2749999999999984E-3</v>
      </c>
      <c r="V29" s="56">
        <f t="shared" ref="V29:V69" si="25">Q29-J29</f>
        <v>1.2749999999999984E-3</v>
      </c>
    </row>
    <row r="30" spans="1:22">
      <c r="A30" s="143">
        <v>22</v>
      </c>
      <c r="B30" s="141" t="s">
        <v>58</v>
      </c>
      <c r="C30" s="142" t="s">
        <v>21</v>
      </c>
      <c r="D30" s="42">
        <v>2185391105</v>
      </c>
      <c r="E30" s="28">
        <f t="shared" si="19"/>
        <v>7.0198315935937898E-4</v>
      </c>
      <c r="F30" s="29">
        <v>100</v>
      </c>
      <c r="G30" s="29">
        <v>100</v>
      </c>
      <c r="H30" s="30">
        <v>2018</v>
      </c>
      <c r="I30" s="48">
        <v>0.1968</v>
      </c>
      <c r="J30" s="48">
        <v>0.1968</v>
      </c>
      <c r="K30" s="42">
        <v>2383744294.6199999</v>
      </c>
      <c r="L30" s="28">
        <f t="shared" si="20"/>
        <v>7.6569742926735384E-4</v>
      </c>
      <c r="M30" s="29">
        <v>100</v>
      </c>
      <c r="N30" s="29">
        <v>100</v>
      </c>
      <c r="O30" s="30">
        <v>2024</v>
      </c>
      <c r="P30" s="48">
        <v>0.20469999999999999</v>
      </c>
      <c r="Q30" s="48">
        <v>0.20469999999999999</v>
      </c>
      <c r="R30" s="54">
        <f t="shared" si="21"/>
        <v>9.0763245611361579E-2</v>
      </c>
      <c r="S30" s="54">
        <f t="shared" si="22"/>
        <v>0</v>
      </c>
      <c r="T30" s="54">
        <f t="shared" si="23"/>
        <v>2.973240832507433E-3</v>
      </c>
      <c r="U30" s="55">
        <f t="shared" si="24"/>
        <v>7.8999999999999904E-3</v>
      </c>
      <c r="V30" s="56">
        <f t="shared" si="25"/>
        <v>7.8999999999999904E-3</v>
      </c>
    </row>
    <row r="31" spans="1:22">
      <c r="A31" s="143">
        <v>23</v>
      </c>
      <c r="B31" s="141" t="s">
        <v>59</v>
      </c>
      <c r="C31" s="142" t="s">
        <v>23</v>
      </c>
      <c r="D31" s="42">
        <v>215948047896.04001</v>
      </c>
      <c r="E31" s="28">
        <f t="shared" si="19"/>
        <v>6.9366024494527556E-2</v>
      </c>
      <c r="F31" s="29">
        <v>1</v>
      </c>
      <c r="G31" s="29">
        <v>1</v>
      </c>
      <c r="H31" s="30">
        <v>70655</v>
      </c>
      <c r="I31" s="48">
        <v>0.22059999999999999</v>
      </c>
      <c r="J31" s="48">
        <v>0.22059999999999999</v>
      </c>
      <c r="K31" s="42">
        <v>218503907470.85999</v>
      </c>
      <c r="L31" s="28">
        <f t="shared" si="20"/>
        <v>7.0187008150545072E-2</v>
      </c>
      <c r="M31" s="29">
        <v>1</v>
      </c>
      <c r="N31" s="29">
        <v>1</v>
      </c>
      <c r="O31" s="30">
        <v>70950</v>
      </c>
      <c r="P31" s="48">
        <v>0.2238</v>
      </c>
      <c r="Q31" s="48">
        <v>0.2238</v>
      </c>
      <c r="R31" s="54">
        <f t="shared" si="21"/>
        <v>1.1835529886569747E-2</v>
      </c>
      <c r="S31" s="54">
        <f t="shared" si="22"/>
        <v>0</v>
      </c>
      <c r="T31" s="54">
        <f t="shared" si="23"/>
        <v>4.1752176066803485E-3</v>
      </c>
      <c r="U31" s="55">
        <f t="shared" si="24"/>
        <v>3.2000000000000084E-3</v>
      </c>
      <c r="V31" s="56">
        <f t="shared" si="25"/>
        <v>3.2000000000000084E-3</v>
      </c>
    </row>
    <row r="32" spans="1:22">
      <c r="A32" s="143">
        <v>24</v>
      </c>
      <c r="B32" s="141" t="s">
        <v>301</v>
      </c>
      <c r="C32" s="142" t="s">
        <v>115</v>
      </c>
      <c r="D32" s="42">
        <v>1000525849.4</v>
      </c>
      <c r="E32" s="28">
        <f t="shared" si="19"/>
        <v>3.2138517228134234E-4</v>
      </c>
      <c r="F32" s="29">
        <v>1</v>
      </c>
      <c r="G32" s="29">
        <v>1</v>
      </c>
      <c r="H32" s="30">
        <v>290</v>
      </c>
      <c r="I32" s="48">
        <v>0.2016</v>
      </c>
      <c r="J32" s="48">
        <v>0.2016</v>
      </c>
      <c r="K32" s="42">
        <v>993872882</v>
      </c>
      <c r="L32" s="28">
        <f t="shared" si="20"/>
        <v>3.1924813096920299E-4</v>
      </c>
      <c r="M32" s="29">
        <v>1</v>
      </c>
      <c r="N32" s="29">
        <v>1</v>
      </c>
      <c r="O32" s="30">
        <v>290</v>
      </c>
      <c r="P32" s="48">
        <v>0.2036</v>
      </c>
      <c r="Q32" s="48">
        <v>0.2036</v>
      </c>
      <c r="R32" s="54">
        <f t="shared" si="21"/>
        <v>-6.6494707797801113E-3</v>
      </c>
      <c r="S32" s="54">
        <f t="shared" si="22"/>
        <v>0</v>
      </c>
      <c r="T32" s="54">
        <f t="shared" si="23"/>
        <v>0</v>
      </c>
      <c r="U32" s="55">
        <f t="shared" si="24"/>
        <v>2.0000000000000018E-3</v>
      </c>
      <c r="V32" s="56">
        <f t="shared" si="25"/>
        <v>2.0000000000000018E-3</v>
      </c>
    </row>
    <row r="33" spans="1:22">
      <c r="A33" s="143">
        <v>25</v>
      </c>
      <c r="B33" s="141" t="s">
        <v>60</v>
      </c>
      <c r="C33" s="142" t="s">
        <v>25</v>
      </c>
      <c r="D33" s="42">
        <v>124966321652.22</v>
      </c>
      <c r="E33" s="28">
        <f t="shared" si="19"/>
        <v>4.0141214579962226E-2</v>
      </c>
      <c r="F33" s="29">
        <v>1</v>
      </c>
      <c r="G33" s="29">
        <v>1</v>
      </c>
      <c r="H33" s="30">
        <v>33865</v>
      </c>
      <c r="I33" s="48">
        <v>0.2039</v>
      </c>
      <c r="J33" s="48">
        <v>0.2039</v>
      </c>
      <c r="K33" s="42">
        <v>125306086530.87</v>
      </c>
      <c r="L33" s="28">
        <f t="shared" si="20"/>
        <v>4.0250352583868429E-2</v>
      </c>
      <c r="M33" s="29">
        <v>1</v>
      </c>
      <c r="N33" s="29">
        <v>1</v>
      </c>
      <c r="O33" s="30">
        <v>33984</v>
      </c>
      <c r="P33" s="48">
        <v>0.20530000000000001</v>
      </c>
      <c r="Q33" s="48">
        <v>0.20530000000000001</v>
      </c>
      <c r="R33" s="54">
        <f t="shared" si="21"/>
        <v>2.7188515606273193E-3</v>
      </c>
      <c r="S33" s="54">
        <f t="shared" si="22"/>
        <v>0</v>
      </c>
      <c r="T33" s="54">
        <f t="shared" si="23"/>
        <v>3.5139524582902702E-3</v>
      </c>
      <c r="U33" s="55">
        <f t="shared" si="24"/>
        <v>1.4000000000000123E-3</v>
      </c>
      <c r="V33" s="56">
        <f t="shared" si="25"/>
        <v>1.4000000000000123E-3</v>
      </c>
    </row>
    <row r="34" spans="1:22">
      <c r="A34" s="143">
        <v>26</v>
      </c>
      <c r="B34" s="141" t="s">
        <v>286</v>
      </c>
      <c r="C34" s="142" t="s">
        <v>27</v>
      </c>
      <c r="D34" s="31">
        <v>5656553215.3599997</v>
      </c>
      <c r="E34" s="28">
        <f t="shared" ref="E34" si="26">(D34/$D$25)</f>
        <v>0.13271173234371619</v>
      </c>
      <c r="F34" s="31">
        <v>1</v>
      </c>
      <c r="G34" s="31">
        <v>1</v>
      </c>
      <c r="H34" s="30">
        <v>901</v>
      </c>
      <c r="I34" s="48">
        <v>0.2092</v>
      </c>
      <c r="J34" s="48">
        <v>0.2092</v>
      </c>
      <c r="K34" s="31">
        <v>6306950677.3599997</v>
      </c>
      <c r="L34" s="28">
        <f t="shared" ref="L34" si="27">(K34/$K$25)</f>
        <v>0.13892217624637229</v>
      </c>
      <c r="M34" s="31">
        <v>1</v>
      </c>
      <c r="N34" s="31">
        <v>1</v>
      </c>
      <c r="O34" s="30">
        <v>920</v>
      </c>
      <c r="P34" s="48">
        <v>0.20180000000000001</v>
      </c>
      <c r="Q34" s="48">
        <v>0.20180000000000001</v>
      </c>
      <c r="R34" s="54">
        <f t="shared" si="21"/>
        <v>0.11498123278216288</v>
      </c>
      <c r="S34" s="54">
        <f t="shared" si="22"/>
        <v>0</v>
      </c>
      <c r="T34" s="54">
        <f t="shared" si="23"/>
        <v>2.1087680355160933E-2</v>
      </c>
      <c r="U34" s="55">
        <f t="shared" si="24"/>
        <v>-7.3999999999999899E-3</v>
      </c>
      <c r="V34" s="56">
        <f t="shared" si="25"/>
        <v>-7.3999999999999899E-3</v>
      </c>
    </row>
    <row r="35" spans="1:22" ht="15" customHeight="1">
      <c r="A35" s="143">
        <v>27</v>
      </c>
      <c r="B35" s="141" t="s">
        <v>61</v>
      </c>
      <c r="C35" s="142" t="s">
        <v>47</v>
      </c>
      <c r="D35" s="42">
        <v>25049229946</v>
      </c>
      <c r="E35" s="28">
        <f t="shared" ref="E35:E47" si="28">(D35/$K$69)</f>
        <v>8.0462199817604944E-3</v>
      </c>
      <c r="F35" s="29">
        <v>100</v>
      </c>
      <c r="G35" s="29">
        <v>100</v>
      </c>
      <c r="H35" s="30">
        <v>2083</v>
      </c>
      <c r="I35" s="48">
        <v>0.21809999999999999</v>
      </c>
      <c r="J35" s="48">
        <v>0.21809999999999999</v>
      </c>
      <c r="K35" s="42">
        <v>23711256879</v>
      </c>
      <c r="L35" s="28">
        <f t="shared" ref="L35:L47" si="29">(K35/$K$69)</f>
        <v>7.6164412759894646E-3</v>
      </c>
      <c r="M35" s="29">
        <v>100</v>
      </c>
      <c r="N35" s="29">
        <v>100</v>
      </c>
      <c r="O35" s="30">
        <v>2083</v>
      </c>
      <c r="P35" s="48">
        <v>0.22689999999999999</v>
      </c>
      <c r="Q35" s="48">
        <v>0.22689999999999999</v>
      </c>
      <c r="R35" s="54">
        <f t="shared" si="21"/>
        <v>-5.3413740457664449E-2</v>
      </c>
      <c r="S35" s="54">
        <f t="shared" si="22"/>
        <v>0</v>
      </c>
      <c r="T35" s="54">
        <f t="shared" si="23"/>
        <v>0</v>
      </c>
      <c r="U35" s="55">
        <f t="shared" si="24"/>
        <v>8.8000000000000023E-3</v>
      </c>
      <c r="V35" s="56">
        <f t="shared" si="25"/>
        <v>8.8000000000000023E-3</v>
      </c>
    </row>
    <row r="36" spans="1:22" ht="15" customHeight="1">
      <c r="A36" s="143">
        <v>28</v>
      </c>
      <c r="B36" s="141" t="s">
        <v>62</v>
      </c>
      <c r="C36" s="142" t="s">
        <v>63</v>
      </c>
      <c r="D36" s="42">
        <v>1510785717.73</v>
      </c>
      <c r="E36" s="28">
        <f t="shared" si="28"/>
        <v>4.85288939275303E-4</v>
      </c>
      <c r="F36" s="29">
        <v>1</v>
      </c>
      <c r="G36" s="29">
        <v>1</v>
      </c>
      <c r="H36" s="30">
        <v>460</v>
      </c>
      <c r="I36" s="48">
        <v>0.2</v>
      </c>
      <c r="J36" s="48">
        <v>0.2</v>
      </c>
      <c r="K36" s="42">
        <v>1510785717.73</v>
      </c>
      <c r="L36" s="28">
        <f t="shared" si="29"/>
        <v>4.85288939275303E-4</v>
      </c>
      <c r="M36" s="29">
        <v>1</v>
      </c>
      <c r="N36" s="29">
        <v>1</v>
      </c>
      <c r="O36" s="30">
        <v>460</v>
      </c>
      <c r="P36" s="48">
        <v>0.2</v>
      </c>
      <c r="Q36" s="48">
        <v>0.2</v>
      </c>
      <c r="R36" s="54">
        <f t="shared" si="21"/>
        <v>0</v>
      </c>
      <c r="S36" s="54">
        <f t="shared" si="22"/>
        <v>0</v>
      </c>
      <c r="T36" s="54">
        <f t="shared" si="23"/>
        <v>0</v>
      </c>
      <c r="U36" s="55">
        <f t="shared" si="24"/>
        <v>0</v>
      </c>
      <c r="V36" s="56">
        <f t="shared" si="25"/>
        <v>0</v>
      </c>
    </row>
    <row r="37" spans="1:22">
      <c r="A37" s="143">
        <v>29</v>
      </c>
      <c r="B37" s="141" t="s">
        <v>64</v>
      </c>
      <c r="C37" s="142" t="s">
        <v>65</v>
      </c>
      <c r="D37" s="42">
        <v>59268794203.770004</v>
      </c>
      <c r="E37" s="28">
        <f t="shared" si="28"/>
        <v>1.9038100462380764E-2</v>
      </c>
      <c r="F37" s="29">
        <v>100</v>
      </c>
      <c r="G37" s="29">
        <v>100</v>
      </c>
      <c r="H37" s="30">
        <v>4395</v>
      </c>
      <c r="I37" s="48">
        <v>0.211703643604891</v>
      </c>
      <c r="J37" s="48">
        <v>0.211703643604891</v>
      </c>
      <c r="K37" s="42">
        <v>59342523481.959999</v>
      </c>
      <c r="L37" s="28">
        <f t="shared" si="29"/>
        <v>1.9061783505440053E-2</v>
      </c>
      <c r="M37" s="29">
        <v>100</v>
      </c>
      <c r="N37" s="29">
        <v>100</v>
      </c>
      <c r="O37" s="30">
        <v>4452</v>
      </c>
      <c r="P37" s="48">
        <v>0.21222679257485599</v>
      </c>
      <c r="Q37" s="48">
        <v>0.21222679257485599</v>
      </c>
      <c r="R37" s="54">
        <f t="shared" si="21"/>
        <v>1.2439814101246722E-3</v>
      </c>
      <c r="S37" s="54">
        <f t="shared" si="22"/>
        <v>0</v>
      </c>
      <c r="T37" s="54">
        <f t="shared" si="23"/>
        <v>1.2969283276450512E-2</v>
      </c>
      <c r="U37" s="55">
        <f t="shared" si="24"/>
        <v>5.2314896996499827E-4</v>
      </c>
      <c r="V37" s="56">
        <f t="shared" si="25"/>
        <v>5.2314896996499827E-4</v>
      </c>
    </row>
    <row r="38" spans="1:22">
      <c r="A38" s="143">
        <v>30</v>
      </c>
      <c r="B38" s="141" t="s">
        <v>66</v>
      </c>
      <c r="C38" s="142" t="s">
        <v>67</v>
      </c>
      <c r="D38" s="42">
        <v>28324898875.380001</v>
      </c>
      <c r="E38" s="28">
        <f t="shared" si="28"/>
        <v>9.0984181072129751E-3</v>
      </c>
      <c r="F38" s="29">
        <v>100</v>
      </c>
      <c r="G38" s="29">
        <v>100</v>
      </c>
      <c r="H38" s="30">
        <v>7078</v>
      </c>
      <c r="I38" s="48">
        <v>0.21049999999999999</v>
      </c>
      <c r="J38" s="48">
        <v>0.21049999999999999</v>
      </c>
      <c r="K38" s="42">
        <v>29410641751.509998</v>
      </c>
      <c r="L38" s="28">
        <f t="shared" si="29"/>
        <v>9.4471763741858211E-3</v>
      </c>
      <c r="M38" s="29">
        <v>100</v>
      </c>
      <c r="N38" s="29">
        <v>100</v>
      </c>
      <c r="O38" s="30">
        <v>7115</v>
      </c>
      <c r="P38" s="48">
        <v>0.20710000000000001</v>
      </c>
      <c r="Q38" s="48">
        <v>0.20710000000000001</v>
      </c>
      <c r="R38" s="54">
        <f t="shared" si="21"/>
        <v>3.8331747658019881E-2</v>
      </c>
      <c r="S38" s="54">
        <f t="shared" si="22"/>
        <v>0</v>
      </c>
      <c r="T38" s="54">
        <f t="shared" si="23"/>
        <v>5.2274653857021756E-3</v>
      </c>
      <c r="U38" s="55">
        <f t="shared" si="24"/>
        <v>-3.3999999999999864E-3</v>
      </c>
      <c r="V38" s="56">
        <f t="shared" si="25"/>
        <v>-3.3999999999999864E-3</v>
      </c>
    </row>
    <row r="39" spans="1:22">
      <c r="A39" s="143">
        <v>31</v>
      </c>
      <c r="B39" s="141" t="s">
        <v>68</v>
      </c>
      <c r="C39" s="142" t="s">
        <v>296</v>
      </c>
      <c r="D39" s="42">
        <v>28257332646.939999</v>
      </c>
      <c r="E39" s="28">
        <f t="shared" si="28"/>
        <v>9.0767147359501407E-3</v>
      </c>
      <c r="F39" s="29">
        <v>1</v>
      </c>
      <c r="G39" s="29">
        <v>1</v>
      </c>
      <c r="H39" s="30">
        <v>6162</v>
      </c>
      <c r="I39" s="48">
        <v>0.21379999999999999</v>
      </c>
      <c r="J39" s="48">
        <v>0.21379999999999999</v>
      </c>
      <c r="K39" s="42">
        <v>28264339447.509998</v>
      </c>
      <c r="L39" s="28">
        <f t="shared" si="29"/>
        <v>9.0789654342301306E-3</v>
      </c>
      <c r="M39" s="29">
        <v>1</v>
      </c>
      <c r="N39" s="29">
        <v>1</v>
      </c>
      <c r="O39" s="30">
        <v>6258</v>
      </c>
      <c r="P39" s="48">
        <v>0.2155</v>
      </c>
      <c r="Q39" s="48">
        <v>0.2155</v>
      </c>
      <c r="R39" s="54">
        <f t="shared" si="21"/>
        <v>2.4796397655595651E-4</v>
      </c>
      <c r="S39" s="54">
        <f t="shared" si="22"/>
        <v>0</v>
      </c>
      <c r="T39" s="54">
        <f t="shared" si="23"/>
        <v>1.5579357351509251E-2</v>
      </c>
      <c r="U39" s="55">
        <f t="shared" si="24"/>
        <v>1.7000000000000071E-3</v>
      </c>
      <c r="V39" s="56">
        <f t="shared" si="25"/>
        <v>1.7000000000000071E-3</v>
      </c>
    </row>
    <row r="40" spans="1:22">
      <c r="A40" s="143">
        <v>32</v>
      </c>
      <c r="B40" s="141" t="s">
        <v>69</v>
      </c>
      <c r="C40" s="142" t="s">
        <v>70</v>
      </c>
      <c r="D40" s="42">
        <v>65558814335</v>
      </c>
      <c r="E40" s="28">
        <f t="shared" si="28"/>
        <v>2.1058557209940799E-2</v>
      </c>
      <c r="F40" s="43">
        <v>100</v>
      </c>
      <c r="G40" s="43">
        <v>100</v>
      </c>
      <c r="H40" s="30">
        <v>3848</v>
      </c>
      <c r="I40" s="48">
        <v>0.1956</v>
      </c>
      <c r="J40" s="48">
        <v>0.1956</v>
      </c>
      <c r="K40" s="42">
        <v>68335748477.150002</v>
      </c>
      <c r="L40" s="28">
        <f t="shared" si="29"/>
        <v>2.1950553611856868E-2</v>
      </c>
      <c r="M40" s="43">
        <v>100</v>
      </c>
      <c r="N40" s="43">
        <v>100</v>
      </c>
      <c r="O40" s="30">
        <v>3848</v>
      </c>
      <c r="P40" s="48">
        <v>0.2011</v>
      </c>
      <c r="Q40" s="48">
        <v>0.2011</v>
      </c>
      <c r="R40" s="54">
        <f t="shared" si="21"/>
        <v>4.2357906718082219E-2</v>
      </c>
      <c r="S40" s="54">
        <f t="shared" si="22"/>
        <v>0</v>
      </c>
      <c r="T40" s="54">
        <f t="shared" si="23"/>
        <v>0</v>
      </c>
      <c r="U40" s="55">
        <f t="shared" si="24"/>
        <v>5.5000000000000049E-3</v>
      </c>
      <c r="V40" s="56">
        <f t="shared" si="25"/>
        <v>5.5000000000000049E-3</v>
      </c>
    </row>
    <row r="41" spans="1:22">
      <c r="A41" s="143">
        <v>33</v>
      </c>
      <c r="B41" s="141" t="s">
        <v>71</v>
      </c>
      <c r="C41" s="142" t="s">
        <v>70</v>
      </c>
      <c r="D41" s="42">
        <v>7723192487.1899996</v>
      </c>
      <c r="E41" s="28">
        <f t="shared" si="28"/>
        <v>2.480815012971445E-3</v>
      </c>
      <c r="F41" s="43">
        <v>1000000</v>
      </c>
      <c r="G41" s="43">
        <v>1000000</v>
      </c>
      <c r="H41" s="30">
        <v>26</v>
      </c>
      <c r="I41" s="48">
        <v>0.21010000000000001</v>
      </c>
      <c r="J41" s="48">
        <v>0.21010000000000001</v>
      </c>
      <c r="K41" s="42">
        <v>6678954173.6899996</v>
      </c>
      <c r="L41" s="28">
        <f t="shared" si="29"/>
        <v>2.145388686417032E-3</v>
      </c>
      <c r="M41" s="43">
        <v>1000000</v>
      </c>
      <c r="N41" s="43">
        <v>1000000</v>
      </c>
      <c r="O41" s="30">
        <v>26</v>
      </c>
      <c r="P41" s="48">
        <v>0.21859999999999999</v>
      </c>
      <c r="Q41" s="48">
        <v>0.21859999999999999</v>
      </c>
      <c r="R41" s="54">
        <f t="shared" si="21"/>
        <v>-0.13520811701016336</v>
      </c>
      <c r="S41" s="54">
        <f t="shared" si="22"/>
        <v>0</v>
      </c>
      <c r="T41" s="54">
        <f t="shared" si="23"/>
        <v>0</v>
      </c>
      <c r="U41" s="55">
        <f t="shared" si="24"/>
        <v>8.4999999999999798E-3</v>
      </c>
      <c r="V41" s="56">
        <f t="shared" si="25"/>
        <v>8.4999999999999798E-3</v>
      </c>
    </row>
    <row r="42" spans="1:22">
      <c r="A42" s="143">
        <v>34</v>
      </c>
      <c r="B42" s="141" t="s">
        <v>72</v>
      </c>
      <c r="C42" s="142" t="s">
        <v>73</v>
      </c>
      <c r="D42" s="42">
        <v>4934661898.0500002</v>
      </c>
      <c r="E42" s="28">
        <f t="shared" si="28"/>
        <v>1.5850936437134847E-3</v>
      </c>
      <c r="F42" s="29">
        <v>1</v>
      </c>
      <c r="G42" s="29">
        <v>1</v>
      </c>
      <c r="H42" s="30">
        <v>919</v>
      </c>
      <c r="I42" s="48">
        <v>0.20580000000000001</v>
      </c>
      <c r="J42" s="48">
        <v>0.20580000000000001</v>
      </c>
      <c r="K42" s="42">
        <v>5082498895.25</v>
      </c>
      <c r="L42" s="28">
        <f t="shared" si="29"/>
        <v>1.6325812911772368E-3</v>
      </c>
      <c r="M42" s="29">
        <v>1</v>
      </c>
      <c r="N42" s="29">
        <v>1</v>
      </c>
      <c r="O42" s="30">
        <v>922</v>
      </c>
      <c r="P42" s="48">
        <v>0.2142</v>
      </c>
      <c r="Q42" s="48">
        <v>0.2142</v>
      </c>
      <c r="R42" s="54">
        <f t="shared" si="21"/>
        <v>2.9958890852972042E-2</v>
      </c>
      <c r="S42" s="54">
        <f t="shared" si="22"/>
        <v>0</v>
      </c>
      <c r="T42" s="54">
        <f t="shared" si="23"/>
        <v>3.2644178454842221E-3</v>
      </c>
      <c r="U42" s="55">
        <f t="shared" si="24"/>
        <v>8.3999999999999908E-3</v>
      </c>
      <c r="V42" s="56">
        <f t="shared" si="25"/>
        <v>8.3999999999999908E-3</v>
      </c>
    </row>
    <row r="43" spans="1:22">
      <c r="A43" s="143">
        <v>35</v>
      </c>
      <c r="B43" s="141" t="s">
        <v>74</v>
      </c>
      <c r="C43" s="142" t="s">
        <v>322</v>
      </c>
      <c r="D43" s="42">
        <v>525522242518.53003</v>
      </c>
      <c r="E43" s="28">
        <f t="shared" si="28"/>
        <v>0.16880628976330689</v>
      </c>
      <c r="F43" s="29">
        <v>100</v>
      </c>
      <c r="G43" s="29">
        <v>100</v>
      </c>
      <c r="H43" s="30">
        <v>16219</v>
      </c>
      <c r="I43" s="48">
        <v>0.2117</v>
      </c>
      <c r="J43" s="48">
        <v>0.2117</v>
      </c>
      <c r="K43" s="42">
        <v>524748032863.65997</v>
      </c>
      <c r="L43" s="28">
        <f t="shared" si="29"/>
        <v>0.16855760103281431</v>
      </c>
      <c r="M43" s="29">
        <v>100</v>
      </c>
      <c r="N43" s="29">
        <v>100</v>
      </c>
      <c r="O43" s="30">
        <v>16232</v>
      </c>
      <c r="P43" s="48">
        <v>0.21540000000000001</v>
      </c>
      <c r="Q43" s="48">
        <v>0.21540000000000001</v>
      </c>
      <c r="R43" s="54">
        <f t="shared" si="21"/>
        <v>-1.473219575178604E-3</v>
      </c>
      <c r="S43" s="54">
        <f t="shared" si="22"/>
        <v>0</v>
      </c>
      <c r="T43" s="54">
        <f t="shared" si="23"/>
        <v>8.0152907084283869E-4</v>
      </c>
      <c r="U43" s="55">
        <f t="shared" si="24"/>
        <v>3.7000000000000088E-3</v>
      </c>
      <c r="V43" s="56">
        <f t="shared" si="25"/>
        <v>3.7000000000000088E-3</v>
      </c>
    </row>
    <row r="44" spans="1:22">
      <c r="A44" s="143">
        <v>36</v>
      </c>
      <c r="B44" s="141" t="s">
        <v>75</v>
      </c>
      <c r="C44" s="142" t="s">
        <v>76</v>
      </c>
      <c r="D44" s="42">
        <v>2126609942.9100001</v>
      </c>
      <c r="E44" s="28">
        <f t="shared" si="28"/>
        <v>6.8310169426127974E-4</v>
      </c>
      <c r="F44" s="29">
        <v>1</v>
      </c>
      <c r="G44" s="29">
        <v>1</v>
      </c>
      <c r="H44" s="44">
        <v>1314</v>
      </c>
      <c r="I44" s="51">
        <v>0.21010000000000001</v>
      </c>
      <c r="J44" s="51">
        <v>0.21010000000000001</v>
      </c>
      <c r="K44" s="42">
        <v>2084790132.75</v>
      </c>
      <c r="L44" s="28">
        <f t="shared" si="29"/>
        <v>6.6966849120999965E-4</v>
      </c>
      <c r="M44" s="29">
        <v>1</v>
      </c>
      <c r="N44" s="29">
        <v>1</v>
      </c>
      <c r="O44" s="44">
        <v>1325</v>
      </c>
      <c r="P44" s="51">
        <v>0.21340000000000001</v>
      </c>
      <c r="Q44" s="51">
        <v>0.21340000000000001</v>
      </c>
      <c r="R44" s="54">
        <f t="shared" si="21"/>
        <v>-1.9665012053303437E-2</v>
      </c>
      <c r="S44" s="54">
        <f t="shared" si="22"/>
        <v>0</v>
      </c>
      <c r="T44" s="54">
        <f t="shared" si="23"/>
        <v>8.3713850837138504E-3</v>
      </c>
      <c r="U44" s="55">
        <f t="shared" si="24"/>
        <v>3.2999999999999974E-3</v>
      </c>
      <c r="V44" s="56">
        <f t="shared" si="25"/>
        <v>3.2999999999999974E-3</v>
      </c>
    </row>
    <row r="45" spans="1:22">
      <c r="A45" s="143">
        <v>37</v>
      </c>
      <c r="B45" s="141" t="s">
        <v>298</v>
      </c>
      <c r="C45" s="142" t="s">
        <v>299</v>
      </c>
      <c r="D45" s="42">
        <v>1626369961.21</v>
      </c>
      <c r="E45" s="28">
        <f t="shared" si="28"/>
        <v>5.2241647778528241E-4</v>
      </c>
      <c r="F45" s="29">
        <v>1</v>
      </c>
      <c r="G45" s="29">
        <v>1</v>
      </c>
      <c r="H45" s="44">
        <v>224</v>
      </c>
      <c r="I45" s="51">
        <v>0.20169999999999999</v>
      </c>
      <c r="J45" s="51">
        <v>0.20169999999999999</v>
      </c>
      <c r="K45" s="42">
        <v>1635945114.47</v>
      </c>
      <c r="L45" s="28">
        <f t="shared" si="29"/>
        <v>5.2549217271303551E-4</v>
      </c>
      <c r="M45" s="29">
        <v>1</v>
      </c>
      <c r="N45" s="29">
        <v>1</v>
      </c>
      <c r="O45" s="44">
        <v>246</v>
      </c>
      <c r="P45" s="51">
        <v>0.19539999999999999</v>
      </c>
      <c r="Q45" s="51">
        <v>0.19539999999999999</v>
      </c>
      <c r="R45" s="54">
        <f t="shared" si="21"/>
        <v>5.8874385830860951E-3</v>
      </c>
      <c r="S45" s="54">
        <f t="shared" si="22"/>
        <v>0</v>
      </c>
      <c r="T45" s="54">
        <f t="shared" si="23"/>
        <v>9.8214285714285712E-2</v>
      </c>
      <c r="U45" s="55">
        <f t="shared" si="24"/>
        <v>-6.3E-3</v>
      </c>
      <c r="V45" s="56">
        <f t="shared" si="25"/>
        <v>-6.3E-3</v>
      </c>
    </row>
    <row r="46" spans="1:22">
      <c r="A46" s="143">
        <v>38</v>
      </c>
      <c r="B46" s="141" t="s">
        <v>77</v>
      </c>
      <c r="C46" s="142" t="s">
        <v>78</v>
      </c>
      <c r="D46" s="42">
        <v>970140280.82000005</v>
      </c>
      <c r="E46" s="28">
        <f t="shared" si="28"/>
        <v>3.1162483355665473E-4</v>
      </c>
      <c r="F46" s="29">
        <v>10</v>
      </c>
      <c r="G46" s="29">
        <v>10</v>
      </c>
      <c r="H46" s="30">
        <v>466</v>
      </c>
      <c r="I46" s="48">
        <v>0.16700000000000001</v>
      </c>
      <c r="J46" s="48">
        <v>0.16700000000000001</v>
      </c>
      <c r="K46" s="42">
        <v>1123047554.8</v>
      </c>
      <c r="L46" s="28">
        <f t="shared" si="29"/>
        <v>3.6074113636942311E-4</v>
      </c>
      <c r="M46" s="29">
        <v>10</v>
      </c>
      <c r="N46" s="29">
        <v>10</v>
      </c>
      <c r="O46" s="30">
        <v>468</v>
      </c>
      <c r="P46" s="48">
        <v>0.16800000000000001</v>
      </c>
      <c r="Q46" s="48">
        <v>0.16800000000000001</v>
      </c>
      <c r="R46" s="54">
        <f t="shared" si="21"/>
        <v>0.15761357094744768</v>
      </c>
      <c r="S46" s="54">
        <f t="shared" si="22"/>
        <v>0</v>
      </c>
      <c r="T46" s="54">
        <f t="shared" si="23"/>
        <v>4.2918454935622317E-3</v>
      </c>
      <c r="U46" s="55">
        <f t="shared" si="24"/>
        <v>1.0000000000000009E-3</v>
      </c>
      <c r="V46" s="56">
        <f t="shared" si="25"/>
        <v>1.0000000000000009E-3</v>
      </c>
    </row>
    <row r="47" spans="1:22">
      <c r="A47" s="143">
        <v>39</v>
      </c>
      <c r="B47" s="141" t="s">
        <v>79</v>
      </c>
      <c r="C47" s="142" t="s">
        <v>80</v>
      </c>
      <c r="D47" s="42">
        <v>7141659000.3000002</v>
      </c>
      <c r="E47" s="28">
        <f t="shared" si="28"/>
        <v>2.2940170007225949E-3</v>
      </c>
      <c r="F47" s="29">
        <v>100</v>
      </c>
      <c r="G47" s="29">
        <v>100</v>
      </c>
      <c r="H47" s="30">
        <v>918</v>
      </c>
      <c r="I47" s="48">
        <v>0.22720000000000001</v>
      </c>
      <c r="J47" s="48">
        <v>0.22720000000000001</v>
      </c>
      <c r="K47" s="42">
        <v>9442364769.8700008</v>
      </c>
      <c r="L47" s="28">
        <f t="shared" si="29"/>
        <v>3.0330411054624649E-3</v>
      </c>
      <c r="M47" s="29">
        <v>100</v>
      </c>
      <c r="N47" s="29">
        <v>100</v>
      </c>
      <c r="O47" s="30">
        <v>925</v>
      </c>
      <c r="P47" s="48">
        <v>0.17430000000000001</v>
      </c>
      <c r="Q47" s="48">
        <v>0.17430000000000001</v>
      </c>
      <c r="R47" s="54">
        <f t="shared" si="21"/>
        <v>0.32215284564459806</v>
      </c>
      <c r="S47" s="54">
        <f t="shared" si="22"/>
        <v>0</v>
      </c>
      <c r="T47" s="54">
        <f t="shared" si="23"/>
        <v>7.6252723311546842E-3</v>
      </c>
      <c r="U47" s="55">
        <f t="shared" si="24"/>
        <v>-5.2900000000000003E-2</v>
      </c>
      <c r="V47" s="56">
        <f t="shared" si="25"/>
        <v>-5.2900000000000003E-2</v>
      </c>
    </row>
    <row r="48" spans="1:22">
      <c r="A48" s="143">
        <v>40</v>
      </c>
      <c r="B48" s="141" t="s">
        <v>81</v>
      </c>
      <c r="C48" s="141" t="s">
        <v>82</v>
      </c>
      <c r="D48" s="130">
        <v>99335206.794770271</v>
      </c>
      <c r="E48" s="28">
        <f>(D48/$D$190)</f>
        <v>1.6101089386954569E-3</v>
      </c>
      <c r="F48" s="31">
        <v>1</v>
      </c>
      <c r="G48" s="31">
        <v>1</v>
      </c>
      <c r="H48" s="30">
        <v>89</v>
      </c>
      <c r="I48" s="48">
        <v>0.1794</v>
      </c>
      <c r="J48" s="48">
        <v>0.1794</v>
      </c>
      <c r="K48" s="130">
        <v>99765537.448698357</v>
      </c>
      <c r="L48" s="52">
        <f>(K48/$K$190)</f>
        <v>1.56738829139875E-3</v>
      </c>
      <c r="M48" s="31">
        <v>1</v>
      </c>
      <c r="N48" s="31">
        <v>1</v>
      </c>
      <c r="O48" s="30">
        <v>91</v>
      </c>
      <c r="P48" s="48">
        <v>0.17979999999999999</v>
      </c>
      <c r="Q48" s="48">
        <v>0.17979999999999999</v>
      </c>
      <c r="R48" s="55">
        <f t="shared" si="21"/>
        <v>4.3321060861851645E-3</v>
      </c>
      <c r="S48" s="55">
        <f t="shared" si="22"/>
        <v>0</v>
      </c>
      <c r="T48" s="55">
        <f t="shared" si="23"/>
        <v>2.247191011235955E-2</v>
      </c>
      <c r="U48" s="55">
        <f t="shared" si="24"/>
        <v>3.999999999999837E-4</v>
      </c>
      <c r="V48" s="56">
        <f t="shared" si="25"/>
        <v>3.999999999999837E-4</v>
      </c>
    </row>
    <row r="49" spans="1:22">
      <c r="A49" s="143">
        <v>41</v>
      </c>
      <c r="B49" s="141" t="s">
        <v>285</v>
      </c>
      <c r="C49" s="142" t="s">
        <v>37</v>
      </c>
      <c r="D49" s="42">
        <v>400754964.81</v>
      </c>
      <c r="E49" s="28">
        <f t="shared" ref="E49" si="30">(D49/$K$69)</f>
        <v>1.287290113346922E-4</v>
      </c>
      <c r="F49" s="29">
        <v>100</v>
      </c>
      <c r="G49" s="29">
        <v>100</v>
      </c>
      <c r="H49" s="30">
        <v>2480</v>
      </c>
      <c r="I49" s="48">
        <v>0.18410000000000001</v>
      </c>
      <c r="J49" s="48">
        <v>0.18410000000000001</v>
      </c>
      <c r="K49" s="42">
        <v>420857977.58999997</v>
      </c>
      <c r="L49" s="28">
        <f t="shared" ref="L49" si="31">(K49/$K$69)</f>
        <v>1.3518642593277457E-4</v>
      </c>
      <c r="M49" s="29">
        <v>100</v>
      </c>
      <c r="N49" s="29">
        <v>100</v>
      </c>
      <c r="O49" s="30">
        <v>2641</v>
      </c>
      <c r="P49" s="48">
        <v>0.18667391</v>
      </c>
      <c r="Q49" s="48">
        <v>0.18667391</v>
      </c>
      <c r="R49" s="54">
        <f t="shared" ref="R49" si="32">((K49-D49)/D49)</f>
        <v>5.0162853976196936E-2</v>
      </c>
      <c r="S49" s="54">
        <f t="shared" ref="S49" si="33">((N49-G49)/G49)</f>
        <v>0</v>
      </c>
      <c r="T49" s="54">
        <f t="shared" ref="T49" si="34">((O49-H49)/H49)</f>
        <v>6.4919354838709684E-2</v>
      </c>
      <c r="U49" s="55">
        <f t="shared" ref="U49" si="35">P49-I49</f>
        <v>2.5739099999999848E-3</v>
      </c>
      <c r="V49" s="56">
        <f t="shared" ref="V49" si="36">Q49-J49</f>
        <v>2.5739099999999848E-3</v>
      </c>
    </row>
    <row r="50" spans="1:22">
      <c r="A50" s="143">
        <v>42</v>
      </c>
      <c r="B50" s="141" t="s">
        <v>83</v>
      </c>
      <c r="C50" s="142" t="s">
        <v>37</v>
      </c>
      <c r="D50" s="42">
        <v>90540507394.110001</v>
      </c>
      <c r="E50" s="28">
        <f t="shared" ref="E50:E68" si="37">(D50/$K$69)</f>
        <v>2.9083083245421439E-2</v>
      </c>
      <c r="F50" s="29">
        <v>100</v>
      </c>
      <c r="G50" s="29">
        <v>100</v>
      </c>
      <c r="H50" s="30">
        <v>12406</v>
      </c>
      <c r="I50" s="48">
        <v>0.2041</v>
      </c>
      <c r="J50" s="48">
        <v>0.2041</v>
      </c>
      <c r="K50" s="42">
        <v>92216850074.190002</v>
      </c>
      <c r="L50" s="28">
        <f t="shared" ref="L50:L68" si="38">(K50/$K$69)</f>
        <v>2.9621551773109316E-2</v>
      </c>
      <c r="M50" s="29">
        <v>100</v>
      </c>
      <c r="N50" s="29">
        <v>100</v>
      </c>
      <c r="O50" s="30">
        <v>12598</v>
      </c>
      <c r="P50" s="48">
        <v>0.21124148000000001</v>
      </c>
      <c r="Q50" s="48">
        <v>0.21124148000000001</v>
      </c>
      <c r="R50" s="54">
        <f t="shared" si="21"/>
        <v>1.8514836379070858E-2</v>
      </c>
      <c r="S50" s="54">
        <f t="shared" si="22"/>
        <v>0</v>
      </c>
      <c r="T50" s="54">
        <f t="shared" si="23"/>
        <v>1.5476382395615025E-2</v>
      </c>
      <c r="U50" s="55">
        <f t="shared" si="24"/>
        <v>7.1414800000000056E-3</v>
      </c>
      <c r="V50" s="56">
        <f t="shared" si="25"/>
        <v>7.1414800000000056E-3</v>
      </c>
    </row>
    <row r="51" spans="1:22">
      <c r="A51" s="143">
        <v>43</v>
      </c>
      <c r="B51" s="141" t="s">
        <v>84</v>
      </c>
      <c r="C51" s="142" t="s">
        <v>41</v>
      </c>
      <c r="D51" s="42">
        <v>20871214684.580002</v>
      </c>
      <c r="E51" s="28">
        <f t="shared" si="37"/>
        <v>6.7041735414903377E-3</v>
      </c>
      <c r="F51" s="29">
        <v>1</v>
      </c>
      <c r="G51" s="29">
        <v>1</v>
      </c>
      <c r="H51" s="30">
        <v>1804</v>
      </c>
      <c r="I51" s="48">
        <v>0.2077</v>
      </c>
      <c r="J51" s="48">
        <v>0.2077</v>
      </c>
      <c r="K51" s="42">
        <v>22036705677.830002</v>
      </c>
      <c r="L51" s="28">
        <f t="shared" si="38"/>
        <v>7.0785482004585487E-3</v>
      </c>
      <c r="M51" s="29">
        <v>1</v>
      </c>
      <c r="N51" s="29">
        <v>1</v>
      </c>
      <c r="O51" s="30">
        <v>1850</v>
      </c>
      <c r="P51" s="48">
        <v>0.20710000000000001</v>
      </c>
      <c r="Q51" s="48">
        <v>0.20710000000000001</v>
      </c>
      <c r="R51" s="54">
        <f t="shared" si="21"/>
        <v>5.5842029841755403E-2</v>
      </c>
      <c r="S51" s="54">
        <f t="shared" si="22"/>
        <v>0</v>
      </c>
      <c r="T51" s="54">
        <f t="shared" si="23"/>
        <v>2.5498891352549888E-2</v>
      </c>
      <c r="U51" s="55">
        <f t="shared" si="24"/>
        <v>-5.9999999999998943E-4</v>
      </c>
      <c r="V51" s="56">
        <f t="shared" si="25"/>
        <v>-5.9999999999998943E-4</v>
      </c>
    </row>
    <row r="52" spans="1:22">
      <c r="A52" s="143">
        <v>44</v>
      </c>
      <c r="B52" s="141" t="s">
        <v>309</v>
      </c>
      <c r="C52" s="142" t="s">
        <v>308</v>
      </c>
      <c r="D52" s="42">
        <v>1896727726.0913744</v>
      </c>
      <c r="E52" s="28">
        <f t="shared" si="37"/>
        <v>6.0925978812664458E-4</v>
      </c>
      <c r="F52" s="29">
        <v>100</v>
      </c>
      <c r="G52" s="29">
        <v>100</v>
      </c>
      <c r="H52" s="30">
        <v>139</v>
      </c>
      <c r="I52" s="48">
        <v>0.21160000000000001</v>
      </c>
      <c r="J52" s="48">
        <v>0.21160000000000001</v>
      </c>
      <c r="K52" s="42">
        <v>1930563196.9020977</v>
      </c>
      <c r="L52" s="28">
        <f t="shared" si="38"/>
        <v>6.2012829154636708E-4</v>
      </c>
      <c r="M52" s="29">
        <v>100</v>
      </c>
      <c r="N52" s="29">
        <v>100</v>
      </c>
      <c r="O52" s="30">
        <v>149</v>
      </c>
      <c r="P52" s="48">
        <v>0.21129999999999999</v>
      </c>
      <c r="Q52" s="48">
        <v>0.21129999999999999</v>
      </c>
      <c r="R52" s="54">
        <f t="shared" si="21"/>
        <v>1.7838865507833722E-2</v>
      </c>
      <c r="S52" s="54">
        <f t="shared" si="22"/>
        <v>0</v>
      </c>
      <c r="T52" s="54">
        <f t="shared" si="23"/>
        <v>7.1942446043165464E-2</v>
      </c>
      <c r="U52" s="55">
        <f t="shared" si="24"/>
        <v>-3.0000000000002247E-4</v>
      </c>
      <c r="V52" s="56">
        <f t="shared" si="25"/>
        <v>-3.0000000000002247E-4</v>
      </c>
    </row>
    <row r="53" spans="1:22">
      <c r="A53" s="143">
        <v>45</v>
      </c>
      <c r="B53" s="141" t="s">
        <v>85</v>
      </c>
      <c r="C53" s="142" t="s">
        <v>43</v>
      </c>
      <c r="D53" s="45">
        <v>44676492322.830002</v>
      </c>
      <c r="E53" s="28">
        <f t="shared" si="37"/>
        <v>1.4350815814213375E-2</v>
      </c>
      <c r="F53" s="29">
        <v>10</v>
      </c>
      <c r="G53" s="29">
        <v>10</v>
      </c>
      <c r="H53" s="30">
        <v>4854</v>
      </c>
      <c r="I53" s="48">
        <v>0.22770000000000001</v>
      </c>
      <c r="J53" s="48">
        <v>0.22770000000000001</v>
      </c>
      <c r="K53" s="45">
        <v>44781568433.18</v>
      </c>
      <c r="L53" s="28">
        <f t="shared" si="38"/>
        <v>1.4384567969490262E-2</v>
      </c>
      <c r="M53" s="29">
        <v>10</v>
      </c>
      <c r="N53" s="29">
        <v>10</v>
      </c>
      <c r="O53" s="30">
        <v>4926</v>
      </c>
      <c r="P53" s="48">
        <v>0.22770000000000001</v>
      </c>
      <c r="Q53" s="48">
        <v>0.22770000000000001</v>
      </c>
      <c r="R53" s="54">
        <f t="shared" si="21"/>
        <v>2.3519328596955194E-3</v>
      </c>
      <c r="S53" s="54">
        <f t="shared" si="22"/>
        <v>0</v>
      </c>
      <c r="T53" s="54">
        <f t="shared" si="23"/>
        <v>1.4833127317676144E-2</v>
      </c>
      <c r="U53" s="55">
        <f t="shared" si="24"/>
        <v>0</v>
      </c>
      <c r="V53" s="56">
        <f t="shared" si="25"/>
        <v>0</v>
      </c>
    </row>
    <row r="54" spans="1:22">
      <c r="A54" s="143">
        <v>46</v>
      </c>
      <c r="B54" s="141" t="s">
        <v>86</v>
      </c>
      <c r="C54" s="142" t="s">
        <v>87</v>
      </c>
      <c r="D54" s="42">
        <v>20706100185</v>
      </c>
      <c r="E54" s="28">
        <f t="shared" si="37"/>
        <v>6.6511360793143339E-3</v>
      </c>
      <c r="F54" s="29">
        <v>100</v>
      </c>
      <c r="G54" s="29">
        <v>100</v>
      </c>
      <c r="H54" s="30">
        <v>4174</v>
      </c>
      <c r="I54" s="48">
        <v>0.21790000000000001</v>
      </c>
      <c r="J54" s="48">
        <v>0.21790000000000001</v>
      </c>
      <c r="K54" s="42">
        <v>20913178705</v>
      </c>
      <c r="L54" s="28">
        <f t="shared" si="38"/>
        <v>6.7176530672221181E-3</v>
      </c>
      <c r="M54" s="29">
        <v>100</v>
      </c>
      <c r="N54" s="29">
        <v>100</v>
      </c>
      <c r="O54" s="30">
        <v>4277</v>
      </c>
      <c r="P54" s="48">
        <v>0.2185</v>
      </c>
      <c r="Q54" s="48">
        <v>0.2185</v>
      </c>
      <c r="R54" s="54">
        <f t="shared" si="21"/>
        <v>1.0000846038116473E-2</v>
      </c>
      <c r="S54" s="54">
        <f t="shared" si="22"/>
        <v>0</v>
      </c>
      <c r="T54" s="54">
        <f t="shared" si="23"/>
        <v>2.467656923814087E-2</v>
      </c>
      <c r="U54" s="55">
        <f t="shared" si="24"/>
        <v>5.9999999999998943E-4</v>
      </c>
      <c r="V54" s="56">
        <f t="shared" si="25"/>
        <v>5.9999999999998943E-4</v>
      </c>
    </row>
    <row r="55" spans="1:22">
      <c r="A55" s="143">
        <v>47</v>
      </c>
      <c r="B55" s="141" t="s">
        <v>88</v>
      </c>
      <c r="C55" s="142" t="s">
        <v>89</v>
      </c>
      <c r="D55" s="42">
        <v>283134446.75999999</v>
      </c>
      <c r="E55" s="28">
        <f t="shared" si="37"/>
        <v>9.0947388321164905E-5</v>
      </c>
      <c r="F55" s="29">
        <v>1</v>
      </c>
      <c r="G55" s="29">
        <v>1</v>
      </c>
      <c r="H55" s="30">
        <v>98</v>
      </c>
      <c r="I55" s="48">
        <v>0.1368</v>
      </c>
      <c r="J55" s="48">
        <v>0.1368</v>
      </c>
      <c r="K55" s="42">
        <v>283280812.10000002</v>
      </c>
      <c r="L55" s="28">
        <f t="shared" si="38"/>
        <v>9.099440324840555E-5</v>
      </c>
      <c r="M55" s="29">
        <v>1</v>
      </c>
      <c r="N55" s="29">
        <v>1</v>
      </c>
      <c r="O55" s="30">
        <v>99</v>
      </c>
      <c r="P55" s="48">
        <v>0.1905</v>
      </c>
      <c r="Q55" s="48">
        <v>0.1905</v>
      </c>
      <c r="R55" s="54">
        <f t="shared" si="21"/>
        <v>5.1694642483434924E-4</v>
      </c>
      <c r="S55" s="54">
        <f t="shared" si="22"/>
        <v>0</v>
      </c>
      <c r="T55" s="54">
        <f t="shared" si="23"/>
        <v>1.020408163265306E-2</v>
      </c>
      <c r="U55" s="55">
        <f t="shared" si="24"/>
        <v>5.3699999999999998E-2</v>
      </c>
      <c r="V55" s="56">
        <f t="shared" si="25"/>
        <v>5.3699999999999998E-2</v>
      </c>
    </row>
    <row r="56" spans="1:22">
      <c r="A56" s="143">
        <v>48</v>
      </c>
      <c r="B56" s="141" t="s">
        <v>90</v>
      </c>
      <c r="C56" s="142" t="s">
        <v>45</v>
      </c>
      <c r="D56" s="45">
        <v>1285894519.6099999</v>
      </c>
      <c r="E56" s="28">
        <f t="shared" si="37"/>
        <v>4.1305022950513867E-4</v>
      </c>
      <c r="F56" s="29">
        <v>10</v>
      </c>
      <c r="G56" s="29">
        <v>10</v>
      </c>
      <c r="H56" s="30">
        <v>814</v>
      </c>
      <c r="I56" s="48">
        <v>9.2999999999999992E-3</v>
      </c>
      <c r="J56" s="48">
        <v>0.1865</v>
      </c>
      <c r="K56" s="45">
        <v>1410832661.95</v>
      </c>
      <c r="L56" s="28">
        <f t="shared" si="38"/>
        <v>4.531823924317948E-4</v>
      </c>
      <c r="M56" s="29">
        <v>10</v>
      </c>
      <c r="N56" s="29">
        <v>10</v>
      </c>
      <c r="O56" s="30">
        <v>819</v>
      </c>
      <c r="P56" s="48">
        <v>0.1759</v>
      </c>
      <c r="Q56" s="48">
        <v>0.1759</v>
      </c>
      <c r="R56" s="54">
        <f t="shared" si="21"/>
        <v>9.7160490564881449E-2</v>
      </c>
      <c r="S56" s="54">
        <f t="shared" si="22"/>
        <v>0</v>
      </c>
      <c r="T56" s="54">
        <f t="shared" si="23"/>
        <v>6.1425061425061421E-3</v>
      </c>
      <c r="U56" s="55">
        <f t="shared" si="24"/>
        <v>0.1666</v>
      </c>
      <c r="V56" s="56">
        <f t="shared" si="25"/>
        <v>-1.0599999999999998E-2</v>
      </c>
    </row>
    <row r="57" spans="1:22">
      <c r="A57" s="143">
        <v>49</v>
      </c>
      <c r="B57" s="141" t="s">
        <v>91</v>
      </c>
      <c r="C57" s="142" t="s">
        <v>92</v>
      </c>
      <c r="D57" s="45">
        <v>817865885</v>
      </c>
      <c r="E57" s="28">
        <f t="shared" si="37"/>
        <v>2.6271182150004881E-4</v>
      </c>
      <c r="F57" s="29">
        <v>1</v>
      </c>
      <c r="G57" s="29">
        <v>1</v>
      </c>
      <c r="H57" s="30">
        <v>83</v>
      </c>
      <c r="I57" s="48">
        <v>0.21679999999999999</v>
      </c>
      <c r="J57" s="48">
        <v>0.21679999999999999</v>
      </c>
      <c r="K57" s="45">
        <v>985536423</v>
      </c>
      <c r="L57" s="28">
        <f t="shared" si="38"/>
        <v>3.1657032478004949E-4</v>
      </c>
      <c r="M57" s="29">
        <v>1</v>
      </c>
      <c r="N57" s="29">
        <v>1</v>
      </c>
      <c r="O57" s="30">
        <v>94</v>
      </c>
      <c r="P57" s="48">
        <v>0.20019999999999999</v>
      </c>
      <c r="Q57" s="48">
        <v>0.20019999999999999</v>
      </c>
      <c r="R57" s="54">
        <f t="shared" si="21"/>
        <v>0.20500982016140704</v>
      </c>
      <c r="S57" s="54">
        <f t="shared" si="22"/>
        <v>0</v>
      </c>
      <c r="T57" s="54">
        <f t="shared" si="23"/>
        <v>0.13253012048192772</v>
      </c>
      <c r="U57" s="55">
        <f t="shared" si="24"/>
        <v>-1.6600000000000004E-2</v>
      </c>
      <c r="V57" s="56">
        <f t="shared" si="25"/>
        <v>-1.6600000000000004E-2</v>
      </c>
    </row>
    <row r="58" spans="1:22">
      <c r="A58" s="143">
        <v>50</v>
      </c>
      <c r="B58" s="141" t="s">
        <v>304</v>
      </c>
      <c r="C58" s="142" t="s">
        <v>303</v>
      </c>
      <c r="D58" s="45">
        <v>544131428.45000005</v>
      </c>
      <c r="E58" s="28">
        <f t="shared" si="37"/>
        <v>1.7478386288666755E-4</v>
      </c>
      <c r="F58" s="29">
        <v>1</v>
      </c>
      <c r="G58" s="29">
        <v>1</v>
      </c>
      <c r="H58" s="30">
        <v>454</v>
      </c>
      <c r="I58" s="48">
        <v>0.1847</v>
      </c>
      <c r="J58" s="48">
        <v>0.1847</v>
      </c>
      <c r="K58" s="45">
        <v>530262936.41000003</v>
      </c>
      <c r="L58" s="28">
        <f t="shared" si="38"/>
        <v>1.7032907772921189E-4</v>
      </c>
      <c r="M58" s="29">
        <v>1</v>
      </c>
      <c r="N58" s="29">
        <v>1</v>
      </c>
      <c r="O58" s="30">
        <v>483</v>
      </c>
      <c r="P58" s="48">
        <v>0.18149999999999999</v>
      </c>
      <c r="Q58" s="48">
        <v>0.18149999999999999</v>
      </c>
      <c r="R58" s="54">
        <f t="shared" si="21"/>
        <v>-2.5487393881117069E-2</v>
      </c>
      <c r="S58" s="54">
        <f t="shared" si="22"/>
        <v>0</v>
      </c>
      <c r="T58" s="54">
        <f t="shared" si="23"/>
        <v>6.3876651982378851E-2</v>
      </c>
      <c r="U58" s="55">
        <f t="shared" si="24"/>
        <v>-3.2000000000000084E-3</v>
      </c>
      <c r="V58" s="56">
        <f t="shared" si="25"/>
        <v>-3.2000000000000084E-3</v>
      </c>
    </row>
    <row r="59" spans="1:22">
      <c r="A59" s="143">
        <v>51</v>
      </c>
      <c r="B59" s="141" t="s">
        <v>93</v>
      </c>
      <c r="C59" s="142" t="s">
        <v>94</v>
      </c>
      <c r="D59" s="45">
        <v>11428732037.9821</v>
      </c>
      <c r="E59" s="28">
        <f t="shared" si="37"/>
        <v>3.6710945721060888E-3</v>
      </c>
      <c r="F59" s="29">
        <v>100</v>
      </c>
      <c r="G59" s="29">
        <v>100</v>
      </c>
      <c r="H59" s="30">
        <v>127</v>
      </c>
      <c r="I59" s="48">
        <v>0.20899999999999999</v>
      </c>
      <c r="J59" s="48">
        <v>0.20899999999999999</v>
      </c>
      <c r="K59" s="45">
        <v>11958957270.762201</v>
      </c>
      <c r="L59" s="28">
        <f t="shared" si="38"/>
        <v>3.8414115388162823E-3</v>
      </c>
      <c r="M59" s="29">
        <v>100</v>
      </c>
      <c r="N59" s="29">
        <v>100</v>
      </c>
      <c r="O59" s="30">
        <v>128</v>
      </c>
      <c r="P59" s="48">
        <v>0.20830000000000001</v>
      </c>
      <c r="Q59" s="48">
        <v>0.20830000000000001</v>
      </c>
      <c r="R59" s="54">
        <f t="shared" si="21"/>
        <v>4.6394055877586257E-2</v>
      </c>
      <c r="S59" s="54">
        <f t="shared" si="22"/>
        <v>0</v>
      </c>
      <c r="T59" s="54">
        <f t="shared" si="23"/>
        <v>7.874015748031496E-3</v>
      </c>
      <c r="U59" s="55">
        <f t="shared" si="24"/>
        <v>-6.9999999999997842E-4</v>
      </c>
      <c r="V59" s="56">
        <f t="shared" si="25"/>
        <v>-6.9999999999997842E-4</v>
      </c>
    </row>
    <row r="60" spans="1:22">
      <c r="A60" s="143">
        <v>52</v>
      </c>
      <c r="B60" s="141" t="s">
        <v>95</v>
      </c>
      <c r="C60" s="142" t="s">
        <v>96</v>
      </c>
      <c r="D60" s="45">
        <v>71353726.189999998</v>
      </c>
      <c r="E60" s="28">
        <f t="shared" si="37"/>
        <v>2.2919977128267966E-5</v>
      </c>
      <c r="F60" s="29">
        <v>1000</v>
      </c>
      <c r="G60" s="29">
        <v>1000</v>
      </c>
      <c r="H60" s="30">
        <v>23</v>
      </c>
      <c r="I60" s="48">
        <v>0.18859999999999999</v>
      </c>
      <c r="J60" s="48">
        <v>9.7999999999999997E-3</v>
      </c>
      <c r="K60" s="45">
        <v>71353726.189999998</v>
      </c>
      <c r="L60" s="28">
        <f t="shared" si="38"/>
        <v>2.2919977128267966E-5</v>
      </c>
      <c r="M60" s="29">
        <v>1000</v>
      </c>
      <c r="N60" s="29">
        <v>1000</v>
      </c>
      <c r="O60" s="30">
        <v>23</v>
      </c>
      <c r="P60" s="48">
        <v>9.7999999999999997E-3</v>
      </c>
      <c r="Q60" s="48">
        <v>0.18859999999999999</v>
      </c>
      <c r="R60" s="54">
        <f t="shared" si="21"/>
        <v>0</v>
      </c>
      <c r="S60" s="54">
        <f t="shared" si="22"/>
        <v>0</v>
      </c>
      <c r="T60" s="54">
        <f t="shared" si="23"/>
        <v>0</v>
      </c>
      <c r="U60" s="55">
        <f t="shared" si="24"/>
        <v>-0.17879999999999999</v>
      </c>
      <c r="V60" s="56">
        <f t="shared" si="25"/>
        <v>0.17879999999999999</v>
      </c>
    </row>
    <row r="61" spans="1:22">
      <c r="A61" s="143">
        <v>53</v>
      </c>
      <c r="B61" s="141" t="s">
        <v>97</v>
      </c>
      <c r="C61" s="142" t="s">
        <v>49</v>
      </c>
      <c r="D61" s="42">
        <v>1509865272915.03</v>
      </c>
      <c r="E61" s="28">
        <f t="shared" si="37"/>
        <v>0.48499327743347054</v>
      </c>
      <c r="F61" s="29">
        <v>100</v>
      </c>
      <c r="G61" s="29">
        <v>100</v>
      </c>
      <c r="H61" s="30">
        <v>188226</v>
      </c>
      <c r="I61" s="48">
        <v>0.20169999999999999</v>
      </c>
      <c r="J61" s="48">
        <v>0.20169999999999999</v>
      </c>
      <c r="K61" s="42">
        <v>1515783074780.29</v>
      </c>
      <c r="L61" s="28">
        <f t="shared" si="38"/>
        <v>0.48689417162139575</v>
      </c>
      <c r="M61" s="29">
        <v>100</v>
      </c>
      <c r="N61" s="29">
        <v>100</v>
      </c>
      <c r="O61" s="30">
        <v>190578</v>
      </c>
      <c r="P61" s="48">
        <v>0.2031</v>
      </c>
      <c r="Q61" s="48">
        <v>0.2031</v>
      </c>
      <c r="R61" s="54">
        <f t="shared" si="21"/>
        <v>3.9194237866235389E-3</v>
      </c>
      <c r="S61" s="54">
        <f t="shared" si="22"/>
        <v>0</v>
      </c>
      <c r="T61" s="54">
        <f t="shared" si="23"/>
        <v>1.2495616971087947E-2</v>
      </c>
      <c r="U61" s="55">
        <f t="shared" si="24"/>
        <v>1.4000000000000123E-3</v>
      </c>
      <c r="V61" s="56">
        <f t="shared" si="25"/>
        <v>1.4000000000000123E-3</v>
      </c>
    </row>
    <row r="62" spans="1:22">
      <c r="A62" s="143">
        <v>54</v>
      </c>
      <c r="B62" s="141" t="s">
        <v>98</v>
      </c>
      <c r="C62" s="141" t="s">
        <v>99</v>
      </c>
      <c r="D62" s="42">
        <v>3689436466.0599999</v>
      </c>
      <c r="E62" s="28">
        <f t="shared" si="37"/>
        <v>1.18510698646799E-3</v>
      </c>
      <c r="F62" s="29">
        <v>100</v>
      </c>
      <c r="G62" s="29">
        <v>100</v>
      </c>
      <c r="H62" s="30">
        <v>634</v>
      </c>
      <c r="I62" s="48">
        <v>0.21609999999999999</v>
      </c>
      <c r="J62" s="48">
        <v>0.21609999999999999</v>
      </c>
      <c r="K62" s="42">
        <v>4446186321.1700001</v>
      </c>
      <c r="L62" s="28">
        <f t="shared" si="38"/>
        <v>1.4281873453655203E-3</v>
      </c>
      <c r="M62" s="29">
        <v>100</v>
      </c>
      <c r="N62" s="29">
        <v>100</v>
      </c>
      <c r="O62" s="30">
        <v>644</v>
      </c>
      <c r="P62" s="48">
        <v>0.20780000000000001</v>
      </c>
      <c r="Q62" s="48">
        <v>0.20780000000000001</v>
      </c>
      <c r="R62" s="54">
        <f t="shared" si="21"/>
        <v>0.20511258618261116</v>
      </c>
      <c r="S62" s="54">
        <f t="shared" si="22"/>
        <v>0</v>
      </c>
      <c r="T62" s="54">
        <f t="shared" si="23"/>
        <v>1.5772870662460567E-2</v>
      </c>
      <c r="U62" s="55">
        <f t="shared" si="24"/>
        <v>-8.2999999999999741E-3</v>
      </c>
      <c r="V62" s="56">
        <f t="shared" si="25"/>
        <v>-8.2999999999999741E-3</v>
      </c>
    </row>
    <row r="63" spans="1:22">
      <c r="A63" s="143">
        <v>55</v>
      </c>
      <c r="B63" s="141" t="s">
        <v>100</v>
      </c>
      <c r="C63" s="142" t="s">
        <v>101</v>
      </c>
      <c r="D63" s="42">
        <v>4957910794.2600002</v>
      </c>
      <c r="E63" s="28">
        <f t="shared" si="37"/>
        <v>1.5925615672241892E-3</v>
      </c>
      <c r="F63" s="29">
        <v>1</v>
      </c>
      <c r="G63" s="29">
        <v>1</v>
      </c>
      <c r="H63" s="30">
        <v>484</v>
      </c>
      <c r="I63" s="48">
        <v>0.219779</v>
      </c>
      <c r="J63" s="48">
        <v>0.219779</v>
      </c>
      <c r="K63" s="42">
        <v>5038584278.6899996</v>
      </c>
      <c r="L63" s="28">
        <f t="shared" si="38"/>
        <v>1.6184752022468322E-3</v>
      </c>
      <c r="M63" s="29">
        <v>1</v>
      </c>
      <c r="N63" s="29">
        <v>1</v>
      </c>
      <c r="O63" s="30">
        <v>493</v>
      </c>
      <c r="P63" s="48">
        <v>0.21957499999999999</v>
      </c>
      <c r="Q63" s="48">
        <v>0.21957499999999999</v>
      </c>
      <c r="R63" s="54">
        <f t="shared" si="21"/>
        <v>1.6271669212644713E-2</v>
      </c>
      <c r="S63" s="54">
        <f t="shared" si="22"/>
        <v>0</v>
      </c>
      <c r="T63" s="54">
        <f t="shared" si="23"/>
        <v>1.859504132231405E-2</v>
      </c>
      <c r="U63" s="55">
        <f t="shared" si="24"/>
        <v>-2.0400000000000973E-4</v>
      </c>
      <c r="V63" s="56">
        <f t="shared" si="25"/>
        <v>-2.0400000000000973E-4</v>
      </c>
    </row>
    <row r="64" spans="1:22">
      <c r="A64" s="143">
        <v>56</v>
      </c>
      <c r="B64" s="141" t="s">
        <v>102</v>
      </c>
      <c r="C64" s="142" t="s">
        <v>52</v>
      </c>
      <c r="D64" s="42">
        <v>141750990417.91</v>
      </c>
      <c r="E64" s="28">
        <f t="shared" si="37"/>
        <v>4.5532723121377176E-2</v>
      </c>
      <c r="F64" s="29">
        <v>1</v>
      </c>
      <c r="G64" s="29">
        <v>1</v>
      </c>
      <c r="H64" s="30">
        <v>57211</v>
      </c>
      <c r="I64" s="48">
        <v>0.19919999999999999</v>
      </c>
      <c r="J64" s="48">
        <v>0.19919999999999999</v>
      </c>
      <c r="K64" s="42">
        <v>139453536129.41</v>
      </c>
      <c r="L64" s="28">
        <f t="shared" si="38"/>
        <v>4.4794743445229011E-2</v>
      </c>
      <c r="M64" s="29">
        <v>1</v>
      </c>
      <c r="N64" s="29">
        <v>1</v>
      </c>
      <c r="O64" s="30">
        <v>58592</v>
      </c>
      <c r="P64" s="48">
        <v>0.19980000000000001</v>
      </c>
      <c r="Q64" s="48">
        <v>0.19980000000000001</v>
      </c>
      <c r="R64" s="54">
        <f t="shared" si="21"/>
        <v>-1.6207677150802614E-2</v>
      </c>
      <c r="S64" s="54">
        <f t="shared" si="22"/>
        <v>0</v>
      </c>
      <c r="T64" s="54">
        <f t="shared" si="23"/>
        <v>2.4138714582859939E-2</v>
      </c>
      <c r="U64" s="55">
        <f t="shared" si="24"/>
        <v>6.0000000000001719E-4</v>
      </c>
      <c r="V64" s="56">
        <f t="shared" si="25"/>
        <v>6.0000000000001719E-4</v>
      </c>
    </row>
    <row r="65" spans="1:22">
      <c r="A65" s="143">
        <v>57</v>
      </c>
      <c r="B65" s="141" t="s">
        <v>311</v>
      </c>
      <c r="C65" s="142" t="s">
        <v>103</v>
      </c>
      <c r="D65" s="42">
        <v>1515831476.1099999</v>
      </c>
      <c r="E65" s="28">
        <f t="shared" si="37"/>
        <v>4.8690971891554791E-4</v>
      </c>
      <c r="F65" s="29">
        <v>1</v>
      </c>
      <c r="G65" s="29">
        <v>1</v>
      </c>
      <c r="H65" s="30">
        <v>150</v>
      </c>
      <c r="I65" s="48">
        <v>0.19786200000000001</v>
      </c>
      <c r="J65" s="48">
        <v>0.19786200000000001</v>
      </c>
      <c r="K65" s="42">
        <v>1610092364.55</v>
      </c>
      <c r="L65" s="28">
        <f t="shared" si="38"/>
        <v>5.1718784904966554E-4</v>
      </c>
      <c r="M65" s="29">
        <v>1</v>
      </c>
      <c r="N65" s="29">
        <v>1</v>
      </c>
      <c r="O65" s="30">
        <v>153</v>
      </c>
      <c r="P65" s="48">
        <v>0.20399999999999999</v>
      </c>
      <c r="Q65" s="48">
        <v>0.20399999999999999</v>
      </c>
      <c r="R65" s="54">
        <f t="shared" si="21"/>
        <v>6.2184279668012245E-2</v>
      </c>
      <c r="S65" s="54">
        <f t="shared" si="22"/>
        <v>0</v>
      </c>
      <c r="T65" s="54">
        <f t="shared" si="23"/>
        <v>0.02</v>
      </c>
      <c r="U65" s="55">
        <f t="shared" si="24"/>
        <v>6.1379999999999768E-3</v>
      </c>
      <c r="V65" s="56">
        <f t="shared" si="25"/>
        <v>6.1379999999999768E-3</v>
      </c>
    </row>
    <row r="66" spans="1:22">
      <c r="A66" s="143">
        <v>58</v>
      </c>
      <c r="B66" s="141" t="s">
        <v>104</v>
      </c>
      <c r="C66" s="142" t="s">
        <v>105</v>
      </c>
      <c r="D66" s="42">
        <v>4807611227.4399996</v>
      </c>
      <c r="E66" s="28">
        <f t="shared" si="37"/>
        <v>1.5442829023548865E-3</v>
      </c>
      <c r="F66" s="29">
        <v>1</v>
      </c>
      <c r="G66" s="29">
        <v>1</v>
      </c>
      <c r="H66" s="30">
        <v>435</v>
      </c>
      <c r="I66" s="48">
        <v>0.1996</v>
      </c>
      <c r="J66" s="48">
        <v>0.1996</v>
      </c>
      <c r="K66" s="42">
        <v>4917689548.25</v>
      </c>
      <c r="L66" s="28">
        <f t="shared" si="38"/>
        <v>1.5796418489719861E-3</v>
      </c>
      <c r="M66" s="29">
        <v>1</v>
      </c>
      <c r="N66" s="29">
        <v>1</v>
      </c>
      <c r="O66" s="30">
        <v>439</v>
      </c>
      <c r="P66" s="48">
        <v>0.20710000000000001</v>
      </c>
      <c r="Q66" s="48">
        <v>0.20710000000000001</v>
      </c>
      <c r="R66" s="54">
        <f t="shared" si="21"/>
        <v>2.2896676873894382E-2</v>
      </c>
      <c r="S66" s="54">
        <f t="shared" si="22"/>
        <v>0</v>
      </c>
      <c r="T66" s="54">
        <f t="shared" si="23"/>
        <v>9.1954022988505746E-3</v>
      </c>
      <c r="U66" s="55">
        <f t="shared" si="24"/>
        <v>7.5000000000000067E-3</v>
      </c>
      <c r="V66" s="56">
        <f t="shared" si="25"/>
        <v>7.5000000000000067E-3</v>
      </c>
    </row>
    <row r="67" spans="1:22">
      <c r="A67" s="143">
        <v>59</v>
      </c>
      <c r="B67" s="141" t="s">
        <v>106</v>
      </c>
      <c r="C67" s="142" t="s">
        <v>107</v>
      </c>
      <c r="D67" s="42">
        <v>5809279406</v>
      </c>
      <c r="E67" s="28">
        <f t="shared" si="37"/>
        <v>1.8660350093377251E-3</v>
      </c>
      <c r="F67" s="29">
        <v>1</v>
      </c>
      <c r="G67" s="29">
        <v>1</v>
      </c>
      <c r="H67" s="30">
        <v>3691</v>
      </c>
      <c r="I67" s="48">
        <v>0.22969999999999999</v>
      </c>
      <c r="J67" s="48">
        <v>0.22969999999999999</v>
      </c>
      <c r="K67" s="42">
        <v>5909076619.4099998</v>
      </c>
      <c r="L67" s="28">
        <f t="shared" si="38"/>
        <v>1.8980914970778515E-3</v>
      </c>
      <c r="M67" s="29">
        <v>1</v>
      </c>
      <c r="N67" s="29">
        <v>1</v>
      </c>
      <c r="O67" s="30">
        <v>3751</v>
      </c>
      <c r="P67" s="48">
        <v>0.2306</v>
      </c>
      <c r="Q67" s="48">
        <v>0.2306</v>
      </c>
      <c r="R67" s="54">
        <f t="shared" si="21"/>
        <v>1.7178931574013508E-2</v>
      </c>
      <c r="S67" s="54">
        <f t="shared" si="22"/>
        <v>0</v>
      </c>
      <c r="T67" s="54">
        <f t="shared" si="23"/>
        <v>1.6255757247358438E-2</v>
      </c>
      <c r="U67" s="55">
        <f t="shared" si="24"/>
        <v>9.000000000000119E-4</v>
      </c>
      <c r="V67" s="56">
        <f t="shared" si="25"/>
        <v>9.000000000000119E-4</v>
      </c>
    </row>
    <row r="68" spans="1:22">
      <c r="A68" s="143">
        <v>60</v>
      </c>
      <c r="B68" s="141" t="s">
        <v>108</v>
      </c>
      <c r="C68" s="142" t="s">
        <v>109</v>
      </c>
      <c r="D68" s="42">
        <v>97135948212.630005</v>
      </c>
      <c r="E68" s="28">
        <f t="shared" si="37"/>
        <v>3.120164608415528E-2</v>
      </c>
      <c r="F68" s="29">
        <v>1</v>
      </c>
      <c r="G68" s="29">
        <v>1</v>
      </c>
      <c r="H68" s="30">
        <v>5476</v>
      </c>
      <c r="I68" s="48">
        <v>0.2077</v>
      </c>
      <c r="J68" s="48">
        <v>0.2077</v>
      </c>
      <c r="K68" s="42">
        <v>97959312829.970001</v>
      </c>
      <c r="L68" s="28">
        <f t="shared" si="38"/>
        <v>3.1466124187897286E-2</v>
      </c>
      <c r="M68" s="29">
        <v>1</v>
      </c>
      <c r="N68" s="29">
        <v>1</v>
      </c>
      <c r="O68" s="30">
        <v>5516</v>
      </c>
      <c r="P68" s="48">
        <v>0.2054</v>
      </c>
      <c r="Q68" s="48">
        <v>0.2054</v>
      </c>
      <c r="R68" s="54">
        <f t="shared" si="21"/>
        <v>8.4764150913280434E-3</v>
      </c>
      <c r="S68" s="54">
        <f t="shared" si="22"/>
        <v>0</v>
      </c>
      <c r="T68" s="54">
        <f t="shared" si="23"/>
        <v>7.3046018991964941E-3</v>
      </c>
      <c r="U68" s="55">
        <f t="shared" si="24"/>
        <v>-2.2999999999999965E-3</v>
      </c>
      <c r="V68" s="56">
        <f t="shared" si="25"/>
        <v>-2.2999999999999965E-3</v>
      </c>
    </row>
    <row r="69" spans="1:22">
      <c r="A69" s="34"/>
      <c r="B69" s="35"/>
      <c r="C69" s="36" t="s">
        <v>53</v>
      </c>
      <c r="D69" s="46">
        <f>SUM(D28:D68)</f>
        <v>3096127295901.9282</v>
      </c>
      <c r="E69" s="38">
        <f>(D69/$D$222)</f>
        <v>0.53948204538750011</v>
      </c>
      <c r="F69" s="39"/>
      <c r="G69" s="43"/>
      <c r="H69" s="41">
        <f>SUM(H28:H68)</f>
        <v>439459</v>
      </c>
      <c r="I69" s="53"/>
      <c r="J69" s="53"/>
      <c r="K69" s="46">
        <f>SUM(K28:K68)</f>
        <v>3113167425546.7334</v>
      </c>
      <c r="L69" s="38">
        <f>(K69/$K$222)</f>
        <v>0.53875282426715698</v>
      </c>
      <c r="M69" s="39"/>
      <c r="N69" s="43"/>
      <c r="O69" s="41">
        <f>SUM(O28:O68)</f>
        <v>444663</v>
      </c>
      <c r="P69" s="53"/>
      <c r="Q69" s="53"/>
      <c r="R69" s="54">
        <f t="shared" si="21"/>
        <v>5.503691552785862E-3</v>
      </c>
      <c r="S69" s="54" t="e">
        <f t="shared" si="22"/>
        <v>#DIV/0!</v>
      </c>
      <c r="T69" s="54">
        <f t="shared" si="23"/>
        <v>1.1841832798964181E-2</v>
      </c>
      <c r="U69" s="55">
        <f t="shared" si="24"/>
        <v>0</v>
      </c>
      <c r="V69" s="56">
        <f t="shared" si="25"/>
        <v>0</v>
      </c>
    </row>
    <row r="70" spans="1:22" ht="3" customHeight="1">
      <c r="A70" s="34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</row>
    <row r="71" spans="1:22" ht="15" customHeight="1">
      <c r="A71" s="180" t="s">
        <v>110</v>
      </c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</row>
    <row r="72" spans="1:22">
      <c r="A72" s="143">
        <v>61</v>
      </c>
      <c r="B72" s="141" t="s">
        <v>111</v>
      </c>
      <c r="C72" s="142" t="s">
        <v>21</v>
      </c>
      <c r="D72" s="27">
        <v>535787443.24000001</v>
      </c>
      <c r="E72" s="28">
        <f>(D72/$D$110)</f>
        <v>2.6479392818171527E-3</v>
      </c>
      <c r="F72" s="58">
        <v>1.4701</v>
      </c>
      <c r="G72" s="58">
        <v>1.4701</v>
      </c>
      <c r="H72" s="30">
        <v>477</v>
      </c>
      <c r="I72" s="48">
        <v>4.08E-4</v>
      </c>
      <c r="J72" s="48">
        <v>0.12759999999999999</v>
      </c>
      <c r="K72" s="27">
        <v>541806933.51999998</v>
      </c>
      <c r="L72" s="28">
        <f t="shared" ref="L72:L94" si="39">(K72/$K$110)</f>
        <v>2.579165139334978E-3</v>
      </c>
      <c r="M72" s="58">
        <v>1.4862</v>
      </c>
      <c r="N72" s="58">
        <v>1.4862</v>
      </c>
      <c r="O72" s="30">
        <v>477</v>
      </c>
      <c r="P72" s="48">
        <v>8.0800000000000002E-4</v>
      </c>
      <c r="Q72" s="48">
        <v>0.14000000000000001</v>
      </c>
      <c r="R72" s="54">
        <f>((K72-D72)/D72)</f>
        <v>1.1234847617180172E-2</v>
      </c>
      <c r="S72" s="54">
        <f>((N72-G72)/G72)</f>
        <v>1.0951635943133123E-2</v>
      </c>
      <c r="T72" s="54">
        <f>((O72-H72)/H72)</f>
        <v>0</v>
      </c>
      <c r="U72" s="55">
        <f>P72-I72</f>
        <v>4.0000000000000002E-4</v>
      </c>
      <c r="V72" s="56">
        <f>Q72-J72</f>
        <v>1.2400000000000022E-2</v>
      </c>
    </row>
    <row r="73" spans="1:22">
      <c r="A73" s="143">
        <v>62</v>
      </c>
      <c r="B73" s="141" t="s">
        <v>112</v>
      </c>
      <c r="C73" s="142" t="s">
        <v>23</v>
      </c>
      <c r="D73" s="27">
        <v>1296350802.49</v>
      </c>
      <c r="E73" s="28">
        <f>(D73/$D$110)</f>
        <v>6.4067537532618872E-3</v>
      </c>
      <c r="F73" s="58">
        <v>1.2642</v>
      </c>
      <c r="G73" s="58">
        <v>1.2642</v>
      </c>
      <c r="H73" s="30">
        <v>1008</v>
      </c>
      <c r="I73" s="48">
        <v>0.13650000000000001</v>
      </c>
      <c r="J73" s="48">
        <v>0.15640000000000001</v>
      </c>
      <c r="K73" s="27">
        <v>1297938974.27</v>
      </c>
      <c r="L73" s="28">
        <f t="shared" si="39"/>
        <v>6.1785827170441907E-3</v>
      </c>
      <c r="M73" s="58">
        <v>1.2707999999999999</v>
      </c>
      <c r="N73" s="58">
        <v>1.2707999999999999</v>
      </c>
      <c r="O73" s="30">
        <v>1016</v>
      </c>
      <c r="P73" s="48">
        <v>0.2722</v>
      </c>
      <c r="Q73" s="48">
        <v>0.16189999999999999</v>
      </c>
      <c r="R73" s="54">
        <f t="shared" ref="R73:R110" si="40">((K73-D73)/D73)</f>
        <v>1.2251095744681521E-3</v>
      </c>
      <c r="S73" s="54">
        <f t="shared" ref="S73:S110" si="41">((N73-G73)/G73)</f>
        <v>5.2206929283340761E-3</v>
      </c>
      <c r="T73" s="54">
        <f t="shared" ref="T73:T110" si="42">((O73-H73)/H73)</f>
        <v>7.9365079365079361E-3</v>
      </c>
      <c r="U73" s="55">
        <f t="shared" ref="U73:U110" si="43">P73-I73</f>
        <v>0.13569999999999999</v>
      </c>
      <c r="V73" s="56">
        <f t="shared" ref="V73:V110" si="44">Q73-J73</f>
        <v>5.4999999999999771E-3</v>
      </c>
    </row>
    <row r="74" spans="1:22">
      <c r="A74" s="143">
        <v>63</v>
      </c>
      <c r="B74" s="141" t="s">
        <v>113</v>
      </c>
      <c r="C74" s="142" t="s">
        <v>23</v>
      </c>
      <c r="D74" s="27">
        <v>792485112.88</v>
      </c>
      <c r="E74" s="28">
        <f>(D74/$D$110)</f>
        <v>3.916576409406956E-3</v>
      </c>
      <c r="F74" s="58">
        <v>1.1321000000000001</v>
      </c>
      <c r="G74" s="58">
        <v>1.1321000000000001</v>
      </c>
      <c r="H74" s="30">
        <v>342</v>
      </c>
      <c r="I74" s="48">
        <v>0.12</v>
      </c>
      <c r="J74" s="48">
        <v>0.1221</v>
      </c>
      <c r="K74" s="27">
        <v>788078796.63999999</v>
      </c>
      <c r="L74" s="28">
        <f t="shared" si="39"/>
        <v>3.7514938137422661E-3</v>
      </c>
      <c r="M74" s="58">
        <v>1.1347</v>
      </c>
      <c r="N74" s="58">
        <v>1.1347</v>
      </c>
      <c r="O74" s="30">
        <v>348</v>
      </c>
      <c r="P74" s="48">
        <v>0.1198</v>
      </c>
      <c r="Q74" s="48">
        <v>0.12230000000000001</v>
      </c>
      <c r="R74" s="54">
        <f t="shared" si="40"/>
        <v>-5.5601249391131775E-3</v>
      </c>
      <c r="S74" s="54">
        <f t="shared" si="41"/>
        <v>2.2966169066336328E-3</v>
      </c>
      <c r="T74" s="54">
        <f t="shared" si="42"/>
        <v>1.7543859649122806E-2</v>
      </c>
      <c r="U74" s="55">
        <f t="shared" si="43"/>
        <v>-1.9999999999999185E-4</v>
      </c>
      <c r="V74" s="56">
        <f t="shared" si="44"/>
        <v>2.0000000000000573E-4</v>
      </c>
    </row>
    <row r="75" spans="1:22">
      <c r="A75" s="143">
        <v>64</v>
      </c>
      <c r="B75" s="141" t="s">
        <v>114</v>
      </c>
      <c r="C75" s="142" t="s">
        <v>115</v>
      </c>
      <c r="D75" s="27">
        <v>285620491.43000001</v>
      </c>
      <c r="E75" s="28">
        <f>(D75/$D$110)</f>
        <v>1.4115779092841445E-3</v>
      </c>
      <c r="F75" s="33">
        <v>1122.55</v>
      </c>
      <c r="G75" s="33">
        <v>1122.55</v>
      </c>
      <c r="H75" s="30">
        <v>109</v>
      </c>
      <c r="I75" s="48">
        <v>1.6999999999999999E-3</v>
      </c>
      <c r="J75" s="48">
        <v>0.1134</v>
      </c>
      <c r="K75" s="27">
        <v>289045236.81999999</v>
      </c>
      <c r="L75" s="28">
        <f t="shared" si="39"/>
        <v>1.3759428910472739E-3</v>
      </c>
      <c r="M75" s="33">
        <v>1136.01</v>
      </c>
      <c r="N75" s="33">
        <v>1136.01</v>
      </c>
      <c r="O75" s="30">
        <v>109</v>
      </c>
      <c r="P75" s="48">
        <v>9.4999999999999998E-3</v>
      </c>
      <c r="Q75" s="48">
        <v>0.13320000000000001</v>
      </c>
      <c r="R75" s="54">
        <f t="shared" si="40"/>
        <v>1.199054512109235E-2</v>
      </c>
      <c r="S75" s="54">
        <f t="shared" si="41"/>
        <v>1.1990557213487183E-2</v>
      </c>
      <c r="T75" s="54">
        <f t="shared" si="42"/>
        <v>0</v>
      </c>
      <c r="U75" s="55">
        <f t="shared" si="43"/>
        <v>7.7999999999999996E-3</v>
      </c>
      <c r="V75" s="56">
        <f t="shared" si="44"/>
        <v>1.9800000000000012E-2</v>
      </c>
    </row>
    <row r="76" spans="1:22" ht="15" customHeight="1">
      <c r="A76" s="143">
        <v>65</v>
      </c>
      <c r="B76" s="141" t="s">
        <v>116</v>
      </c>
      <c r="C76" s="142" t="s">
        <v>27</v>
      </c>
      <c r="D76" s="27">
        <v>1592890497.6800001</v>
      </c>
      <c r="E76" s="28">
        <f>(D76/$K$110)</f>
        <v>7.5826413215189081E-3</v>
      </c>
      <c r="F76" s="33">
        <v>1.1183000000000001</v>
      </c>
      <c r="G76" s="33">
        <v>1.1183000000000001</v>
      </c>
      <c r="H76" s="30">
        <v>924</v>
      </c>
      <c r="I76" s="48">
        <v>3.3E-3</v>
      </c>
      <c r="J76" s="48">
        <v>6.7799999999999999E-2</v>
      </c>
      <c r="K76" s="27">
        <v>1608881689.8699999</v>
      </c>
      <c r="L76" s="28">
        <f t="shared" si="39"/>
        <v>7.6587642407383071E-3</v>
      </c>
      <c r="M76" s="33">
        <v>1.1218999999999999</v>
      </c>
      <c r="N76" s="33">
        <v>1.1218999999999999</v>
      </c>
      <c r="O76" s="30">
        <v>932</v>
      </c>
      <c r="P76" s="48">
        <v>3.2000000000000002E-3</v>
      </c>
      <c r="Q76" s="48">
        <v>7.0999999999999994E-2</v>
      </c>
      <c r="R76" s="54">
        <f t="shared" si="40"/>
        <v>1.0039103261203792E-2</v>
      </c>
      <c r="S76" s="54">
        <f t="shared" si="41"/>
        <v>3.2191719574352368E-3</v>
      </c>
      <c r="T76" s="54">
        <f t="shared" si="42"/>
        <v>8.658008658008658E-3</v>
      </c>
      <c r="U76" s="55">
        <f t="shared" si="43"/>
        <v>-9.9999999999999829E-5</v>
      </c>
      <c r="V76" s="56">
        <f t="shared" si="44"/>
        <v>3.1999999999999945E-3</v>
      </c>
    </row>
    <row r="77" spans="1:22">
      <c r="A77" s="143">
        <v>66</v>
      </c>
      <c r="B77" s="141" t="s">
        <v>117</v>
      </c>
      <c r="C77" s="142" t="s">
        <v>118</v>
      </c>
      <c r="D77" s="27">
        <v>456644792.19047266</v>
      </c>
      <c r="E77" s="28">
        <f t="shared" ref="E77:E94" si="45">(D77/$D$110)</f>
        <v>2.2568048175342363E-3</v>
      </c>
      <c r="F77" s="33">
        <v>2.6185999999999998</v>
      </c>
      <c r="G77" s="33">
        <v>2.6185999999999998</v>
      </c>
      <c r="H77" s="30">
        <v>1391</v>
      </c>
      <c r="I77" s="48">
        <v>0.1678</v>
      </c>
      <c r="J77" s="48">
        <v>0.14069999999999999</v>
      </c>
      <c r="K77" s="27">
        <v>457930540.37648386</v>
      </c>
      <c r="L77" s="28">
        <f t="shared" si="39"/>
        <v>2.1798880983354154E-3</v>
      </c>
      <c r="M77" s="33">
        <v>2.6259999999999999</v>
      </c>
      <c r="N77" s="33">
        <v>2.6259999999999999</v>
      </c>
      <c r="O77" s="30">
        <v>1391</v>
      </c>
      <c r="P77" s="48">
        <v>0.1474</v>
      </c>
      <c r="Q77" s="48">
        <v>0.1414</v>
      </c>
      <c r="R77" s="54">
        <f t="shared" si="40"/>
        <v>2.8156418467921393E-3</v>
      </c>
      <c r="S77" s="54">
        <f t="shared" si="41"/>
        <v>2.8259375238677436E-3</v>
      </c>
      <c r="T77" s="54">
        <f t="shared" si="42"/>
        <v>0</v>
      </c>
      <c r="U77" s="55">
        <f t="shared" si="43"/>
        <v>-2.0400000000000001E-2</v>
      </c>
      <c r="V77" s="56">
        <f t="shared" si="44"/>
        <v>7.0000000000000617E-4</v>
      </c>
    </row>
    <row r="78" spans="1:22">
      <c r="A78" s="143">
        <v>67</v>
      </c>
      <c r="B78" s="141" t="s">
        <v>119</v>
      </c>
      <c r="C78" s="142" t="s">
        <v>63</v>
      </c>
      <c r="D78" s="27">
        <v>159194927.21000001</v>
      </c>
      <c r="E78" s="28">
        <f t="shared" si="45"/>
        <v>7.8676442784150476E-4</v>
      </c>
      <c r="F78" s="33">
        <v>12.28</v>
      </c>
      <c r="G78" s="33">
        <v>12.32</v>
      </c>
      <c r="H78" s="30">
        <v>30</v>
      </c>
      <c r="I78" s="48">
        <v>0</v>
      </c>
      <c r="J78" s="48">
        <v>0.29399999999999998</v>
      </c>
      <c r="K78" s="27">
        <v>159194927.21000001</v>
      </c>
      <c r="L78" s="28">
        <f t="shared" si="39"/>
        <v>7.5781608026218624E-4</v>
      </c>
      <c r="M78" s="33">
        <v>12.28</v>
      </c>
      <c r="N78" s="33">
        <v>12.32</v>
      </c>
      <c r="O78" s="30">
        <v>30</v>
      </c>
      <c r="P78" s="48">
        <v>0.1215247</v>
      </c>
      <c r="Q78" s="48">
        <v>0.29399999999999998</v>
      </c>
      <c r="R78" s="54">
        <f t="shared" si="40"/>
        <v>0</v>
      </c>
      <c r="S78" s="54">
        <f t="shared" si="41"/>
        <v>0</v>
      </c>
      <c r="T78" s="54">
        <f t="shared" si="42"/>
        <v>0</v>
      </c>
      <c r="U78" s="55">
        <f t="shared" si="43"/>
        <v>0.1215247</v>
      </c>
      <c r="V78" s="56">
        <f t="shared" si="44"/>
        <v>0</v>
      </c>
    </row>
    <row r="79" spans="1:22">
      <c r="A79" s="143">
        <v>68</v>
      </c>
      <c r="B79" s="141" t="s">
        <v>120</v>
      </c>
      <c r="C79" s="142" t="s">
        <v>65</v>
      </c>
      <c r="D79" s="27">
        <v>2065464482.9235001</v>
      </c>
      <c r="E79" s="28">
        <f t="shared" si="45"/>
        <v>1.0207825152560381E-2</v>
      </c>
      <c r="F79" s="27">
        <v>4614.9850858802101</v>
      </c>
      <c r="G79" s="27">
        <v>4614.9850858802101</v>
      </c>
      <c r="H79" s="30">
        <v>1108</v>
      </c>
      <c r="I79" s="48">
        <v>0.10334587100383401</v>
      </c>
      <c r="J79" s="48">
        <v>0.11711321318717713</v>
      </c>
      <c r="K79" s="27">
        <v>2020842407.1603501</v>
      </c>
      <c r="L79" s="28">
        <f t="shared" si="39"/>
        <v>9.6198220550187188E-3</v>
      </c>
      <c r="M79" s="27">
        <v>4630.5616906443302</v>
      </c>
      <c r="N79" s="27">
        <v>4630.5616906443302</v>
      </c>
      <c r="O79" s="30">
        <v>1110</v>
      </c>
      <c r="P79" s="48">
        <v>0.17599378153382411</v>
      </c>
      <c r="Q79" s="48">
        <v>0.11990263090048349</v>
      </c>
      <c r="R79" s="54">
        <f t="shared" si="40"/>
        <v>-2.1603894006442071E-2</v>
      </c>
      <c r="S79" s="54">
        <f t="shared" si="41"/>
        <v>3.3752232074979968E-3</v>
      </c>
      <c r="T79" s="54">
        <f t="shared" si="42"/>
        <v>1.8050541516245488E-3</v>
      </c>
      <c r="U79" s="55">
        <f t="shared" si="43"/>
        <v>7.2647910529990103E-2</v>
      </c>
      <c r="V79" s="56">
        <f t="shared" si="44"/>
        <v>2.7894177133063608E-3</v>
      </c>
    </row>
    <row r="80" spans="1:22">
      <c r="A80" s="143">
        <v>69</v>
      </c>
      <c r="B80" s="141" t="s">
        <v>121</v>
      </c>
      <c r="C80" s="142" t="s">
        <v>67</v>
      </c>
      <c r="D80" s="27">
        <v>341225836.12</v>
      </c>
      <c r="E80" s="28">
        <f t="shared" si="45"/>
        <v>1.6863875905137949E-3</v>
      </c>
      <c r="F80" s="58">
        <v>111.22</v>
      </c>
      <c r="G80" s="58">
        <v>111.22</v>
      </c>
      <c r="H80" s="30">
        <v>138</v>
      </c>
      <c r="I80" s="48">
        <v>2.5999999999999999E-3</v>
      </c>
      <c r="J80" s="48">
        <v>0.1255</v>
      </c>
      <c r="K80" s="27">
        <v>342138569.06999999</v>
      </c>
      <c r="L80" s="28">
        <f t="shared" si="39"/>
        <v>1.6286832367284993E-3</v>
      </c>
      <c r="M80" s="58">
        <v>111.47</v>
      </c>
      <c r="N80" s="58">
        <v>111.47</v>
      </c>
      <c r="O80" s="30">
        <v>138</v>
      </c>
      <c r="P80" s="48">
        <v>2.2000000000000001E-3</v>
      </c>
      <c r="Q80" s="48">
        <v>0.1255</v>
      </c>
      <c r="R80" s="54">
        <f t="shared" si="40"/>
        <v>2.674864718271228E-3</v>
      </c>
      <c r="S80" s="54">
        <f t="shared" si="41"/>
        <v>2.2477971587843912E-3</v>
      </c>
      <c r="T80" s="54">
        <f t="shared" si="42"/>
        <v>0</v>
      </c>
      <c r="U80" s="55">
        <f t="shared" si="43"/>
        <v>-3.9999999999999975E-4</v>
      </c>
      <c r="V80" s="56">
        <f t="shared" si="44"/>
        <v>0</v>
      </c>
    </row>
    <row r="81" spans="1:22" ht="13.5" customHeight="1">
      <c r="A81" s="143">
        <v>70</v>
      </c>
      <c r="B81" s="141" t="s">
        <v>122</v>
      </c>
      <c r="C81" s="142" t="s">
        <v>296</v>
      </c>
      <c r="D81" s="27">
        <v>375317818.61000001</v>
      </c>
      <c r="E81" s="28">
        <f t="shared" si="45"/>
        <v>1.8548751143803381E-3</v>
      </c>
      <c r="F81" s="58">
        <v>1.4252</v>
      </c>
      <c r="G81" s="58">
        <v>1.4252</v>
      </c>
      <c r="H81" s="30">
        <v>421</v>
      </c>
      <c r="I81" s="48">
        <v>-5.859375E-3</v>
      </c>
      <c r="J81" s="48">
        <v>8.4928040770359314E-2</v>
      </c>
      <c r="K81" s="27">
        <v>394232009.19999999</v>
      </c>
      <c r="L81" s="28">
        <f t="shared" si="39"/>
        <v>1.8766637930097529E-3</v>
      </c>
      <c r="M81" s="58">
        <v>1.4812000000000001</v>
      </c>
      <c r="N81" s="58">
        <v>1.4812000000000001</v>
      </c>
      <c r="O81" s="30">
        <v>425</v>
      </c>
      <c r="P81" s="48">
        <v>3.9292730844793677E-2</v>
      </c>
      <c r="Q81" s="48">
        <v>0.12581887684191828</v>
      </c>
      <c r="R81" s="54">
        <f t="shared" si="40"/>
        <v>5.0395130878808807E-2</v>
      </c>
      <c r="S81" s="54">
        <f t="shared" si="41"/>
        <v>3.9292730844793747E-2</v>
      </c>
      <c r="T81" s="54">
        <f t="shared" si="42"/>
        <v>9.5011876484560574E-3</v>
      </c>
      <c r="U81" s="55">
        <f t="shared" si="43"/>
        <v>4.5152105844793677E-2</v>
      </c>
      <c r="V81" s="56">
        <f t="shared" si="44"/>
        <v>4.0890836071558967E-2</v>
      </c>
    </row>
    <row r="82" spans="1:22" ht="13.5" customHeight="1">
      <c r="A82" s="143">
        <v>71</v>
      </c>
      <c r="B82" s="141" t="s">
        <v>294</v>
      </c>
      <c r="C82" s="142" t="s">
        <v>296</v>
      </c>
      <c r="D82" s="27">
        <v>26146569.870000001</v>
      </c>
      <c r="E82" s="28">
        <f t="shared" si="45"/>
        <v>1.2922014189969914E-4</v>
      </c>
      <c r="F82" s="58">
        <v>0.88319999999999999</v>
      </c>
      <c r="G82" s="58">
        <v>0.88319999999999999</v>
      </c>
      <c r="H82" s="30">
        <v>1</v>
      </c>
      <c r="I82" s="48">
        <v>-3.395585738539264E-4</v>
      </c>
      <c r="J82" s="48">
        <v>-0.10895883777239712</v>
      </c>
      <c r="K82" s="27">
        <v>26225633.640000001</v>
      </c>
      <c r="L82" s="28">
        <f t="shared" si="39"/>
        <v>1.2484196095796521E-4</v>
      </c>
      <c r="M82" s="58">
        <v>0.88300000000000001</v>
      </c>
      <c r="N82" s="58">
        <v>0.88300000000000001</v>
      </c>
      <c r="O82" s="30">
        <v>1</v>
      </c>
      <c r="P82" s="48">
        <v>-5.6593095642321067E-4</v>
      </c>
      <c r="Q82" s="48">
        <v>-0.10916061339790151</v>
      </c>
      <c r="R82" s="54">
        <f t="shared" ref="R82" si="46">((K82-D82)/D82)</f>
        <v>3.0238677728322439E-3</v>
      </c>
      <c r="S82" s="54">
        <f t="shared" ref="S82" si="47">((N82-G82)/G82)</f>
        <v>-2.2644927536229391E-4</v>
      </c>
      <c r="T82" s="54">
        <f t="shared" ref="T82" si="48">((O82-H82)/H82)</f>
        <v>0</v>
      </c>
      <c r="U82" s="55">
        <f t="shared" ref="U82" si="49">P82-I82</f>
        <v>-2.2637238256928427E-4</v>
      </c>
      <c r="V82" s="56">
        <f t="shared" ref="V82" si="50">Q82-J82</f>
        <v>-2.0177562550438566E-4</v>
      </c>
    </row>
    <row r="83" spans="1:22">
      <c r="A83" s="143">
        <v>72</v>
      </c>
      <c r="B83" s="141" t="s">
        <v>124</v>
      </c>
      <c r="C83" s="142" t="s">
        <v>29</v>
      </c>
      <c r="D83" s="27">
        <v>145205307.69999999</v>
      </c>
      <c r="E83" s="28">
        <f t="shared" si="45"/>
        <v>7.1762569847115001E-4</v>
      </c>
      <c r="F83" s="58">
        <v>133.3434</v>
      </c>
      <c r="G83" s="58">
        <v>133.3434</v>
      </c>
      <c r="H83" s="30">
        <v>252</v>
      </c>
      <c r="I83" s="48">
        <v>1.9880000000000002E-3</v>
      </c>
      <c r="J83" s="48">
        <v>6.6400000000000001E-2</v>
      </c>
      <c r="K83" s="27">
        <v>142833284.97</v>
      </c>
      <c r="L83" s="28">
        <f t="shared" si="39"/>
        <v>6.7992970658010976E-4</v>
      </c>
      <c r="M83" s="58">
        <v>133.89500000000001</v>
      </c>
      <c r="N83" s="58">
        <v>133.89500000000001</v>
      </c>
      <c r="O83" s="30">
        <v>258</v>
      </c>
      <c r="P83" s="48">
        <v>2.0985000000000001E-3</v>
      </c>
      <c r="Q83" s="48">
        <v>6.9800000000000001E-2</v>
      </c>
      <c r="R83" s="54">
        <f t="shared" si="40"/>
        <v>-1.6335647557048558E-2</v>
      </c>
      <c r="S83" s="54">
        <f t="shared" si="41"/>
        <v>4.1366876800802109E-3</v>
      </c>
      <c r="T83" s="54">
        <f t="shared" si="42"/>
        <v>2.3809523809523808E-2</v>
      </c>
      <c r="U83" s="55">
        <f t="shared" si="43"/>
        <v>1.1049999999999992E-4</v>
      </c>
      <c r="V83" s="56">
        <f t="shared" si="44"/>
        <v>3.4000000000000002E-3</v>
      </c>
    </row>
    <row r="84" spans="1:22">
      <c r="A84" s="143">
        <v>73</v>
      </c>
      <c r="B84" s="141" t="s">
        <v>125</v>
      </c>
      <c r="C84" s="142" t="s">
        <v>96</v>
      </c>
      <c r="D84" s="27">
        <v>1521998365.5600002</v>
      </c>
      <c r="E84" s="28">
        <f t="shared" si="45"/>
        <v>7.5219367491271396E-3</v>
      </c>
      <c r="F84" s="33">
        <v>1000</v>
      </c>
      <c r="G84" s="33">
        <v>1000</v>
      </c>
      <c r="H84" s="30">
        <v>366</v>
      </c>
      <c r="I84" s="48">
        <v>1.8200000000000001E-2</v>
      </c>
      <c r="J84" s="48">
        <v>0.20599999999999999</v>
      </c>
      <c r="K84" s="27">
        <v>1945094367.73</v>
      </c>
      <c r="L84" s="28">
        <f t="shared" si="39"/>
        <v>9.2592384401091118E-3</v>
      </c>
      <c r="M84" s="33">
        <v>1000</v>
      </c>
      <c r="N84" s="33">
        <v>1000</v>
      </c>
      <c r="O84" s="30">
        <v>365</v>
      </c>
      <c r="P84" s="48">
        <v>1.8200000000000001E-2</v>
      </c>
      <c r="Q84" s="48">
        <v>0.20619999999999999</v>
      </c>
      <c r="R84" s="54">
        <f t="shared" si="40"/>
        <v>0.27798715934515933</v>
      </c>
      <c r="S84" s="54">
        <f t="shared" si="41"/>
        <v>0</v>
      </c>
      <c r="T84" s="54">
        <f t="shared" si="42"/>
        <v>-2.7322404371584699E-3</v>
      </c>
      <c r="U84" s="55">
        <f t="shared" si="43"/>
        <v>0</v>
      </c>
      <c r="V84" s="56">
        <f t="shared" si="44"/>
        <v>2.0000000000000573E-4</v>
      </c>
    </row>
    <row r="85" spans="1:22">
      <c r="A85" s="143">
        <v>74</v>
      </c>
      <c r="B85" s="141" t="s">
        <v>126</v>
      </c>
      <c r="C85" s="142" t="s">
        <v>70</v>
      </c>
      <c r="D85" s="27">
        <v>155688228.90000001</v>
      </c>
      <c r="E85" s="28">
        <f t="shared" si="45"/>
        <v>7.6943381600711835E-4</v>
      </c>
      <c r="F85" s="33">
        <v>1063.3800000000001</v>
      </c>
      <c r="G85" s="33">
        <v>1078.8599999999999</v>
      </c>
      <c r="H85" s="30">
        <v>71</v>
      </c>
      <c r="I85" s="48">
        <v>2.3999999999999998E-3</v>
      </c>
      <c r="J85" s="48">
        <v>5.9700000000000003E-2</v>
      </c>
      <c r="K85" s="27">
        <v>156793108.86000001</v>
      </c>
      <c r="L85" s="28">
        <f t="shared" si="39"/>
        <v>7.4638269730584509E-4</v>
      </c>
      <c r="M85" s="33">
        <v>1070.1400000000001</v>
      </c>
      <c r="N85" s="33">
        <v>1086.5899999999999</v>
      </c>
      <c r="O85" s="30">
        <v>71</v>
      </c>
      <c r="P85" s="48">
        <v>7.1999999999999998E-3</v>
      </c>
      <c r="Q85" s="48">
        <v>6.6799999999999998E-2</v>
      </c>
      <c r="R85" s="54">
        <f t="shared" si="40"/>
        <v>7.0967469268963359E-3</v>
      </c>
      <c r="S85" s="54">
        <f t="shared" si="41"/>
        <v>7.1649704317520522E-3</v>
      </c>
      <c r="T85" s="54">
        <f t="shared" si="42"/>
        <v>0</v>
      </c>
      <c r="U85" s="55">
        <f t="shared" si="43"/>
        <v>4.8000000000000004E-3</v>
      </c>
      <c r="V85" s="56">
        <f t="shared" si="44"/>
        <v>7.0999999999999952E-3</v>
      </c>
    </row>
    <row r="86" spans="1:22">
      <c r="A86" s="143">
        <v>75</v>
      </c>
      <c r="B86" s="141" t="s">
        <v>127</v>
      </c>
      <c r="C86" s="142" t="s">
        <v>73</v>
      </c>
      <c r="D86" s="27">
        <v>670868488.37</v>
      </c>
      <c r="E86" s="28">
        <f t="shared" si="45"/>
        <v>3.3155294057395251E-3</v>
      </c>
      <c r="F86" s="59">
        <v>1.2045999999999999</v>
      </c>
      <c r="G86" s="59">
        <v>1.2045999999999999</v>
      </c>
      <c r="H86" s="30">
        <v>50</v>
      </c>
      <c r="I86" s="48">
        <v>1.5E-3</v>
      </c>
      <c r="J86" s="48">
        <v>0.11996</v>
      </c>
      <c r="K86" s="27">
        <v>672220106.02999997</v>
      </c>
      <c r="L86" s="28">
        <f t="shared" si="39"/>
        <v>3.1999713480385704E-3</v>
      </c>
      <c r="M86" s="59">
        <v>1.2072000000000001</v>
      </c>
      <c r="N86" s="59">
        <v>1.2072000000000001</v>
      </c>
      <c r="O86" s="30">
        <v>50</v>
      </c>
      <c r="P86" s="48">
        <v>1.5E-3</v>
      </c>
      <c r="Q86" s="48">
        <v>0.11995</v>
      </c>
      <c r="R86" s="54">
        <f t="shared" si="40"/>
        <v>2.0147281970032214E-3</v>
      </c>
      <c r="S86" s="54">
        <f t="shared" si="41"/>
        <v>2.1583928274947354E-3</v>
      </c>
      <c r="T86" s="54">
        <f t="shared" si="42"/>
        <v>0</v>
      </c>
      <c r="U86" s="55">
        <f t="shared" si="43"/>
        <v>0</v>
      </c>
      <c r="V86" s="56">
        <f t="shared" si="44"/>
        <v>-9.9999999999961231E-6</v>
      </c>
    </row>
    <row r="87" spans="1:22">
      <c r="A87" s="143">
        <v>76</v>
      </c>
      <c r="B87" s="141" t="s">
        <v>128</v>
      </c>
      <c r="C87" s="142" t="s">
        <v>31</v>
      </c>
      <c r="D87" s="27">
        <v>12088366409.93</v>
      </c>
      <c r="E87" s="28">
        <f t="shared" si="45"/>
        <v>5.9742460697262828E-2</v>
      </c>
      <c r="F87" s="59">
        <v>1719.33</v>
      </c>
      <c r="G87" s="59">
        <v>1719.33</v>
      </c>
      <c r="H87" s="30">
        <v>2091</v>
      </c>
      <c r="I87" s="48">
        <v>8.0000000000000004E-4</v>
      </c>
      <c r="J87" s="48">
        <v>1.5599999999999999E-2</v>
      </c>
      <c r="K87" s="27">
        <v>12075370846.51</v>
      </c>
      <c r="L87" s="28">
        <f t="shared" si="39"/>
        <v>5.7482423359779405E-2</v>
      </c>
      <c r="M87" s="59">
        <v>1720.62</v>
      </c>
      <c r="N87" s="59">
        <v>1720.62</v>
      </c>
      <c r="O87" s="30">
        <v>2083</v>
      </c>
      <c r="P87" s="48">
        <v>8.0000000000000004E-4</v>
      </c>
      <c r="Q87" s="48">
        <v>1.6299999999999999E-2</v>
      </c>
      <c r="R87" s="54">
        <f t="shared" si="40"/>
        <v>-1.0750471138370572E-3</v>
      </c>
      <c r="S87" s="54">
        <f t="shared" si="41"/>
        <v>7.5029226501018638E-4</v>
      </c>
      <c r="T87" s="54">
        <f t="shared" si="42"/>
        <v>-3.8259206121472981E-3</v>
      </c>
      <c r="U87" s="55">
        <f t="shared" si="43"/>
        <v>0</v>
      </c>
      <c r="V87" s="56">
        <f t="shared" si="44"/>
        <v>6.9999999999999923E-4</v>
      </c>
    </row>
    <row r="88" spans="1:22">
      <c r="A88" s="143">
        <v>77</v>
      </c>
      <c r="B88" s="141" t="s">
        <v>129</v>
      </c>
      <c r="C88" s="142" t="s">
        <v>78</v>
      </c>
      <c r="D88" s="27">
        <v>23636899.170000002</v>
      </c>
      <c r="E88" s="28">
        <f t="shared" si="45"/>
        <v>1.1681698517252891E-4</v>
      </c>
      <c r="F88" s="58">
        <v>0.72019999999999995</v>
      </c>
      <c r="G88" s="58">
        <v>0.72019999999999995</v>
      </c>
      <c r="H88" s="30">
        <v>746</v>
      </c>
      <c r="I88" s="48">
        <v>2.0999999999999999E-3</v>
      </c>
      <c r="J88" s="48">
        <v>4.8999999999999998E-3</v>
      </c>
      <c r="K88" s="27">
        <v>23636899.170000002</v>
      </c>
      <c r="L88" s="28">
        <f t="shared" si="39"/>
        <v>1.12518800645783E-4</v>
      </c>
      <c r="M88" s="58">
        <v>0.7218</v>
      </c>
      <c r="N88" s="58">
        <v>0.7218</v>
      </c>
      <c r="O88" s="30">
        <v>746</v>
      </c>
      <c r="P88" s="48">
        <v>2.2000000000000001E-3</v>
      </c>
      <c r="Q88" s="48">
        <v>7.1000000000000004E-3</v>
      </c>
      <c r="R88" s="54">
        <f t="shared" si="40"/>
        <v>0</v>
      </c>
      <c r="S88" s="54">
        <f t="shared" si="41"/>
        <v>2.2216051096918162E-3</v>
      </c>
      <c r="T88" s="54">
        <f t="shared" si="42"/>
        <v>0</v>
      </c>
      <c r="U88" s="55">
        <f t="shared" si="43"/>
        <v>1.0000000000000026E-4</v>
      </c>
      <c r="V88" s="56">
        <f t="shared" si="44"/>
        <v>2.2000000000000006E-3</v>
      </c>
    </row>
    <row r="89" spans="1:22">
      <c r="A89" s="143">
        <v>78</v>
      </c>
      <c r="B89" s="141" t="s">
        <v>130</v>
      </c>
      <c r="C89" s="142" t="s">
        <v>37</v>
      </c>
      <c r="D89" s="27">
        <v>10479374852.52</v>
      </c>
      <c r="E89" s="28">
        <f t="shared" si="45"/>
        <v>5.179059097218297E-2</v>
      </c>
      <c r="F89" s="58">
        <v>1</v>
      </c>
      <c r="G89" s="58">
        <v>1</v>
      </c>
      <c r="H89" s="30">
        <v>4296</v>
      </c>
      <c r="I89" s="48">
        <v>0.06</v>
      </c>
      <c r="J89" s="48">
        <v>0.06</v>
      </c>
      <c r="K89" s="27">
        <v>10507819645.49</v>
      </c>
      <c r="L89" s="28">
        <f t="shared" si="39"/>
        <v>5.0020404766685449E-2</v>
      </c>
      <c r="M89" s="58">
        <v>1</v>
      </c>
      <c r="N89" s="58">
        <v>1</v>
      </c>
      <c r="O89" s="30">
        <v>4303</v>
      </c>
      <c r="P89" s="48">
        <v>0.06</v>
      </c>
      <c r="Q89" s="48">
        <v>0.06</v>
      </c>
      <c r="R89" s="54">
        <f t="shared" si="40"/>
        <v>2.7143597180474105E-3</v>
      </c>
      <c r="S89" s="54">
        <f t="shared" si="41"/>
        <v>0</v>
      </c>
      <c r="T89" s="54">
        <f t="shared" si="42"/>
        <v>1.6294227188081937E-3</v>
      </c>
      <c r="U89" s="55">
        <f t="shared" si="43"/>
        <v>0</v>
      </c>
      <c r="V89" s="56">
        <f t="shared" si="44"/>
        <v>0</v>
      </c>
    </row>
    <row r="90" spans="1:22">
      <c r="A90" s="143">
        <v>79</v>
      </c>
      <c r="B90" s="141" t="s">
        <v>131</v>
      </c>
      <c r="C90" s="142" t="s">
        <v>132</v>
      </c>
      <c r="D90" s="27">
        <v>1560725932.9300001</v>
      </c>
      <c r="E90" s="28">
        <f t="shared" si="45"/>
        <v>7.713334006047002E-3</v>
      </c>
      <c r="F90" s="27">
        <v>254.33</v>
      </c>
      <c r="G90" s="27">
        <v>256.25</v>
      </c>
      <c r="H90" s="30">
        <v>529</v>
      </c>
      <c r="I90" s="48">
        <v>3.0000000000000001E-3</v>
      </c>
      <c r="J90" s="48">
        <v>0.18729999999999999</v>
      </c>
      <c r="K90" s="27">
        <v>1547743915.9000001</v>
      </c>
      <c r="L90" s="28">
        <f t="shared" si="39"/>
        <v>7.3677299154750178E-3</v>
      </c>
      <c r="M90" s="27">
        <v>255.05</v>
      </c>
      <c r="N90" s="27">
        <v>257.05</v>
      </c>
      <c r="O90" s="30">
        <v>531</v>
      </c>
      <c r="P90" s="48">
        <v>3.0000000000000001E-3</v>
      </c>
      <c r="Q90" s="48">
        <v>0.18729999999999999</v>
      </c>
      <c r="R90" s="54">
        <f t="shared" si="40"/>
        <v>-8.3179351070488215E-3</v>
      </c>
      <c r="S90" s="54">
        <f t="shared" si="41"/>
        <v>3.1219512195122395E-3</v>
      </c>
      <c r="T90" s="54">
        <f t="shared" si="42"/>
        <v>3.780718336483932E-3</v>
      </c>
      <c r="U90" s="55">
        <f t="shared" si="43"/>
        <v>0</v>
      </c>
      <c r="V90" s="56">
        <f t="shared" si="44"/>
        <v>0</v>
      </c>
    </row>
    <row r="91" spans="1:22">
      <c r="A91" s="143">
        <v>80</v>
      </c>
      <c r="B91" s="141" t="s">
        <v>133</v>
      </c>
      <c r="C91" s="142" t="s">
        <v>41</v>
      </c>
      <c r="D91" s="27">
        <v>1138496096.05</v>
      </c>
      <c r="E91" s="28">
        <f t="shared" si="45"/>
        <v>5.6266128909181661E-3</v>
      </c>
      <c r="F91" s="58">
        <v>3.8</v>
      </c>
      <c r="G91" s="58">
        <v>3.8</v>
      </c>
      <c r="H91" s="44">
        <v>770</v>
      </c>
      <c r="I91" s="51">
        <v>1.6999999999999999E-3</v>
      </c>
      <c r="J91" s="51">
        <v>0.1062</v>
      </c>
      <c r="K91" s="27">
        <v>1140538442.1099999</v>
      </c>
      <c r="L91" s="28">
        <f t="shared" si="39"/>
        <v>5.4293085008166484E-3</v>
      </c>
      <c r="M91" s="58">
        <v>3.8</v>
      </c>
      <c r="N91" s="58">
        <v>3.8</v>
      </c>
      <c r="O91" s="44">
        <v>770</v>
      </c>
      <c r="P91" s="51">
        <v>1.8E-3</v>
      </c>
      <c r="Q91" s="51">
        <v>0.10589999999999999</v>
      </c>
      <c r="R91" s="54">
        <f t="shared" si="40"/>
        <v>1.7938981671398264E-3</v>
      </c>
      <c r="S91" s="54">
        <f t="shared" si="41"/>
        <v>0</v>
      </c>
      <c r="T91" s="54">
        <f t="shared" si="42"/>
        <v>0</v>
      </c>
      <c r="U91" s="55">
        <f t="shared" si="43"/>
        <v>1.0000000000000005E-4</v>
      </c>
      <c r="V91" s="56">
        <f t="shared" si="44"/>
        <v>-3.0000000000000859E-4</v>
      </c>
    </row>
    <row r="92" spans="1:22">
      <c r="A92" s="143">
        <v>81</v>
      </c>
      <c r="B92" s="141" t="s">
        <v>134</v>
      </c>
      <c r="C92" s="142" t="s">
        <v>43</v>
      </c>
      <c r="D92" s="27">
        <v>607405933.30999994</v>
      </c>
      <c r="E92" s="28">
        <f t="shared" si="45"/>
        <v>3.0018882508597825E-3</v>
      </c>
      <c r="F92" s="58">
        <v>111.42</v>
      </c>
      <c r="G92" s="58">
        <v>111.42</v>
      </c>
      <c r="H92" s="44">
        <v>56</v>
      </c>
      <c r="I92" s="51">
        <v>0.1469</v>
      </c>
      <c r="J92" s="51">
        <v>0.1701</v>
      </c>
      <c r="K92" s="27">
        <v>597415465.68999994</v>
      </c>
      <c r="L92" s="28">
        <f t="shared" si="39"/>
        <v>2.8438785985937217E-3</v>
      </c>
      <c r="M92" s="58">
        <v>111.72989</v>
      </c>
      <c r="N92" s="58">
        <v>111.72989</v>
      </c>
      <c r="O92" s="44">
        <v>56</v>
      </c>
      <c r="P92" s="51">
        <v>0.14979999999999999</v>
      </c>
      <c r="Q92" s="51">
        <v>0.1731</v>
      </c>
      <c r="R92" s="54">
        <f t="shared" si="40"/>
        <v>-1.6447760998246949E-2</v>
      </c>
      <c r="S92" s="54">
        <f t="shared" si="41"/>
        <v>2.7812780470292207E-3</v>
      </c>
      <c r="T92" s="54">
        <f t="shared" si="42"/>
        <v>0</v>
      </c>
      <c r="U92" s="55">
        <f t="shared" si="43"/>
        <v>2.8999999999999859E-3</v>
      </c>
      <c r="V92" s="56">
        <f t="shared" si="44"/>
        <v>3.0000000000000027E-3</v>
      </c>
    </row>
    <row r="93" spans="1:22">
      <c r="A93" s="143">
        <v>82</v>
      </c>
      <c r="B93" s="142" t="s">
        <v>135</v>
      </c>
      <c r="C93" s="147" t="s">
        <v>47</v>
      </c>
      <c r="D93" s="27">
        <v>935933834.49000001</v>
      </c>
      <c r="E93" s="28">
        <f t="shared" si="45"/>
        <v>4.6255208045584964E-3</v>
      </c>
      <c r="F93" s="58">
        <v>104.73</v>
      </c>
      <c r="G93" s="58">
        <v>104.73</v>
      </c>
      <c r="H93" s="30">
        <v>289</v>
      </c>
      <c r="I93" s="48">
        <v>1.4E-3</v>
      </c>
      <c r="J93" s="48">
        <v>4.5199999999999997E-2</v>
      </c>
      <c r="K93" s="27">
        <v>940304270.67999995</v>
      </c>
      <c r="L93" s="28">
        <f t="shared" si="39"/>
        <v>4.4761331855789812E-3</v>
      </c>
      <c r="M93" s="58">
        <v>105.3</v>
      </c>
      <c r="N93" s="58">
        <v>105.3</v>
      </c>
      <c r="O93" s="30">
        <v>289</v>
      </c>
      <c r="P93" s="48">
        <v>2.0000000000000001E-4</v>
      </c>
      <c r="Q93" s="48">
        <v>0.08</v>
      </c>
      <c r="R93" s="54">
        <f t="shared" si="40"/>
        <v>4.6695995261047847E-3</v>
      </c>
      <c r="S93" s="54">
        <f t="shared" si="41"/>
        <v>5.4425665998280642E-3</v>
      </c>
      <c r="T93" s="54">
        <f t="shared" si="42"/>
        <v>0</v>
      </c>
      <c r="U93" s="55">
        <f t="shared" si="43"/>
        <v>-1.1999999999999999E-3</v>
      </c>
      <c r="V93" s="56">
        <f t="shared" si="44"/>
        <v>3.4800000000000005E-2</v>
      </c>
    </row>
    <row r="94" spans="1:22">
      <c r="A94" s="143">
        <v>83</v>
      </c>
      <c r="B94" s="141" t="s">
        <v>136</v>
      </c>
      <c r="C94" s="142" t="s">
        <v>19</v>
      </c>
      <c r="D94" s="27">
        <v>1463620638.99</v>
      </c>
      <c r="E94" s="28">
        <f t="shared" si="45"/>
        <v>7.2334255544020294E-3</v>
      </c>
      <c r="F94" s="58">
        <v>364.02420000000001</v>
      </c>
      <c r="G94" s="58">
        <v>364.02420000000001</v>
      </c>
      <c r="H94" s="30">
        <v>90</v>
      </c>
      <c r="I94" s="48">
        <v>2.5999999999999999E-3</v>
      </c>
      <c r="J94" s="48">
        <v>6.0499999999999998E-2</v>
      </c>
      <c r="K94" s="27">
        <v>1467760712.0799999</v>
      </c>
      <c r="L94" s="28">
        <f t="shared" si="39"/>
        <v>6.9869856350638221E-3</v>
      </c>
      <c r="M94" s="58">
        <v>364.952</v>
      </c>
      <c r="N94" s="58">
        <v>364.952</v>
      </c>
      <c r="O94" s="30">
        <v>90</v>
      </c>
      <c r="P94" s="48">
        <v>2.5000000000000001E-3</v>
      </c>
      <c r="Q94" s="48">
        <v>6.3100000000000003E-2</v>
      </c>
      <c r="R94" s="54">
        <f t="shared" si="40"/>
        <v>2.8286517555921134E-3</v>
      </c>
      <c r="S94" s="54">
        <f t="shared" si="41"/>
        <v>2.5487316502583912E-3</v>
      </c>
      <c r="T94" s="54">
        <f t="shared" si="42"/>
        <v>0</v>
      </c>
      <c r="U94" s="55">
        <f t="shared" si="43"/>
        <v>-9.9999999999999829E-5</v>
      </c>
      <c r="V94" s="56">
        <f t="shared" si="44"/>
        <v>2.6000000000000051E-3</v>
      </c>
    </row>
    <row r="95" spans="1:22">
      <c r="A95" s="143">
        <v>84</v>
      </c>
      <c r="B95" s="141" t="s">
        <v>137</v>
      </c>
      <c r="C95" s="142" t="s">
        <v>87</v>
      </c>
      <c r="D95" s="42">
        <v>1527986903</v>
      </c>
      <c r="E95" s="28">
        <f>(D95/$K$69)</f>
        <v>4.9081423969083685E-4</v>
      </c>
      <c r="F95" s="58">
        <v>104.09</v>
      </c>
      <c r="G95" s="58">
        <v>104.09</v>
      </c>
      <c r="H95" s="30">
        <v>395</v>
      </c>
      <c r="I95" s="48">
        <v>2.8E-3</v>
      </c>
      <c r="J95" s="48">
        <v>0.14499999999999999</v>
      </c>
      <c r="K95" s="42">
        <v>1529631846</v>
      </c>
      <c r="L95" s="28">
        <f>(K95/$K$69)</f>
        <v>4.9134262213069589E-4</v>
      </c>
      <c r="M95" s="58">
        <v>104.65</v>
      </c>
      <c r="N95" s="58">
        <v>104.65</v>
      </c>
      <c r="O95" s="30">
        <v>396</v>
      </c>
      <c r="P95" s="48">
        <v>2.5999999999999999E-3</v>
      </c>
      <c r="Q95" s="48">
        <v>0.1449</v>
      </c>
      <c r="R95" s="54">
        <f t="shared" si="40"/>
        <v>1.0765426043707392E-3</v>
      </c>
      <c r="S95" s="54">
        <f t="shared" si="41"/>
        <v>5.3799596503026443E-3</v>
      </c>
      <c r="T95" s="54">
        <f t="shared" si="42"/>
        <v>2.5316455696202532E-3</v>
      </c>
      <c r="U95" s="55">
        <f t="shared" si="43"/>
        <v>-2.0000000000000009E-4</v>
      </c>
      <c r="V95" s="56">
        <f t="shared" si="44"/>
        <v>-9.9999999999988987E-5</v>
      </c>
    </row>
    <row r="96" spans="1:22">
      <c r="A96" s="143">
        <v>85</v>
      </c>
      <c r="B96" s="141" t="s">
        <v>138</v>
      </c>
      <c r="C96" s="142" t="s">
        <v>45</v>
      </c>
      <c r="D96" s="27">
        <v>63412784.079999998</v>
      </c>
      <c r="E96" s="28">
        <f t="shared" ref="E96:E109" si="51">(D96/$D$110)</f>
        <v>3.1339517947531764E-4</v>
      </c>
      <c r="F96" s="27">
        <v>12.754343</v>
      </c>
      <c r="G96" s="27">
        <v>13.204882</v>
      </c>
      <c r="H96" s="30">
        <v>59</v>
      </c>
      <c r="I96" s="48">
        <v>1.4E-3</v>
      </c>
      <c r="J96" s="48">
        <v>4.2799999999999998E-2</v>
      </c>
      <c r="K96" s="27">
        <v>63138990.5</v>
      </c>
      <c r="L96" s="28">
        <f t="shared" ref="L96:L109" si="52">(K96/$K$110)</f>
        <v>3.0056072219753372E-4</v>
      </c>
      <c r="M96" s="27">
        <v>12.699275</v>
      </c>
      <c r="N96" s="27">
        <v>13.157330999999999</v>
      </c>
      <c r="O96" s="30">
        <v>59</v>
      </c>
      <c r="P96" s="48">
        <v>-4.7999999999999996E-3</v>
      </c>
      <c r="Q96" s="48">
        <v>3.8899999999999997E-2</v>
      </c>
      <c r="R96" s="54">
        <f t="shared" si="40"/>
        <v>-4.3176401095177753E-3</v>
      </c>
      <c r="S96" s="54">
        <f t="shared" si="41"/>
        <v>-3.6010166542950056E-3</v>
      </c>
      <c r="T96" s="54">
        <f t="shared" si="42"/>
        <v>0</v>
      </c>
      <c r="U96" s="55">
        <f t="shared" si="43"/>
        <v>-6.1999999999999998E-3</v>
      </c>
      <c r="V96" s="56">
        <f t="shared" si="44"/>
        <v>-3.9000000000000007E-3</v>
      </c>
    </row>
    <row r="97" spans="1:22">
      <c r="A97" s="143">
        <v>86</v>
      </c>
      <c r="B97" s="141" t="s">
        <v>139</v>
      </c>
      <c r="C97" s="142" t="s">
        <v>140</v>
      </c>
      <c r="D97" s="27">
        <v>544728516.63</v>
      </c>
      <c r="E97" s="28">
        <f t="shared" si="51"/>
        <v>2.692127363769618E-3</v>
      </c>
      <c r="F97" s="27">
        <v>142.09</v>
      </c>
      <c r="G97" s="27">
        <v>142.09</v>
      </c>
      <c r="H97" s="30">
        <v>139</v>
      </c>
      <c r="I97" s="48">
        <v>0.19239999999999999</v>
      </c>
      <c r="J97" s="48">
        <v>0.19670000000000001</v>
      </c>
      <c r="K97" s="27">
        <v>550698800.32000005</v>
      </c>
      <c r="L97" s="28">
        <f t="shared" si="52"/>
        <v>2.621493119018028E-3</v>
      </c>
      <c r="M97" s="27">
        <v>142.58000000000001</v>
      </c>
      <c r="N97" s="27">
        <v>142.58000000000001</v>
      </c>
      <c r="O97" s="30">
        <v>137</v>
      </c>
      <c r="P97" s="48">
        <v>0.19350000000000001</v>
      </c>
      <c r="Q97" s="48">
        <v>0.19650000000000001</v>
      </c>
      <c r="R97" s="54">
        <f t="shared" si="40"/>
        <v>1.0960108582043075E-2</v>
      </c>
      <c r="S97" s="54">
        <f t="shared" si="41"/>
        <v>3.4485185445844824E-3</v>
      </c>
      <c r="T97" s="54">
        <f t="shared" si="42"/>
        <v>-1.4388489208633094E-2</v>
      </c>
      <c r="U97" s="55">
        <f t="shared" si="43"/>
        <v>1.1000000000000176E-3</v>
      </c>
      <c r="V97" s="56">
        <f t="shared" si="44"/>
        <v>-2.0000000000000573E-4</v>
      </c>
    </row>
    <row r="98" spans="1:22">
      <c r="A98" s="143">
        <v>87</v>
      </c>
      <c r="B98" s="141" t="s">
        <v>141</v>
      </c>
      <c r="C98" s="142" t="s">
        <v>142</v>
      </c>
      <c r="D98" s="27">
        <v>9183285319.4185333</v>
      </c>
      <c r="E98" s="28">
        <f t="shared" si="51"/>
        <v>4.5385128450146757E-2</v>
      </c>
      <c r="F98" s="27">
        <v>1.0774877636673799</v>
      </c>
      <c r="G98" s="27">
        <v>1.0774877636673799</v>
      </c>
      <c r="H98" s="30">
        <v>4726</v>
      </c>
      <c r="I98" s="48">
        <v>0.1903</v>
      </c>
      <c r="J98" s="48">
        <v>0.1903</v>
      </c>
      <c r="K98" s="27">
        <v>9166874183.454319</v>
      </c>
      <c r="L98" s="28">
        <f t="shared" si="52"/>
        <v>4.3637098139428718E-2</v>
      </c>
      <c r="M98" s="27">
        <v>1.0795491935571446</v>
      </c>
      <c r="N98" s="27">
        <v>1.0795491935571446</v>
      </c>
      <c r="O98" s="30">
        <v>4730</v>
      </c>
      <c r="P98" s="48">
        <v>0.19040000000000001</v>
      </c>
      <c r="Q98" s="48">
        <v>0.19040000000000001</v>
      </c>
      <c r="R98" s="54">
        <f t="shared" si="40"/>
        <v>-1.7870658912788136E-3</v>
      </c>
      <c r="S98" s="54">
        <f t="shared" si="41"/>
        <v>1.9131817170233111E-3</v>
      </c>
      <c r="T98" s="54">
        <f t="shared" si="42"/>
        <v>8.4638171815488788E-4</v>
      </c>
      <c r="U98" s="55">
        <f t="shared" si="43"/>
        <v>1.0000000000001674E-4</v>
      </c>
      <c r="V98" s="56">
        <f t="shared" si="44"/>
        <v>1.0000000000001674E-4</v>
      </c>
    </row>
    <row r="99" spans="1:22" ht="14.25" customHeight="1">
      <c r="A99" s="143">
        <v>88</v>
      </c>
      <c r="B99" s="141" t="s">
        <v>143</v>
      </c>
      <c r="C99" s="142" t="s">
        <v>49</v>
      </c>
      <c r="D99" s="27">
        <v>7853697045.3199997</v>
      </c>
      <c r="E99" s="28">
        <f t="shared" si="51"/>
        <v>3.8814110289775397E-2</v>
      </c>
      <c r="F99" s="27">
        <v>5173.71</v>
      </c>
      <c r="G99" s="27">
        <v>5173.71</v>
      </c>
      <c r="H99" s="30">
        <v>243</v>
      </c>
      <c r="I99" s="48">
        <v>0</v>
      </c>
      <c r="J99" s="48">
        <v>1.1999999999999999E-3</v>
      </c>
      <c r="K99" s="27">
        <v>7828819909.9499998</v>
      </c>
      <c r="L99" s="28">
        <f t="shared" si="52"/>
        <v>3.7267554445442122E-2</v>
      </c>
      <c r="M99" s="27">
        <v>5173.72</v>
      </c>
      <c r="N99" s="27">
        <v>5173.72</v>
      </c>
      <c r="O99" s="30">
        <v>239</v>
      </c>
      <c r="P99" s="48">
        <v>0</v>
      </c>
      <c r="Q99" s="48">
        <v>1.1999999999999999E-3</v>
      </c>
      <c r="R99" s="54">
        <f t="shared" si="40"/>
        <v>-3.167570028032099E-3</v>
      </c>
      <c r="S99" s="54">
        <f t="shared" si="41"/>
        <v>1.9328489614258005E-6</v>
      </c>
      <c r="T99" s="54">
        <f t="shared" si="42"/>
        <v>-1.646090534979424E-2</v>
      </c>
      <c r="U99" s="55">
        <f t="shared" si="43"/>
        <v>0</v>
      </c>
      <c r="V99" s="56">
        <f t="shared" si="44"/>
        <v>0</v>
      </c>
    </row>
    <row r="100" spans="1:22" ht="13.5" customHeight="1">
      <c r="A100" s="143">
        <v>89</v>
      </c>
      <c r="B100" s="141" t="s">
        <v>144</v>
      </c>
      <c r="C100" s="142" t="s">
        <v>49</v>
      </c>
      <c r="D100" s="27">
        <v>17691097517.619999</v>
      </c>
      <c r="E100" s="28">
        <f t="shared" si="51"/>
        <v>8.7431970730938238E-2</v>
      </c>
      <c r="F100" s="58">
        <v>259.10000000000002</v>
      </c>
      <c r="G100" s="58">
        <v>259.10000000000002</v>
      </c>
      <c r="H100" s="30">
        <v>6198</v>
      </c>
      <c r="I100" s="48">
        <v>0</v>
      </c>
      <c r="J100" s="48">
        <v>1E-3</v>
      </c>
      <c r="K100" s="27">
        <v>17662691409.349998</v>
      </c>
      <c r="L100" s="28">
        <f t="shared" si="52"/>
        <v>8.4079761869908426E-2</v>
      </c>
      <c r="M100" s="58">
        <v>259.11</v>
      </c>
      <c r="N100" s="58">
        <v>259.11</v>
      </c>
      <c r="O100" s="30">
        <v>6190</v>
      </c>
      <c r="P100" s="48">
        <v>0</v>
      </c>
      <c r="Q100" s="48">
        <v>1E-3</v>
      </c>
      <c r="R100" s="54">
        <f t="shared" si="40"/>
        <v>-1.6056724712363668E-3</v>
      </c>
      <c r="S100" s="54">
        <f t="shared" si="41"/>
        <v>3.8595137012701287E-5</v>
      </c>
      <c r="T100" s="54">
        <f t="shared" si="42"/>
        <v>-1.2907389480477573E-3</v>
      </c>
      <c r="U100" s="55">
        <f t="shared" si="43"/>
        <v>0</v>
      </c>
      <c r="V100" s="56">
        <f t="shared" si="44"/>
        <v>0</v>
      </c>
    </row>
    <row r="101" spans="1:22" ht="13.5" customHeight="1">
      <c r="A101" s="143">
        <v>90</v>
      </c>
      <c r="B101" s="141" t="s">
        <v>145</v>
      </c>
      <c r="C101" s="142" t="s">
        <v>49</v>
      </c>
      <c r="D101" s="27">
        <v>476936025.38999999</v>
      </c>
      <c r="E101" s="28">
        <f t="shared" si="51"/>
        <v>2.3570870360584821E-3</v>
      </c>
      <c r="F101" s="33">
        <v>7876.44</v>
      </c>
      <c r="G101" s="33">
        <v>7911.78</v>
      </c>
      <c r="H101" s="30">
        <v>15</v>
      </c>
      <c r="I101" s="48">
        <v>8.3999999999999995E-3</v>
      </c>
      <c r="J101" s="48">
        <v>0.1595</v>
      </c>
      <c r="K101" s="27">
        <v>483464384.95999998</v>
      </c>
      <c r="L101" s="28">
        <f t="shared" si="52"/>
        <v>2.3014369338129354E-3</v>
      </c>
      <c r="M101" s="33">
        <v>7983.84</v>
      </c>
      <c r="N101" s="33">
        <v>8020.36</v>
      </c>
      <c r="O101" s="30">
        <v>15</v>
      </c>
      <c r="P101" s="48">
        <v>1.37E-2</v>
      </c>
      <c r="Q101" s="48">
        <v>0.17549999999999999</v>
      </c>
      <c r="R101" s="54">
        <f t="shared" si="40"/>
        <v>1.3688124239852975E-2</v>
      </c>
      <c r="S101" s="54">
        <f t="shared" si="41"/>
        <v>1.3723839641648267E-2</v>
      </c>
      <c r="T101" s="54">
        <f t="shared" si="42"/>
        <v>0</v>
      </c>
      <c r="U101" s="55">
        <f t="shared" si="43"/>
        <v>5.3000000000000009E-3</v>
      </c>
      <c r="V101" s="56">
        <f t="shared" si="44"/>
        <v>1.5999999999999986E-2</v>
      </c>
    </row>
    <row r="102" spans="1:22" ht="15" customHeight="1">
      <c r="A102" s="143">
        <v>91</v>
      </c>
      <c r="B102" s="141" t="s">
        <v>146</v>
      </c>
      <c r="C102" s="142" t="s">
        <v>49</v>
      </c>
      <c r="D102" s="27">
        <v>6123583719.9799995</v>
      </c>
      <c r="E102" s="28">
        <f t="shared" si="51"/>
        <v>3.0263639214045141E-2</v>
      </c>
      <c r="F102" s="58">
        <v>148.32</v>
      </c>
      <c r="G102" s="58">
        <v>148.32</v>
      </c>
      <c r="H102" s="30">
        <v>4648</v>
      </c>
      <c r="I102" s="48">
        <v>3.5000000000000001E-3</v>
      </c>
      <c r="J102" s="48">
        <v>7.5700000000000003E-2</v>
      </c>
      <c r="K102" s="27">
        <v>6145578599.54</v>
      </c>
      <c r="L102" s="28">
        <f t="shared" si="52"/>
        <v>2.9254815884321914E-2</v>
      </c>
      <c r="M102" s="58">
        <v>148.76</v>
      </c>
      <c r="N102" s="58">
        <v>148.76</v>
      </c>
      <c r="O102" s="30">
        <v>4662</v>
      </c>
      <c r="P102" s="48">
        <v>3.0000000000000001E-3</v>
      </c>
      <c r="Q102" s="48">
        <v>7.8899999999999998E-2</v>
      </c>
      <c r="R102" s="54">
        <f t="shared" si="40"/>
        <v>3.5918312814497222E-3</v>
      </c>
      <c r="S102" s="54">
        <f t="shared" si="41"/>
        <v>2.9665587918014952E-3</v>
      </c>
      <c r="T102" s="54">
        <f t="shared" si="42"/>
        <v>3.0120481927710845E-3</v>
      </c>
      <c r="U102" s="55">
        <f t="shared" si="43"/>
        <v>-5.0000000000000001E-4</v>
      </c>
      <c r="V102" s="56">
        <f t="shared" si="44"/>
        <v>3.1999999999999945E-3</v>
      </c>
    </row>
    <row r="103" spans="1:22" ht="15" customHeight="1">
      <c r="A103" s="143">
        <v>92</v>
      </c>
      <c r="B103" s="141" t="s">
        <v>147</v>
      </c>
      <c r="C103" s="142" t="s">
        <v>49</v>
      </c>
      <c r="D103" s="27">
        <v>7525658540.79</v>
      </c>
      <c r="E103" s="28">
        <f t="shared" si="51"/>
        <v>3.7192896405327476E-2</v>
      </c>
      <c r="F103" s="58">
        <v>369.57</v>
      </c>
      <c r="G103" s="58">
        <v>370.15</v>
      </c>
      <c r="H103" s="30">
        <v>10271</v>
      </c>
      <c r="I103" s="48">
        <v>2.9999999999999997E-4</v>
      </c>
      <c r="J103" s="48">
        <v>4.4900000000000002E-2</v>
      </c>
      <c r="K103" s="27">
        <v>7460905002.3699999</v>
      </c>
      <c r="L103" s="28">
        <f t="shared" si="52"/>
        <v>3.5516168028684576E-2</v>
      </c>
      <c r="M103" s="58">
        <v>369.9</v>
      </c>
      <c r="N103" s="58">
        <v>370.5</v>
      </c>
      <c r="O103" s="30">
        <v>10272</v>
      </c>
      <c r="P103" s="48">
        <v>8.9999999999999998E-4</v>
      </c>
      <c r="Q103" s="48">
        <v>4.5900000000000003E-2</v>
      </c>
      <c r="R103" s="54">
        <f t="shared" si="40"/>
        <v>-8.6043683843783098E-3</v>
      </c>
      <c r="S103" s="54">
        <f t="shared" si="41"/>
        <v>9.4556260975286435E-4</v>
      </c>
      <c r="T103" s="54">
        <f t="shared" si="42"/>
        <v>9.7361503261610355E-5</v>
      </c>
      <c r="U103" s="55">
        <f t="shared" si="43"/>
        <v>6.0000000000000006E-4</v>
      </c>
      <c r="V103" s="56">
        <f t="shared" si="44"/>
        <v>1.0000000000000009E-3</v>
      </c>
    </row>
    <row r="104" spans="1:22" ht="15" customHeight="1">
      <c r="A104" s="143">
        <v>93</v>
      </c>
      <c r="B104" s="141" t="s">
        <v>317</v>
      </c>
      <c r="C104" s="142" t="s">
        <v>101</v>
      </c>
      <c r="D104" s="27">
        <v>72283549.120000005</v>
      </c>
      <c r="E104" s="28">
        <f t="shared" si="51"/>
        <v>3.5723578736105452E-4</v>
      </c>
      <c r="F104" s="58">
        <v>100</v>
      </c>
      <c r="G104" s="58">
        <v>100</v>
      </c>
      <c r="H104" s="30">
        <v>10</v>
      </c>
      <c r="I104" s="48">
        <v>0</v>
      </c>
      <c r="J104" s="48">
        <v>0</v>
      </c>
      <c r="K104" s="27">
        <v>81891610.530000001</v>
      </c>
      <c r="L104" s="28">
        <f t="shared" si="52"/>
        <v>3.8982887448629636E-4</v>
      </c>
      <c r="M104" s="58">
        <v>100.45</v>
      </c>
      <c r="N104" s="58">
        <v>100.45</v>
      </c>
      <c r="O104" s="30">
        <v>20</v>
      </c>
      <c r="P104" s="48">
        <v>0.17522599999999999</v>
      </c>
      <c r="Q104" s="48">
        <v>0.1651</v>
      </c>
      <c r="R104" s="54">
        <f t="shared" ref="R104" si="53">((K104-D104)/D104)</f>
        <v>0.13292182698513291</v>
      </c>
      <c r="S104" s="54">
        <f t="shared" ref="S104" si="54">((N104-G104)/G104)</f>
        <v>4.5000000000000283E-3</v>
      </c>
      <c r="T104" s="54">
        <f t="shared" ref="T104" si="55">((O104-H104)/H104)</f>
        <v>1</v>
      </c>
      <c r="U104" s="55">
        <f t="shared" ref="U104" si="56">P104-I104</f>
        <v>0.17522599999999999</v>
      </c>
      <c r="V104" s="56">
        <f t="shared" ref="V104" si="57">Q104-J104</f>
        <v>0.1651</v>
      </c>
    </row>
    <row r="105" spans="1:22">
      <c r="A105" s="143">
        <v>94</v>
      </c>
      <c r="B105" s="141" t="s">
        <v>148</v>
      </c>
      <c r="C105" s="142" t="s">
        <v>52</v>
      </c>
      <c r="D105" s="27">
        <v>80755827554.479996</v>
      </c>
      <c r="E105" s="28">
        <f t="shared" si="51"/>
        <v>0.39910701662594567</v>
      </c>
      <c r="F105" s="27">
        <v>1.8856999999999999</v>
      </c>
      <c r="G105" s="27">
        <v>1.8856999999999999</v>
      </c>
      <c r="H105" s="30">
        <v>6495</v>
      </c>
      <c r="I105" s="48">
        <v>8.2799999999999999E-2</v>
      </c>
      <c r="J105" s="48">
        <v>8.2400000000000001E-2</v>
      </c>
      <c r="K105" s="27">
        <v>86945789271.979996</v>
      </c>
      <c r="L105" s="28">
        <f t="shared" si="52"/>
        <v>0.41388829641837382</v>
      </c>
      <c r="M105" s="27">
        <v>1.8885000000000001</v>
      </c>
      <c r="N105" s="27">
        <v>1.8885000000000001</v>
      </c>
      <c r="O105" s="30">
        <v>6499</v>
      </c>
      <c r="P105" s="48">
        <v>8.0399999999999999E-2</v>
      </c>
      <c r="Q105" s="48">
        <v>8.2100000000000006E-2</v>
      </c>
      <c r="R105" s="54">
        <f t="shared" si="40"/>
        <v>7.6650340971666592E-2</v>
      </c>
      <c r="S105" s="54">
        <f t="shared" si="41"/>
        <v>1.484859733785934E-3</v>
      </c>
      <c r="T105" s="54">
        <f t="shared" si="42"/>
        <v>6.1585835257890688E-4</v>
      </c>
      <c r="U105" s="55">
        <f t="shared" si="43"/>
        <v>-2.3999999999999994E-3</v>
      </c>
      <c r="V105" s="56">
        <f t="shared" si="44"/>
        <v>-2.9999999999999472E-4</v>
      </c>
    </row>
    <row r="106" spans="1:22">
      <c r="A106" s="143">
        <v>95</v>
      </c>
      <c r="B106" s="141" t="s">
        <v>149</v>
      </c>
      <c r="C106" s="142" t="s">
        <v>52</v>
      </c>
      <c r="D106" s="27">
        <v>29446907267.810001</v>
      </c>
      <c r="E106" s="28">
        <f t="shared" si="51"/>
        <v>0.14553088816516682</v>
      </c>
      <c r="F106" s="27">
        <v>117.39709999999999</v>
      </c>
      <c r="G106" s="27">
        <v>117.39709999999999</v>
      </c>
      <c r="H106" s="30">
        <v>672</v>
      </c>
      <c r="I106" s="48">
        <v>0.2056</v>
      </c>
      <c r="J106" s="48">
        <v>0.21490000000000001</v>
      </c>
      <c r="K106" s="27">
        <v>30649113600.639999</v>
      </c>
      <c r="L106" s="28">
        <f t="shared" si="52"/>
        <v>0.14589906562605895</v>
      </c>
      <c r="M106" s="27">
        <v>117.8163</v>
      </c>
      <c r="N106" s="27">
        <v>117.8163</v>
      </c>
      <c r="O106" s="30">
        <v>693</v>
      </c>
      <c r="P106" s="48">
        <v>0.20419999999999999</v>
      </c>
      <c r="Q106" s="48">
        <v>0.21429999999999999</v>
      </c>
      <c r="R106" s="54">
        <f t="shared" ref="R106:R108" si="58">((K106-D106)/D106)</f>
        <v>4.0826234208445868E-2</v>
      </c>
      <c r="S106" s="54">
        <f t="shared" ref="S106:S108" si="59">((N106-G106)/G106)</f>
        <v>3.5707866719024879E-3</v>
      </c>
      <c r="T106" s="54">
        <f t="shared" ref="T106:T108" si="60">((O106-H106)/H106)</f>
        <v>3.125E-2</v>
      </c>
      <c r="U106" s="55">
        <f t="shared" ref="U106:U108" si="61">P106-I106</f>
        <v>-1.4000000000000123E-3</v>
      </c>
      <c r="V106" s="56">
        <f t="shared" ref="V106:V108" si="62">Q106-J106</f>
        <v>-6.0000000000001719E-4</v>
      </c>
    </row>
    <row r="107" spans="1:22">
      <c r="A107" s="143">
        <v>96</v>
      </c>
      <c r="B107" s="141" t="s">
        <v>150</v>
      </c>
      <c r="C107" s="141" t="s">
        <v>151</v>
      </c>
      <c r="D107" s="27">
        <v>105510019.40000001</v>
      </c>
      <c r="E107" s="28">
        <f t="shared" si="51"/>
        <v>5.2144582430873221E-4</v>
      </c>
      <c r="F107" s="27">
        <v>116.23839683274609</v>
      </c>
      <c r="G107" s="27">
        <v>116.23839683274609</v>
      </c>
      <c r="H107" s="60">
        <v>73</v>
      </c>
      <c r="I107" s="61">
        <v>2.4633944898354589E-3</v>
      </c>
      <c r="J107" s="61">
        <v>5.2851604504445371E-2</v>
      </c>
      <c r="K107" s="27">
        <v>104972669.76000001</v>
      </c>
      <c r="L107" s="62">
        <f t="shared" si="52"/>
        <v>4.9970170863072026E-4</v>
      </c>
      <c r="M107" s="27">
        <v>116.00767604938275</v>
      </c>
      <c r="N107" s="27">
        <v>116.00767604938275</v>
      </c>
      <c r="O107" s="60">
        <v>73</v>
      </c>
      <c r="P107" s="61">
        <v>-1.9848930271751733E-3</v>
      </c>
      <c r="Q107" s="61">
        <v>5.0761806696014267E-2</v>
      </c>
      <c r="R107" s="54">
        <f t="shared" si="58"/>
        <v>-5.0928778428411562E-3</v>
      </c>
      <c r="S107" s="54">
        <f t="shared" si="59"/>
        <v>-1.9848930271751733E-3</v>
      </c>
      <c r="T107" s="54">
        <f t="shared" si="60"/>
        <v>0</v>
      </c>
      <c r="U107" s="55">
        <f t="shared" si="61"/>
        <v>-4.4482875170106326E-3</v>
      </c>
      <c r="V107" s="56">
        <f t="shared" si="62"/>
        <v>-2.0897978084311042E-3</v>
      </c>
    </row>
    <row r="108" spans="1:22">
      <c r="A108" s="143">
        <v>97</v>
      </c>
      <c r="B108" s="141" t="s">
        <v>152</v>
      </c>
      <c r="C108" s="142" t="s">
        <v>107</v>
      </c>
      <c r="D108" s="27">
        <v>294399170.26999998</v>
      </c>
      <c r="E108" s="28">
        <f t="shared" si="51"/>
        <v>1.4549634138087074E-3</v>
      </c>
      <c r="F108" s="27">
        <v>1.22</v>
      </c>
      <c r="G108" s="27">
        <v>1.22</v>
      </c>
      <c r="H108" s="30">
        <v>509</v>
      </c>
      <c r="I108" s="48">
        <v>2.9989999999999999E-3</v>
      </c>
      <c r="J108" s="48">
        <v>0.13439799999999999</v>
      </c>
      <c r="K108" s="27">
        <v>296032913.97000003</v>
      </c>
      <c r="L108" s="28">
        <f t="shared" si="52"/>
        <v>1.4092063511383442E-3</v>
      </c>
      <c r="M108" s="27">
        <v>1.23</v>
      </c>
      <c r="N108" s="27">
        <v>1.23</v>
      </c>
      <c r="O108" s="30">
        <v>511</v>
      </c>
      <c r="P108" s="48">
        <v>4.9480000000000001E-3</v>
      </c>
      <c r="Q108" s="48">
        <v>0.14094200000000001</v>
      </c>
      <c r="R108" s="54">
        <f t="shared" si="58"/>
        <v>5.5494167952365673E-3</v>
      </c>
      <c r="S108" s="54">
        <f t="shared" si="59"/>
        <v>8.1967213114754172E-3</v>
      </c>
      <c r="T108" s="54">
        <f t="shared" si="60"/>
        <v>3.929273084479371E-3</v>
      </c>
      <c r="U108" s="55">
        <f t="shared" si="61"/>
        <v>1.9490000000000002E-3</v>
      </c>
      <c r="V108" s="56">
        <f t="shared" si="62"/>
        <v>6.544000000000022E-3</v>
      </c>
    </row>
    <row r="109" spans="1:22">
      <c r="A109" s="143">
        <v>98</v>
      </c>
      <c r="B109" s="141" t="s">
        <v>153</v>
      </c>
      <c r="C109" s="142" t="s">
        <v>109</v>
      </c>
      <c r="D109" s="27">
        <v>1957523704.1600001</v>
      </c>
      <c r="E109" s="28">
        <f t="shared" si="51"/>
        <v>9.6743661627986966E-3</v>
      </c>
      <c r="F109" s="58">
        <v>28.7105</v>
      </c>
      <c r="G109" s="58">
        <v>28.7105</v>
      </c>
      <c r="H109" s="30">
        <v>1299</v>
      </c>
      <c r="I109" s="48">
        <v>0</v>
      </c>
      <c r="J109" s="48">
        <v>0.1149</v>
      </c>
      <c r="K109" s="27">
        <v>1957214075.73</v>
      </c>
      <c r="L109" s="28">
        <f t="shared" si="52"/>
        <v>9.3169319217510666E-3</v>
      </c>
      <c r="M109" s="58">
        <v>28.689800000000002</v>
      </c>
      <c r="N109" s="58">
        <v>28.689800000000002</v>
      </c>
      <c r="O109" s="30">
        <v>1302</v>
      </c>
      <c r="P109" s="48">
        <v>0</v>
      </c>
      <c r="Q109" s="48">
        <v>0.11409999999999999</v>
      </c>
      <c r="R109" s="54">
        <f t="shared" si="40"/>
        <v>-1.5817352778005439E-4</v>
      </c>
      <c r="S109" s="54">
        <f t="shared" si="41"/>
        <v>-7.209905783597618E-4</v>
      </c>
      <c r="T109" s="54">
        <f t="shared" si="42"/>
        <v>2.3094688221709007E-3</v>
      </c>
      <c r="U109" s="55">
        <f t="shared" si="43"/>
        <v>0</v>
      </c>
      <c r="V109" s="56">
        <f t="shared" si="44"/>
        <v>-8.0000000000000904E-4</v>
      </c>
    </row>
    <row r="110" spans="1:22">
      <c r="A110" s="34"/>
      <c r="B110" s="35"/>
      <c r="C110" s="36" t="s">
        <v>53</v>
      </c>
      <c r="D110" s="46">
        <f>SUM(D72:D109)</f>
        <v>202341287400.03244</v>
      </c>
      <c r="E110" s="38">
        <f>(D110/$D$222)</f>
        <v>3.5256784091983018E-2</v>
      </c>
      <c r="F110" s="39"/>
      <c r="G110" s="43"/>
      <c r="H110" s="41">
        <f>SUM(H72:H109)</f>
        <v>51307</v>
      </c>
      <c r="I110" s="51"/>
      <c r="J110" s="51"/>
      <c r="K110" s="46">
        <f>SUM(K72:K109)</f>
        <v>210070664052.05121</v>
      </c>
      <c r="L110" s="38">
        <f>(K110/$K$222)</f>
        <v>3.6354024080103485E-2</v>
      </c>
      <c r="M110" s="39"/>
      <c r="N110" s="43"/>
      <c r="O110" s="41">
        <f>SUM(O72:O109)</f>
        <v>51387</v>
      </c>
      <c r="P110" s="51"/>
      <c r="Q110" s="51"/>
      <c r="R110" s="54">
        <f t="shared" si="40"/>
        <v>3.8199700868452265E-2</v>
      </c>
      <c r="S110" s="54" t="e">
        <f t="shared" si="41"/>
        <v>#DIV/0!</v>
      </c>
      <c r="T110" s="54">
        <f t="shared" si="42"/>
        <v>1.5592414290447698E-3</v>
      </c>
      <c r="U110" s="55">
        <f t="shared" si="43"/>
        <v>0</v>
      </c>
      <c r="V110" s="56">
        <f t="shared" si="44"/>
        <v>0</v>
      </c>
    </row>
    <row r="111" spans="1:22" ht="3.75" customHeight="1">
      <c r="A111" s="34"/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</row>
    <row r="112" spans="1:22" ht="15" customHeight="1">
      <c r="A112" s="180" t="s">
        <v>154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</row>
    <row r="113" spans="1:28">
      <c r="A113" s="179" t="s">
        <v>155</v>
      </c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Z113" s="63"/>
      <c r="AB113" s="66"/>
    </row>
    <row r="114" spans="1:28" ht="16.5" customHeight="1">
      <c r="A114" s="143">
        <v>99</v>
      </c>
      <c r="B114" s="141" t="s">
        <v>156</v>
      </c>
      <c r="C114" s="142" t="s">
        <v>19</v>
      </c>
      <c r="D114" s="27">
        <v>2987000616.9127083</v>
      </c>
      <c r="E114" s="28">
        <f t="shared" ref="E114:E119" si="63">(D114/$D$150)</f>
        <v>1.561242235664054E-3</v>
      </c>
      <c r="F114" s="27">
        <v>175727.40176200002</v>
      </c>
      <c r="G114" s="27">
        <v>175727.40176200002</v>
      </c>
      <c r="H114" s="30">
        <v>166</v>
      </c>
      <c r="I114" s="48">
        <v>1.1000000000000001E-3</v>
      </c>
      <c r="J114" s="48">
        <v>0.03</v>
      </c>
      <c r="K114" s="27">
        <f>1934606.97*W133</f>
        <v>2993540405.6842918</v>
      </c>
      <c r="L114" s="28">
        <f t="shared" ref="L114:L130" si="64">(K114/$K$150)</f>
        <v>1.5583593733006916E-3</v>
      </c>
      <c r="M114" s="27">
        <f>113.5494*W133</f>
        <v>175702.20836183999</v>
      </c>
      <c r="N114" s="27">
        <f>113.5494*W133</f>
        <v>175702.20836183999</v>
      </c>
      <c r="O114" s="30">
        <v>166</v>
      </c>
      <c r="P114" s="48">
        <v>1.1000000000000001E-3</v>
      </c>
      <c r="Q114" s="48">
        <v>3.1099999999999999E-2</v>
      </c>
      <c r="R114" s="55">
        <f>((K114-D114)/D114)</f>
        <v>2.1894166122881234E-3</v>
      </c>
      <c r="S114" s="55">
        <f>((N114-G114)/G114)</f>
        <v>-1.433663726170171E-4</v>
      </c>
      <c r="T114" s="55">
        <f>((O114-H114)/H114)</f>
        <v>0</v>
      </c>
      <c r="U114" s="55">
        <f>P114-I114</f>
        <v>0</v>
      </c>
      <c r="V114" s="56">
        <f>Q114-J114</f>
        <v>1.1000000000000003E-3</v>
      </c>
      <c r="X114" s="63"/>
      <c r="Y114" s="67"/>
      <c r="Z114" s="63"/>
      <c r="AA114" s="68"/>
    </row>
    <row r="115" spans="1:28" ht="16.5" customHeight="1">
      <c r="A115" s="143">
        <v>100</v>
      </c>
      <c r="B115" s="141" t="s">
        <v>157</v>
      </c>
      <c r="C115" s="142" t="s">
        <v>57</v>
      </c>
      <c r="D115" s="27">
        <v>4543433134.5698357</v>
      </c>
      <c r="E115" s="28">
        <f t="shared" si="63"/>
        <v>2.3747566921956372E-3</v>
      </c>
      <c r="F115" s="27">
        <v>154935.11000000002</v>
      </c>
      <c r="G115" s="27">
        <v>154935.11000000002</v>
      </c>
      <c r="H115" s="30">
        <v>70</v>
      </c>
      <c r="I115" s="48">
        <v>1.1993E-2</v>
      </c>
      <c r="J115" s="48">
        <v>7.9076999999999995E-2</v>
      </c>
      <c r="K115" s="27">
        <f>2981909.37*W133</f>
        <v>4614098017.6369314</v>
      </c>
      <c r="L115" s="28">
        <f t="shared" si="64"/>
        <v>2.4019795695622145E-3</v>
      </c>
      <c r="M115" s="27">
        <f>100*W133</f>
        <v>154736.35999999999</v>
      </c>
      <c r="N115" s="27">
        <f>100*W133</f>
        <v>154736.35999999999</v>
      </c>
      <c r="O115" s="30">
        <v>73</v>
      </c>
      <c r="P115" s="48">
        <v>-1.1559999999999999E-3</v>
      </c>
      <c r="Q115" s="48">
        <v>7.4107999999999993E-2</v>
      </c>
      <c r="R115" s="55">
        <f>((K115-D115)/D115)</f>
        <v>1.5553190940442042E-2</v>
      </c>
      <c r="S115" s="55">
        <f>((N115-G115)/G115)</f>
        <v>-1.2827951004780588E-3</v>
      </c>
      <c r="T115" s="55">
        <f>((O115-H115)/H115)</f>
        <v>4.2857142857142858E-2</v>
      </c>
      <c r="U115" s="55">
        <f>P115-I115</f>
        <v>-1.3149000000000001E-2</v>
      </c>
      <c r="V115" s="56">
        <f>Q115-J115</f>
        <v>-4.9690000000000012E-3</v>
      </c>
      <c r="X115" s="63"/>
      <c r="Y115" s="67"/>
      <c r="Z115" s="63"/>
      <c r="AA115" s="68"/>
    </row>
    <row r="116" spans="1:28">
      <c r="A116" s="143">
        <v>101</v>
      </c>
      <c r="B116" s="141" t="s">
        <v>158</v>
      </c>
      <c r="C116" s="142" t="s">
        <v>23</v>
      </c>
      <c r="D116" s="27">
        <v>16264520453.934975</v>
      </c>
      <c r="E116" s="28">
        <f t="shared" si="63"/>
        <v>8.5011218717961357E-3</v>
      </c>
      <c r="F116" s="27">
        <v>1819.0685129600001</v>
      </c>
      <c r="G116" s="27">
        <v>1819.0685129600001</v>
      </c>
      <c r="H116" s="30">
        <v>308</v>
      </c>
      <c r="I116" s="48">
        <v>6.6699999999999995E-2</v>
      </c>
      <c r="J116" s="48">
        <v>7.3499999999999996E-2</v>
      </c>
      <c r="K116" s="27">
        <f>10574473.39*1550.4708</f>
        <v>16395412216.572014</v>
      </c>
      <c r="L116" s="28">
        <f t="shared" si="64"/>
        <v>8.5350257034473593E-3</v>
      </c>
      <c r="M116" s="27">
        <f>1.1747*1550.4708</f>
        <v>1821.3380487600002</v>
      </c>
      <c r="N116" s="27">
        <f>1.1747*1550.4708</f>
        <v>1821.3380487600002</v>
      </c>
      <c r="O116" s="30">
        <v>309</v>
      </c>
      <c r="P116" s="48">
        <v>5.7799999999999997E-2</v>
      </c>
      <c r="Q116" s="48">
        <v>7.2900000000000006E-2</v>
      </c>
      <c r="R116" s="55">
        <f t="shared" ref="R116:R128" si="65">((K116-D116)/D116)</f>
        <v>8.0476865584666983E-3</v>
      </c>
      <c r="S116" s="55">
        <f t="shared" ref="S116:S128" si="66">((N116-G116)/G116)</f>
        <v>1.2476362401035032E-3</v>
      </c>
      <c r="T116" s="55">
        <f t="shared" ref="T116:T128" si="67">((O116-H116)/H116)</f>
        <v>3.246753246753247E-3</v>
      </c>
      <c r="U116" s="55">
        <f t="shared" ref="U116:U128" si="68">P116-I116</f>
        <v>-8.8999999999999982E-3</v>
      </c>
      <c r="V116" s="56">
        <f t="shared" ref="V116:V128" si="69">Q116-J116</f>
        <v>-5.9999999999998943E-4</v>
      </c>
    </row>
    <row r="117" spans="1:28">
      <c r="A117" s="143">
        <v>102</v>
      </c>
      <c r="B117" s="141" t="s">
        <v>288</v>
      </c>
      <c r="C117" s="142" t="s">
        <v>23</v>
      </c>
      <c r="D117" s="27">
        <v>3223075090.88552</v>
      </c>
      <c r="E117" s="28">
        <f t="shared" si="63"/>
        <v>1.6846333851139904E-3</v>
      </c>
      <c r="F117" s="27">
        <v>1584.8250731200001</v>
      </c>
      <c r="G117" s="27">
        <v>1584.8250731200001</v>
      </c>
      <c r="H117" s="30">
        <v>77</v>
      </c>
      <c r="I117" s="48">
        <v>5.62E-2</v>
      </c>
      <c r="J117" s="48">
        <v>4.9599999999999998E-2</v>
      </c>
      <c r="K117" s="27">
        <f>2081457.31*1550.4708</f>
        <v>3227238780.6015482</v>
      </c>
      <c r="L117" s="28">
        <f t="shared" si="64"/>
        <v>1.6800166766014622E-3</v>
      </c>
      <c r="M117" s="27">
        <f>1.0235*1550.4708</f>
        <v>1586.9068638000001</v>
      </c>
      <c r="N117" s="27">
        <f>1.0235*1550.4708</f>
        <v>1586.9068638000001</v>
      </c>
      <c r="O117" s="30">
        <v>77</v>
      </c>
      <c r="P117" s="48">
        <v>6.1199999999999997E-2</v>
      </c>
      <c r="Q117" s="48">
        <v>5.0200000000000002E-2</v>
      </c>
      <c r="R117" s="55">
        <f t="shared" si="65"/>
        <v>1.2918376390927539E-3</v>
      </c>
      <c r="S117" s="55">
        <f t="shared" ref="S117" si="70">((N117-G117)/G117)</f>
        <v>1.3135775773042749E-3</v>
      </c>
      <c r="T117" s="55">
        <f t="shared" ref="T117" si="71">((O117-H117)/H117)</f>
        <v>0</v>
      </c>
      <c r="U117" s="55">
        <f t="shared" ref="U117" si="72">P117-I117</f>
        <v>4.9999999999999975E-3</v>
      </c>
      <c r="V117" s="56">
        <f t="shared" ref="V117" si="73">Q117-J117</f>
        <v>6.0000000000000331E-4</v>
      </c>
    </row>
    <row r="118" spans="1:28">
      <c r="A118" s="143">
        <v>103</v>
      </c>
      <c r="B118" s="141" t="s">
        <v>159</v>
      </c>
      <c r="C118" s="142" t="s">
        <v>27</v>
      </c>
      <c r="D118" s="27">
        <v>17631858549.213547</v>
      </c>
      <c r="E118" s="28">
        <f t="shared" si="63"/>
        <v>9.2158006611791025E-3</v>
      </c>
      <c r="F118" s="27">
        <v>1672.05970712</v>
      </c>
      <c r="G118" s="27">
        <v>1672.05970712</v>
      </c>
      <c r="H118" s="30">
        <v>446</v>
      </c>
      <c r="I118" s="48">
        <v>1.9E-3</v>
      </c>
      <c r="J118" s="48">
        <v>3.8199999999999998E-2</v>
      </c>
      <c r="K118" s="27">
        <f>11583031.97*W133</f>
        <v>17923162048.014294</v>
      </c>
      <c r="L118" s="28">
        <f t="shared" si="64"/>
        <v>9.3303325800025826E-3</v>
      </c>
      <c r="M118" s="27">
        <f>1.0811*W133</f>
        <v>1672.8547879599998</v>
      </c>
      <c r="N118" s="27">
        <f>1.0811*W133</f>
        <v>1672.8547879599998</v>
      </c>
      <c r="O118" s="30">
        <v>453</v>
      </c>
      <c r="P118" s="48">
        <v>1.8E-3</v>
      </c>
      <c r="Q118" s="48">
        <v>0.04</v>
      </c>
      <c r="R118" s="55">
        <f t="shared" si="65"/>
        <v>1.6521428979688602E-2</v>
      </c>
      <c r="S118" s="55">
        <f t="shared" ref="S118:T121" si="74">((N118-G118)/G118)</f>
        <v>4.7550983772542629E-4</v>
      </c>
      <c r="T118" s="55">
        <f t="shared" si="74"/>
        <v>1.5695067264573991E-2</v>
      </c>
      <c r="U118" s="55">
        <f t="shared" si="68"/>
        <v>-1.0000000000000005E-4</v>
      </c>
      <c r="V118" s="56">
        <f t="shared" si="69"/>
        <v>1.800000000000003E-3</v>
      </c>
    </row>
    <row r="119" spans="1:28">
      <c r="A119" s="143">
        <v>104</v>
      </c>
      <c r="B119" s="141" t="s">
        <v>160</v>
      </c>
      <c r="C119" s="142" t="s">
        <v>63</v>
      </c>
      <c r="D119" s="27">
        <v>777964125.17730498</v>
      </c>
      <c r="E119" s="28">
        <f t="shared" si="63"/>
        <v>4.066254433230138E-4</v>
      </c>
      <c r="F119" s="27">
        <v>1719.7797210000003</v>
      </c>
      <c r="G119" s="27">
        <v>1735.2732320000002</v>
      </c>
      <c r="H119" s="30">
        <v>31</v>
      </c>
      <c r="I119" s="48">
        <v>-0.35099999999999998</v>
      </c>
      <c r="J119" s="48">
        <v>0.13400000000000001</v>
      </c>
      <c r="K119" s="27">
        <f>502122.55*W133</f>
        <v>776966156.60917997</v>
      </c>
      <c r="L119" s="28">
        <f t="shared" si="64"/>
        <v>4.0446839821844808E-4</v>
      </c>
      <c r="M119" s="27">
        <f>1.11*W133</f>
        <v>1717.573596</v>
      </c>
      <c r="N119" s="27">
        <f>1.12*W133</f>
        <v>1733.0472320000001</v>
      </c>
      <c r="O119" s="30">
        <v>31</v>
      </c>
      <c r="P119" s="48">
        <v>-0.35099999999999998</v>
      </c>
      <c r="Q119" s="48">
        <v>0.13400000000000001</v>
      </c>
      <c r="R119" s="55">
        <f t="shared" si="65"/>
        <v>-1.2827951004778834E-3</v>
      </c>
      <c r="S119" s="55">
        <f t="shared" si="74"/>
        <v>-1.2827951004779359E-3</v>
      </c>
      <c r="T119" s="55">
        <f t="shared" si="74"/>
        <v>0</v>
      </c>
      <c r="U119" s="55">
        <f t="shared" si="68"/>
        <v>0</v>
      </c>
      <c r="V119" s="56">
        <f t="shared" si="69"/>
        <v>0</v>
      </c>
    </row>
    <row r="120" spans="1:28">
      <c r="A120" s="143">
        <v>105</v>
      </c>
      <c r="B120" s="141" t="s">
        <v>161</v>
      </c>
      <c r="C120" s="142" t="s">
        <v>29</v>
      </c>
      <c r="D120" s="27">
        <v>447002356.25034004</v>
      </c>
      <c r="E120" s="28">
        <v>0</v>
      </c>
      <c r="F120" s="27">
        <v>2019.2692886299999</v>
      </c>
      <c r="G120" s="27">
        <v>2019.2692886299999</v>
      </c>
      <c r="H120" s="30">
        <v>44</v>
      </c>
      <c r="I120" s="48">
        <v>9.9700000000000006E-4</v>
      </c>
      <c r="J120" s="48">
        <v>6.25E-2</v>
      </c>
      <c r="K120" s="27">
        <f>283914.51*W133</f>
        <v>439318978.28583598</v>
      </c>
      <c r="L120" s="28">
        <f t="shared" si="64"/>
        <v>2.2869804809737295E-4</v>
      </c>
      <c r="M120" s="27">
        <f>1.3051*W133</f>
        <v>2019.4642343599999</v>
      </c>
      <c r="N120" s="27">
        <f>1.3051*W133</f>
        <v>2019.4642343599999</v>
      </c>
      <c r="O120" s="30">
        <v>44</v>
      </c>
      <c r="P120" s="48">
        <v>9.859999999999999E-4</v>
      </c>
      <c r="Q120" s="48">
        <v>7.2499999999999995E-2</v>
      </c>
      <c r="R120" s="55">
        <f t="shared" si="65"/>
        <v>-1.7188674415400732E-2</v>
      </c>
      <c r="S120" s="55">
        <f t="shared" si="74"/>
        <v>9.6542710324800564E-5</v>
      </c>
      <c r="T120" s="55">
        <f t="shared" si="74"/>
        <v>0</v>
      </c>
      <c r="U120" s="55">
        <f t="shared" si="68"/>
        <v>-1.1000000000000159E-5</v>
      </c>
      <c r="V120" s="56">
        <f t="shared" si="69"/>
        <v>9.999999999999995E-3</v>
      </c>
    </row>
    <row r="121" spans="1:28">
      <c r="A121" s="143">
        <v>106</v>
      </c>
      <c r="B121" s="141" t="s">
        <v>162</v>
      </c>
      <c r="C121" s="142" t="s">
        <v>70</v>
      </c>
      <c r="D121" s="27">
        <v>817423200.4077481</v>
      </c>
      <c r="E121" s="28">
        <f t="shared" ref="E121:E130" si="75">(D121/$D$150)</f>
        <v>4.2724986987358033E-4</v>
      </c>
      <c r="F121" s="27">
        <v>164773.489485</v>
      </c>
      <c r="G121" s="27">
        <v>166462.28218400001</v>
      </c>
      <c r="H121" s="30">
        <v>52</v>
      </c>
      <c r="I121" s="48">
        <v>8.0000000000000004E-4</v>
      </c>
      <c r="J121" s="48">
        <v>1.5900000000000001E-2</v>
      </c>
      <c r="K121" s="27">
        <f>528106.47*W133</f>
        <v>817172728.60249186</v>
      </c>
      <c r="L121" s="28">
        <f t="shared" si="64"/>
        <v>4.2539889516951361E-4</v>
      </c>
      <c r="M121" s="27">
        <f>106.47*W133</f>
        <v>164747.80249199999</v>
      </c>
      <c r="N121" s="27">
        <f>107.62*W133</f>
        <v>166527.270632</v>
      </c>
      <c r="O121" s="30">
        <v>52</v>
      </c>
      <c r="P121" s="48">
        <v>1.4E-3</v>
      </c>
      <c r="Q121" s="48">
        <v>1.7299999999999999E-2</v>
      </c>
      <c r="R121" s="55">
        <f t="shared" si="65"/>
        <v>-3.0641631547930967E-4</v>
      </c>
      <c r="S121" s="55">
        <f t="shared" si="74"/>
        <v>3.9040944980048878E-4</v>
      </c>
      <c r="T121" s="55">
        <f t="shared" si="74"/>
        <v>0</v>
      </c>
      <c r="U121" s="55">
        <f t="shared" si="68"/>
        <v>5.9999999999999995E-4</v>
      </c>
      <c r="V121" s="56">
        <f t="shared" si="69"/>
        <v>1.3999999999999985E-3</v>
      </c>
    </row>
    <row r="122" spans="1:28">
      <c r="A122" s="143">
        <v>107</v>
      </c>
      <c r="B122" s="141" t="s">
        <v>163</v>
      </c>
      <c r="C122" s="142" t="s">
        <v>73</v>
      </c>
      <c r="D122" s="27">
        <v>5291840211.3448858</v>
      </c>
      <c r="E122" s="28">
        <f t="shared" si="75"/>
        <v>2.7659332895874234E-3</v>
      </c>
      <c r="F122" s="27">
        <v>177685.62661728999</v>
      </c>
      <c r="G122" s="27">
        <v>177685.62661728999</v>
      </c>
      <c r="H122" s="30">
        <v>61</v>
      </c>
      <c r="I122" s="48">
        <v>8.9999999999999993E-3</v>
      </c>
      <c r="J122" s="48">
        <v>7.1099999999999997E-2</v>
      </c>
      <c r="K122" s="27">
        <v>5291687129.9760551</v>
      </c>
      <c r="L122" s="28">
        <f t="shared" si="64"/>
        <v>2.7547148600079751E-3</v>
      </c>
      <c r="M122" s="27">
        <v>177680.35798807998</v>
      </c>
      <c r="N122" s="27">
        <v>177680.35798807998</v>
      </c>
      <c r="O122" s="30">
        <v>61</v>
      </c>
      <c r="P122" s="48">
        <v>8.9999999999999993E-3</v>
      </c>
      <c r="Q122" s="48">
        <v>7.0999999999999994E-2</v>
      </c>
      <c r="R122" s="55">
        <f t="shared" si="65"/>
        <v>-2.8927813901579663E-5</v>
      </c>
      <c r="S122" s="55">
        <f t="shared" si="66"/>
        <v>-2.9651409122469197E-5</v>
      </c>
      <c r="T122" s="55">
        <f t="shared" si="67"/>
        <v>0</v>
      </c>
      <c r="U122" s="55">
        <f t="shared" si="68"/>
        <v>0</v>
      </c>
      <c r="V122" s="56">
        <f t="shared" si="69"/>
        <v>-1.0000000000000286E-4</v>
      </c>
      <c r="X122" s="64"/>
    </row>
    <row r="123" spans="1:28">
      <c r="A123" s="143">
        <v>108</v>
      </c>
      <c r="B123" s="141" t="s">
        <v>164</v>
      </c>
      <c r="C123" s="142" t="s">
        <v>31</v>
      </c>
      <c r="D123" s="27">
        <v>56115723076.139992</v>
      </c>
      <c r="E123" s="28">
        <f t="shared" si="75"/>
        <v>2.9330505141257578E-2</v>
      </c>
      <c r="F123" s="27">
        <v>202812.53999999998</v>
      </c>
      <c r="G123" s="27">
        <v>202812.53999999998</v>
      </c>
      <c r="H123" s="30">
        <v>2428</v>
      </c>
      <c r="I123" s="48">
        <v>1.2999999999999999E-3</v>
      </c>
      <c r="J123" s="48">
        <v>3.2599999999999997E-2</v>
      </c>
      <c r="K123" s="27">
        <f>35875646.4*1551.63</f>
        <v>55665729223.632004</v>
      </c>
      <c r="L123" s="28">
        <f t="shared" si="64"/>
        <v>2.8978132629359204E-2</v>
      </c>
      <c r="M123" s="27">
        <f>130.69*1551.63</f>
        <v>202782.52470000001</v>
      </c>
      <c r="N123" s="27">
        <f>130.69*1551.63</f>
        <v>202782.52470000001</v>
      </c>
      <c r="O123" s="30">
        <v>2430</v>
      </c>
      <c r="P123" s="48">
        <v>1.4E-3</v>
      </c>
      <c r="Q123" s="48">
        <v>3.4000000000000002E-2</v>
      </c>
      <c r="R123" s="55">
        <f t="shared" si="65"/>
        <v>-8.0190333090321021E-3</v>
      </c>
      <c r="S123" s="55">
        <f t="shared" si="66"/>
        <v>-1.479952866818295E-4</v>
      </c>
      <c r="T123" s="55">
        <f t="shared" si="67"/>
        <v>8.2372322899505767E-4</v>
      </c>
      <c r="U123" s="55">
        <f t="shared" si="68"/>
        <v>1.0000000000000005E-4</v>
      </c>
      <c r="V123" s="56">
        <f t="shared" si="69"/>
        <v>1.4000000000000054E-3</v>
      </c>
    </row>
    <row r="124" spans="1:28">
      <c r="A124" s="143">
        <v>109</v>
      </c>
      <c r="B124" s="173" t="s">
        <v>165</v>
      </c>
      <c r="C124" s="173" t="s">
        <v>31</v>
      </c>
      <c r="D124" s="27">
        <v>150134307114.95999</v>
      </c>
      <c r="E124" s="28">
        <f t="shared" si="75"/>
        <v>7.8472036451167487E-2</v>
      </c>
      <c r="F124" s="27">
        <v>191297.4</v>
      </c>
      <c r="G124" s="27">
        <v>191297.4</v>
      </c>
      <c r="H124" s="30">
        <v>861</v>
      </c>
      <c r="I124" s="48">
        <v>1.5E-3</v>
      </c>
      <c r="J124" s="48">
        <v>3.6799999999999999E-2</v>
      </c>
      <c r="K124" s="27">
        <f>97627618.27*1551.63</f>
        <v>151481941336.28009</v>
      </c>
      <c r="L124" s="28">
        <f t="shared" si="64"/>
        <v>7.8857563679089873E-2</v>
      </c>
      <c r="M124" s="27">
        <f>123.29*1551.63</f>
        <v>191300.46270000003</v>
      </c>
      <c r="N124" s="27">
        <f>123.29*1551.63</f>
        <v>191300.46270000003</v>
      </c>
      <c r="O124" s="30">
        <v>873</v>
      </c>
      <c r="P124" s="48">
        <v>1.5E-3</v>
      </c>
      <c r="Q124" s="48">
        <v>3.8399999999999997E-2</v>
      </c>
      <c r="R124" s="55">
        <f t="shared" si="65"/>
        <v>8.9761910333272191E-3</v>
      </c>
      <c r="S124" s="55">
        <f t="shared" si="66"/>
        <v>1.6010149641545592E-5</v>
      </c>
      <c r="T124" s="55">
        <f t="shared" si="67"/>
        <v>1.3937282229965157E-2</v>
      </c>
      <c r="U124" s="55">
        <f t="shared" si="68"/>
        <v>0</v>
      </c>
      <c r="V124" s="56">
        <f t="shared" si="69"/>
        <v>1.5999999999999973E-3</v>
      </c>
      <c r="X124" s="63"/>
    </row>
    <row r="125" spans="1:28">
      <c r="A125" s="143">
        <v>110</v>
      </c>
      <c r="B125" s="141" t="s">
        <v>300</v>
      </c>
      <c r="C125" s="142" t="s">
        <v>299</v>
      </c>
      <c r="D125" s="27">
        <v>922655421.4964571</v>
      </c>
      <c r="E125" s="28">
        <f t="shared" si="75"/>
        <v>4.8225253280782484E-4</v>
      </c>
      <c r="F125" s="27">
        <v>1549.3511000000001</v>
      </c>
      <c r="G125" s="27">
        <v>1549.3511000000001</v>
      </c>
      <c r="H125" s="30">
        <v>7</v>
      </c>
      <c r="I125" s="48">
        <v>7.0900000000000005E-2</v>
      </c>
      <c r="J125" s="48">
        <v>8.5599999999999996E-2</v>
      </c>
      <c r="K125" s="27">
        <f>649498.57*W133</f>
        <v>1005010445.4700519</v>
      </c>
      <c r="L125" s="28">
        <f t="shared" si="64"/>
        <v>5.2318233119200196E-4</v>
      </c>
      <c r="M125" s="27">
        <f>1*W133</f>
        <v>1547.3635999999999</v>
      </c>
      <c r="N125" s="27">
        <f>1*W133</f>
        <v>1547.3635999999999</v>
      </c>
      <c r="O125" s="30">
        <v>8</v>
      </c>
      <c r="P125" s="48">
        <v>7.9000000000000001E-2</v>
      </c>
      <c r="Q125" s="48">
        <v>8.6699999999999999E-2</v>
      </c>
      <c r="R125" s="55">
        <f t="shared" ref="R125" si="76">((K125-D125)/D125)</f>
        <v>8.9258700545023592E-2</v>
      </c>
      <c r="S125" s="55">
        <f t="shared" ref="S125" si="77">((N125-G125)/G125)</f>
        <v>-1.2827951004779883E-3</v>
      </c>
      <c r="T125" s="55">
        <f t="shared" si="67"/>
        <v>0.14285714285714285</v>
      </c>
      <c r="U125" s="55">
        <f t="shared" si="68"/>
        <v>8.0999999999999961E-3</v>
      </c>
      <c r="V125" s="56">
        <f t="shared" si="69"/>
        <v>1.1000000000000038E-3</v>
      </c>
    </row>
    <row r="126" spans="1:28">
      <c r="A126" s="143">
        <v>111</v>
      </c>
      <c r="B126" s="141" t="s">
        <v>166</v>
      </c>
      <c r="C126" s="142" t="s">
        <v>35</v>
      </c>
      <c r="D126" s="27">
        <v>252446682.15474403</v>
      </c>
      <c r="E126" s="28">
        <f t="shared" si="75"/>
        <v>1.3194855742634868E-4</v>
      </c>
      <c r="F126" s="27">
        <v>197728.187382</v>
      </c>
      <c r="G126" s="27">
        <v>197728.187382</v>
      </c>
      <c r="H126" s="30">
        <v>9</v>
      </c>
      <c r="I126" s="48">
        <v>2.0999999999999999E-3</v>
      </c>
      <c r="J126" s="48">
        <v>0.12559999999999999</v>
      </c>
      <c r="K126" s="27">
        <f>163270.27*W133</f>
        <v>252638472.76017198</v>
      </c>
      <c r="L126" s="28">
        <f t="shared" si="64"/>
        <v>1.3151702623909946E-4</v>
      </c>
      <c r="M126" s="27">
        <f>127.88*W133</f>
        <v>197876.85716799999</v>
      </c>
      <c r="N126" s="27">
        <f>127.88*W133</f>
        <v>197876.85716799999</v>
      </c>
      <c r="O126" s="30">
        <v>9</v>
      </c>
      <c r="P126" s="48">
        <v>2E-3</v>
      </c>
      <c r="Q126" s="48">
        <v>0.12790000000000001</v>
      </c>
      <c r="R126" s="55">
        <f t="shared" si="65"/>
        <v>7.5972717799629216E-4</v>
      </c>
      <c r="S126" s="55">
        <f t="shared" si="66"/>
        <v>7.5188969245321689E-4</v>
      </c>
      <c r="T126" s="55">
        <f t="shared" si="67"/>
        <v>0</v>
      </c>
      <c r="U126" s="55">
        <f t="shared" si="68"/>
        <v>-9.9999999999999829E-5</v>
      </c>
      <c r="V126" s="56">
        <f t="shared" si="69"/>
        <v>2.3000000000000242E-3</v>
      </c>
    </row>
    <row r="127" spans="1:28">
      <c r="A127" s="143">
        <v>112</v>
      </c>
      <c r="B127" s="141" t="s">
        <v>167</v>
      </c>
      <c r="C127" s="142" t="s">
        <v>41</v>
      </c>
      <c r="D127" s="27">
        <v>17001559234.986513</v>
      </c>
      <c r="E127" s="28">
        <f t="shared" si="75"/>
        <v>8.8863565007361676E-3</v>
      </c>
      <c r="F127" s="27">
        <v>2200.0785620000001</v>
      </c>
      <c r="G127" s="27">
        <v>2200.0785620000001</v>
      </c>
      <c r="H127" s="44">
        <v>115</v>
      </c>
      <c r="I127" s="51">
        <v>8.9999999999999998E-4</v>
      </c>
      <c r="J127" s="51">
        <v>4.9099999999999998E-2</v>
      </c>
      <c r="K127" s="27">
        <f>11039833.57*W133</f>
        <v>17082636616.276051</v>
      </c>
      <c r="L127" s="28">
        <f t="shared" si="64"/>
        <v>8.892776874203619E-3</v>
      </c>
      <c r="M127" s="27">
        <f>1.42*W133</f>
        <v>2197.256312</v>
      </c>
      <c r="N127" s="27">
        <f>1.42*W133</f>
        <v>2197.256312</v>
      </c>
      <c r="O127" s="44">
        <v>118</v>
      </c>
      <c r="P127" s="51">
        <v>8.9999999999999998E-4</v>
      </c>
      <c r="Q127" s="51">
        <v>4.9099999999999998E-2</v>
      </c>
      <c r="R127" s="55">
        <f t="shared" si="65"/>
        <v>4.768820328119849E-3</v>
      </c>
      <c r="S127" s="55">
        <f t="shared" si="66"/>
        <v>-1.2827951004779469E-3</v>
      </c>
      <c r="T127" s="55">
        <f t="shared" si="67"/>
        <v>2.6086956521739129E-2</v>
      </c>
      <c r="U127" s="55">
        <f t="shared" si="68"/>
        <v>0</v>
      </c>
      <c r="V127" s="56">
        <f t="shared" si="69"/>
        <v>0</v>
      </c>
    </row>
    <row r="128" spans="1:28">
      <c r="A128" s="143">
        <v>113</v>
      </c>
      <c r="B128" s="141" t="s">
        <v>168</v>
      </c>
      <c r="C128" s="142" t="s">
        <v>87</v>
      </c>
      <c r="D128" s="27">
        <v>30862868437.057117</v>
      </c>
      <c r="E128" s="28">
        <f t="shared" si="75"/>
        <v>1.6131370527629443E-2</v>
      </c>
      <c r="F128" s="27">
        <v>162464.95634600002</v>
      </c>
      <c r="G128" s="27">
        <v>162464.95634600002</v>
      </c>
      <c r="H128" s="30">
        <v>649</v>
      </c>
      <c r="I128" s="51">
        <v>1.2999999999999999E-3</v>
      </c>
      <c r="J128" s="48">
        <v>9.4600000000000004E-2</v>
      </c>
      <c r="K128" s="27">
        <f>20135070.15*W133</f>
        <v>31156274633.556538</v>
      </c>
      <c r="L128" s="28">
        <f t="shared" si="64"/>
        <v>1.6219147241219471E-2</v>
      </c>
      <c r="M128" s="27">
        <f>105.25*W133</f>
        <v>162860.0189</v>
      </c>
      <c r="N128" s="27">
        <f>105.25*W133</f>
        <v>162860.0189</v>
      </c>
      <c r="O128" s="30">
        <v>665</v>
      </c>
      <c r="P128" s="51">
        <v>1.6000000000000001E-3</v>
      </c>
      <c r="Q128" s="48">
        <v>9.3899999999999997E-2</v>
      </c>
      <c r="R128" s="55">
        <f t="shared" si="65"/>
        <v>9.5067701531956986E-3</v>
      </c>
      <c r="S128" s="55">
        <f t="shared" si="66"/>
        <v>2.4316785778627473E-3</v>
      </c>
      <c r="T128" s="55">
        <f t="shared" si="67"/>
        <v>2.465331278890601E-2</v>
      </c>
      <c r="U128" s="55">
        <f t="shared" si="68"/>
        <v>3.0000000000000014E-4</v>
      </c>
      <c r="V128" s="56">
        <f t="shared" si="69"/>
        <v>-7.0000000000000617E-4</v>
      </c>
    </row>
    <row r="129" spans="1:24">
      <c r="A129" s="143">
        <v>114</v>
      </c>
      <c r="B129" s="141" t="s">
        <v>169</v>
      </c>
      <c r="C129" s="142" t="s">
        <v>45</v>
      </c>
      <c r="D129" s="27">
        <v>2681688696.3034854</v>
      </c>
      <c r="E129" s="28">
        <f t="shared" si="75"/>
        <v>1.4016621328653142E-3</v>
      </c>
      <c r="F129" s="27">
        <v>216274.98445320572</v>
      </c>
      <c r="G129" s="27">
        <v>223908.28562020601</v>
      </c>
      <c r="H129" s="30">
        <v>50</v>
      </c>
      <c r="I129" s="48">
        <v>8.0000000000000004E-4</v>
      </c>
      <c r="J129" s="48">
        <v>1.8499999999999999E-2</v>
      </c>
      <c r="K129" s="27">
        <f>1739939.66*W133</f>
        <v>2692319296.0803757</v>
      </c>
      <c r="L129" s="28">
        <f t="shared" si="64"/>
        <v>1.401551488330789E-3</v>
      </c>
      <c r="M129" s="27">
        <f>140.278798*W133</f>
        <v>217062.30587695277</v>
      </c>
      <c r="N129" s="27">
        <f>145.358075*W133</f>
        <v>224921.79422107001</v>
      </c>
      <c r="O129" s="30">
        <v>51</v>
      </c>
      <c r="P129" s="48">
        <v>6.1999999999999998E-3</v>
      </c>
      <c r="Q129" s="48">
        <v>2.4E-2</v>
      </c>
      <c r="R129" s="55">
        <f t="shared" ref="R129:R130" si="78">((K129-D129)/D129)</f>
        <v>3.9641438588840653E-3</v>
      </c>
      <c r="S129" s="55">
        <f t="shared" ref="S129:S130" si="79">((N129-G129)/G129)</f>
        <v>4.5264452722536723E-3</v>
      </c>
      <c r="T129" s="55">
        <f t="shared" ref="T129:T130" si="80">((O129-H129)/H129)</f>
        <v>0.02</v>
      </c>
      <c r="U129" s="55">
        <f t="shared" ref="U129:U130" si="81">P129-I129</f>
        <v>5.3999999999999994E-3</v>
      </c>
      <c r="V129" s="56">
        <f t="shared" ref="V129:V130" si="82">Q129-J129</f>
        <v>5.5000000000000014E-3</v>
      </c>
    </row>
    <row r="130" spans="1:24">
      <c r="A130" s="143">
        <v>115</v>
      </c>
      <c r="B130" s="141" t="s">
        <v>170</v>
      </c>
      <c r="C130" s="142" t="s">
        <v>52</v>
      </c>
      <c r="D130" s="31">
        <v>174391302119.42911</v>
      </c>
      <c r="E130" s="28">
        <f t="shared" si="75"/>
        <v>9.1150656233446536E-2</v>
      </c>
      <c r="F130" s="27">
        <v>184603.60213800002</v>
      </c>
      <c r="G130" s="27">
        <v>184603.60213800002</v>
      </c>
      <c r="H130" s="30">
        <v>3730</v>
      </c>
      <c r="I130" s="48">
        <v>6.1699999999999998E-2</v>
      </c>
      <c r="J130" s="48">
        <v>6.4699999999999994E-2</v>
      </c>
      <c r="K130" s="31">
        <f>113000458.65*1551.63</f>
        <v>175334901655.09952</v>
      </c>
      <c r="L130" s="28">
        <f t="shared" si="64"/>
        <v>9.127479520308017E-2</v>
      </c>
      <c r="M130" s="27">
        <f>119.0096*1551.63</f>
        <v>184658.86564800004</v>
      </c>
      <c r="N130" s="27">
        <f>119.0096*1551.63</f>
        <v>184658.86564800004</v>
      </c>
      <c r="O130" s="30">
        <v>3751</v>
      </c>
      <c r="P130" s="48">
        <v>0.1046</v>
      </c>
      <c r="Q130" s="48">
        <v>6.6000000000000003E-2</v>
      </c>
      <c r="R130" s="55">
        <f t="shared" si="78"/>
        <v>5.4108176508952327E-3</v>
      </c>
      <c r="S130" s="55">
        <f t="shared" si="79"/>
        <v>2.9936311837895098E-4</v>
      </c>
      <c r="T130" s="55">
        <f t="shared" si="80"/>
        <v>5.6300268096514741E-3</v>
      </c>
      <c r="U130" s="55">
        <f t="shared" si="81"/>
        <v>4.2900000000000001E-2</v>
      </c>
      <c r="V130" s="56">
        <f t="shared" si="82"/>
        <v>1.3000000000000095E-3</v>
      </c>
    </row>
    <row r="131" spans="1:24" ht="6" customHeight="1">
      <c r="A131" s="34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</row>
    <row r="132" spans="1:24">
      <c r="A132" s="179" t="s">
        <v>171</v>
      </c>
      <c r="B132" s="179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</row>
    <row r="133" spans="1:24">
      <c r="A133" s="143">
        <v>116</v>
      </c>
      <c r="B133" s="141" t="s">
        <v>172</v>
      </c>
      <c r="C133" s="142" t="s">
        <v>115</v>
      </c>
      <c r="D133" s="31">
        <v>1858770629.2585213</v>
      </c>
      <c r="E133" s="28">
        <f t="shared" ref="E133:E146" si="83">(D133/$D$150)</f>
        <v>9.7154021207055612E-4</v>
      </c>
      <c r="F133" s="27">
        <v>167329.91880000001</v>
      </c>
      <c r="G133" s="27">
        <v>167329.91880000001</v>
      </c>
      <c r="H133" s="30">
        <v>23</v>
      </c>
      <c r="I133" s="48">
        <v>5.1999999999999998E-3</v>
      </c>
      <c r="J133" s="48">
        <v>0.11559999999999999</v>
      </c>
      <c r="K133" s="31">
        <f>1209501.67*W133</f>
        <v>1871538858.2972119</v>
      </c>
      <c r="L133" s="28">
        <f t="shared" ref="L133:L149" si="84">(K133/$K$150)</f>
        <v>9.7427451347771165E-4</v>
      </c>
      <c r="M133" s="27">
        <f>108.89*W133</f>
        <v>168492.42240399998</v>
      </c>
      <c r="N133" s="27">
        <f>108.89*W133</f>
        <v>168492.42240399998</v>
      </c>
      <c r="O133" s="30">
        <v>23</v>
      </c>
      <c r="P133" s="48">
        <v>7.1000000000000004E-3</v>
      </c>
      <c r="Q133" s="48">
        <v>0.1129</v>
      </c>
      <c r="R133" s="55">
        <f>((K133-D133)/D133)</f>
        <v>6.8691794660990079E-3</v>
      </c>
      <c r="S133" s="55">
        <f>((N133-G133)/G133)</f>
        <v>6.9473744584161506E-3</v>
      </c>
      <c r="T133" s="55">
        <f>((O133-H133)/H133)</f>
        <v>0</v>
      </c>
      <c r="U133" s="55">
        <f>P133-I133</f>
        <v>1.9000000000000006E-3</v>
      </c>
      <c r="V133" s="56">
        <f>Q133-J133</f>
        <v>-2.6999999999999941E-3</v>
      </c>
      <c r="W133" s="136">
        <v>1547.3635999999999</v>
      </c>
    </row>
    <row r="134" spans="1:24">
      <c r="A134" s="143">
        <v>117</v>
      </c>
      <c r="B134" s="142" t="s">
        <v>173</v>
      </c>
      <c r="C134" s="142" t="s">
        <v>25</v>
      </c>
      <c r="D134" s="27">
        <v>18426399367.731884</v>
      </c>
      <c r="E134" s="28">
        <f t="shared" si="83"/>
        <v>9.6310903925592162E-3</v>
      </c>
      <c r="F134" s="31">
        <v>212478.009854</v>
      </c>
      <c r="G134" s="31">
        <v>212478.009854</v>
      </c>
      <c r="H134" s="30">
        <v>578</v>
      </c>
      <c r="I134" s="48">
        <v>5.0000000000000001E-4</v>
      </c>
      <c r="J134" s="48">
        <v>2.5399999999999999E-2</v>
      </c>
      <c r="K134" s="27">
        <f>12457773.21*W133</f>
        <v>19276704802.209156</v>
      </c>
      <c r="L134" s="28">
        <f t="shared" si="84"/>
        <v>1.0034951777444359E-2</v>
      </c>
      <c r="M134" s="31">
        <f>137.29*W133</f>
        <v>212437.54864399997</v>
      </c>
      <c r="N134" s="31">
        <f>137.29*W133</f>
        <v>212437.54864399997</v>
      </c>
      <c r="O134" s="30">
        <v>584</v>
      </c>
      <c r="P134" s="48">
        <v>5.0000000000000001E-4</v>
      </c>
      <c r="Q134" s="48">
        <v>2.6499999999999999E-2</v>
      </c>
      <c r="R134" s="55">
        <f t="shared" ref="R134:R150" si="85">((K134-D134)/D134)</f>
        <v>4.6146043918179586E-2</v>
      </c>
      <c r="S134" s="55">
        <f t="shared" ref="S134:S150" si="86">((N134-G134)/G134)</f>
        <v>-1.9042539991710102E-4</v>
      </c>
      <c r="T134" s="55">
        <f t="shared" ref="T134:T150" si="87">((O134-H134)/H134)</f>
        <v>1.0380622837370242E-2</v>
      </c>
      <c r="U134" s="55">
        <f t="shared" ref="U134:U150" si="88">P134-I134</f>
        <v>0</v>
      </c>
      <c r="V134" s="56">
        <f t="shared" ref="V134:V150" si="89">Q134-J134</f>
        <v>1.1000000000000003E-3</v>
      </c>
    </row>
    <row r="135" spans="1:24">
      <c r="A135" s="143">
        <v>118</v>
      </c>
      <c r="B135" s="141" t="s">
        <v>174</v>
      </c>
      <c r="C135" s="142" t="s">
        <v>67</v>
      </c>
      <c r="D135" s="31">
        <v>16304999521.92</v>
      </c>
      <c r="E135" s="28">
        <f t="shared" si="83"/>
        <v>8.5222794270509647E-3</v>
      </c>
      <c r="F135" s="31">
        <v>171797.18</v>
      </c>
      <c r="G135" s="31">
        <v>171797.18</v>
      </c>
      <c r="H135" s="30">
        <v>702</v>
      </c>
      <c r="I135" s="48">
        <v>1.1999999999999999E-3</v>
      </c>
      <c r="J135" s="48">
        <v>6.3500000000000001E-2</v>
      </c>
      <c r="K135" s="31">
        <v>16472226852.98</v>
      </c>
      <c r="L135" s="28">
        <f t="shared" si="84"/>
        <v>8.5750134077809195E-3</v>
      </c>
      <c r="M135" s="31">
        <v>172007.2</v>
      </c>
      <c r="N135" s="31">
        <v>172007.2</v>
      </c>
      <c r="O135" s="30">
        <v>703</v>
      </c>
      <c r="P135" s="48">
        <v>1.1999999999999999E-3</v>
      </c>
      <c r="Q135" s="48">
        <v>6.3500000000000001E-2</v>
      </c>
      <c r="R135" s="55">
        <f t="shared" si="85"/>
        <v>1.0256199691093738E-2</v>
      </c>
      <c r="S135" s="55">
        <f t="shared" si="86"/>
        <v>1.2224880524815288E-3</v>
      </c>
      <c r="T135" s="55">
        <f t="shared" si="87"/>
        <v>1.4245014245014246E-3</v>
      </c>
      <c r="U135" s="55">
        <f t="shared" si="88"/>
        <v>0</v>
      </c>
      <c r="V135" s="56">
        <f t="shared" si="89"/>
        <v>0</v>
      </c>
    </row>
    <row r="136" spans="1:24">
      <c r="A136" s="143">
        <v>119</v>
      </c>
      <c r="B136" s="141" t="s">
        <v>295</v>
      </c>
      <c r="C136" s="142" t="s">
        <v>296</v>
      </c>
      <c r="D136" s="27">
        <v>192059080.72007799</v>
      </c>
      <c r="E136" s="28">
        <f t="shared" ref="E136" si="90">(D136/$D$110)</f>
        <v>9.4918384274373855E-4</v>
      </c>
      <c r="F136" s="33">
        <v>1502.5606967800002</v>
      </c>
      <c r="G136" s="33">
        <v>1502.5606967800002</v>
      </c>
      <c r="H136" s="30">
        <v>3</v>
      </c>
      <c r="I136" s="48">
        <v>4.1262636682470877E-4</v>
      </c>
      <c r="J136" s="48">
        <v>2.6264224680845882E-2</v>
      </c>
      <c r="K136" s="27">
        <f>124055.77*W133</f>
        <v>191959382.86797199</v>
      </c>
      <c r="L136" s="28">
        <f t="shared" ref="L136" si="91">(K136/$K$110)</f>
        <v>9.1378481490594226E-4</v>
      </c>
      <c r="M136" s="33">
        <f>0.9702*W133</f>
        <v>1501.2521647199999</v>
      </c>
      <c r="N136" s="33">
        <f>0.9702*W133</f>
        <v>1501.2521647199999</v>
      </c>
      <c r="O136" s="30">
        <v>3</v>
      </c>
      <c r="P136" s="48">
        <v>8.2525273364963958E-4</v>
      </c>
      <c r="Q136" s="48">
        <v>2.6664785465944862E-2</v>
      </c>
      <c r="R136" s="54">
        <f t="shared" si="85"/>
        <v>-5.1909991306952285E-4</v>
      </c>
      <c r="S136" s="54">
        <f t="shared" si="86"/>
        <v>-8.7086802070923566E-4</v>
      </c>
      <c r="T136" s="54">
        <f t="shared" si="87"/>
        <v>0</v>
      </c>
      <c r="U136" s="55">
        <f t="shared" si="88"/>
        <v>4.1262636682493081E-4</v>
      </c>
      <c r="V136" s="56">
        <f t="shared" si="89"/>
        <v>4.0056078509898008E-4</v>
      </c>
    </row>
    <row r="137" spans="1:24">
      <c r="A137" s="143">
        <v>120</v>
      </c>
      <c r="B137" s="141" t="s">
        <v>175</v>
      </c>
      <c r="C137" s="142" t="s">
        <v>65</v>
      </c>
      <c r="D137" s="31">
        <v>9673377466.4982204</v>
      </c>
      <c r="E137" s="28">
        <f t="shared" si="83"/>
        <v>5.0560704195058148E-3</v>
      </c>
      <c r="F137" s="31">
        <v>2011.2725172031166</v>
      </c>
      <c r="G137" s="31">
        <v>2011.2725172031166</v>
      </c>
      <c r="H137" s="30">
        <v>267</v>
      </c>
      <c r="I137" s="48">
        <v>6.3194213010879866E-2</v>
      </c>
      <c r="J137" s="48">
        <v>6.4587004751966978E-2</v>
      </c>
      <c r="K137" s="31">
        <v>9683293357.0861645</v>
      </c>
      <c r="L137" s="28">
        <f t="shared" si="84"/>
        <v>5.0408709829945046E-3</v>
      </c>
      <c r="M137" s="31">
        <v>2017.6537024090417</v>
      </c>
      <c r="N137" s="31">
        <v>2017.6537024090417</v>
      </c>
      <c r="O137" s="30">
        <v>266</v>
      </c>
      <c r="P137" s="48">
        <v>8.9582560362429592E-2</v>
      </c>
      <c r="Q137" s="48">
        <v>6.5716634207799843E-2</v>
      </c>
      <c r="R137" s="55">
        <f t="shared" si="85"/>
        <v>1.025070160064125E-3</v>
      </c>
      <c r="S137" s="55">
        <f t="shared" si="86"/>
        <v>3.1727103867549098E-3</v>
      </c>
      <c r="T137" s="54">
        <f t="shared" si="87"/>
        <v>-3.7453183520599251E-3</v>
      </c>
      <c r="U137" s="55">
        <f t="shared" si="88"/>
        <v>2.6388347351549726E-2</v>
      </c>
      <c r="V137" s="56">
        <f t="shared" si="89"/>
        <v>1.1296294558328646E-3</v>
      </c>
    </row>
    <row r="138" spans="1:24">
      <c r="A138" s="143">
        <v>121</v>
      </c>
      <c r="B138" s="141" t="s">
        <v>302</v>
      </c>
      <c r="C138" s="142" t="s">
        <v>37</v>
      </c>
      <c r="D138" s="31">
        <v>96474990738.93428</v>
      </c>
      <c r="E138" s="28">
        <f t="shared" si="83"/>
        <v>5.0425443293882113E-2</v>
      </c>
      <c r="F138" s="31">
        <v>158615.24</v>
      </c>
      <c r="G138" s="31">
        <v>158615.24</v>
      </c>
      <c r="H138" s="30">
        <v>1861</v>
      </c>
      <c r="I138" s="48">
        <v>5.0500000000000003E-2</v>
      </c>
      <c r="J138" s="48">
        <v>4.7804699999999999E-2</v>
      </c>
      <c r="K138" s="31">
        <v>96916822118.623322</v>
      </c>
      <c r="L138" s="28">
        <f t="shared" si="84"/>
        <v>5.0452380028773419E-2</v>
      </c>
      <c r="M138" s="31">
        <f>100*1586.1524</f>
        <v>158615.24</v>
      </c>
      <c r="N138" s="31">
        <f>100*1586.1524</f>
        <v>158615.24</v>
      </c>
      <c r="O138" s="30">
        <v>1858</v>
      </c>
      <c r="P138" s="48">
        <v>5.8200000000000002E-2</v>
      </c>
      <c r="Q138" s="48">
        <v>4.8228699999999999E-2</v>
      </c>
      <c r="R138" s="55">
        <f t="shared" si="85"/>
        <v>4.5797504234507463E-3</v>
      </c>
      <c r="S138" s="55">
        <f t="shared" si="86"/>
        <v>0</v>
      </c>
      <c r="T138" s="55">
        <f t="shared" si="87"/>
        <v>-1.6120365394948952E-3</v>
      </c>
      <c r="U138" s="55">
        <f t="shared" si="88"/>
        <v>7.6999999999999985E-3</v>
      </c>
      <c r="V138" s="56">
        <f t="shared" si="89"/>
        <v>4.2400000000000077E-4</v>
      </c>
    </row>
    <row r="139" spans="1:24" ht="15.6">
      <c r="A139" s="143">
        <v>122</v>
      </c>
      <c r="B139" s="141" t="s">
        <v>176</v>
      </c>
      <c r="C139" s="142" t="s">
        <v>132</v>
      </c>
      <c r="D139" s="31">
        <v>1551338328.7078822</v>
      </c>
      <c r="E139" s="28">
        <f t="shared" si="83"/>
        <v>8.1085183138882889E-4</v>
      </c>
      <c r="F139" s="31">
        <v>1719.7797210000003</v>
      </c>
      <c r="G139" s="31">
        <v>1781.7537649999999</v>
      </c>
      <c r="H139" s="30">
        <v>53</v>
      </c>
      <c r="I139" s="48">
        <v>1.9E-3</v>
      </c>
      <c r="J139" s="48">
        <v>9.2299999999999993E-2</v>
      </c>
      <c r="K139" s="31">
        <f>1014525.22*W133</f>
        <v>1569839396.7099919</v>
      </c>
      <c r="L139" s="28">
        <f t="shared" si="84"/>
        <v>8.1721761089124283E-4</v>
      </c>
      <c r="M139" s="31">
        <f>1.11*W133</f>
        <v>1717.573596</v>
      </c>
      <c r="N139" s="31">
        <f>1.16*W133</f>
        <v>1794.9417759999997</v>
      </c>
      <c r="O139" s="30">
        <v>53</v>
      </c>
      <c r="P139" s="48">
        <v>1.9E-3</v>
      </c>
      <c r="Q139" s="48">
        <v>9.2299999999999993E-2</v>
      </c>
      <c r="R139" s="55">
        <f t="shared" si="85"/>
        <v>1.1925875651844045E-2</v>
      </c>
      <c r="S139" s="55">
        <f t="shared" si="86"/>
        <v>7.4017023334308676E-3</v>
      </c>
      <c r="T139" s="55">
        <f t="shared" si="87"/>
        <v>0</v>
      </c>
      <c r="U139" s="55">
        <f t="shared" si="88"/>
        <v>0</v>
      </c>
      <c r="V139" s="56">
        <f t="shared" si="89"/>
        <v>0</v>
      </c>
      <c r="X139" s="65"/>
    </row>
    <row r="140" spans="1:24" ht="15.6">
      <c r="A140" s="143">
        <v>123</v>
      </c>
      <c r="B140" s="141" t="s">
        <v>177</v>
      </c>
      <c r="C140" s="142" t="s">
        <v>43</v>
      </c>
      <c r="D140" s="27">
        <v>5224830636.8282862</v>
      </c>
      <c r="E140" s="28">
        <f t="shared" si="83"/>
        <v>2.7309087980165697E-3</v>
      </c>
      <c r="F140" s="31">
        <v>16562.563258999999</v>
      </c>
      <c r="G140" s="31">
        <v>16562.563258999999</v>
      </c>
      <c r="H140" s="30">
        <v>133</v>
      </c>
      <c r="I140" s="48">
        <v>7.6899999999999996E-2</v>
      </c>
      <c r="J140" s="48">
        <v>9.7000000000000003E-2</v>
      </c>
      <c r="K140" s="27">
        <f>3365871.49*W133</f>
        <v>5208227025.9037638</v>
      </c>
      <c r="L140" s="28">
        <f t="shared" si="84"/>
        <v>2.7112676978348037E-3</v>
      </c>
      <c r="M140" s="31">
        <f>10.71308*W133</f>
        <v>16577.030035887998</v>
      </c>
      <c r="N140" s="31">
        <f>10.71308*W133</f>
        <v>16577.030035887998</v>
      </c>
      <c r="O140" s="30">
        <v>139</v>
      </c>
      <c r="P140" s="48">
        <v>7.6499999999999999E-2</v>
      </c>
      <c r="Q140" s="48">
        <v>9.6500000000000002E-2</v>
      </c>
      <c r="R140" s="55">
        <f t="shared" si="85"/>
        <v>-3.1778275849725073E-3</v>
      </c>
      <c r="S140" s="55">
        <f t="shared" si="86"/>
        <v>8.7346243825742631E-4</v>
      </c>
      <c r="T140" s="55">
        <f t="shared" si="87"/>
        <v>4.5112781954887216E-2</v>
      </c>
      <c r="U140" s="55">
        <f t="shared" si="88"/>
        <v>-3.9999999999999758E-4</v>
      </c>
      <c r="V140" s="56">
        <f t="shared" si="89"/>
        <v>-5.0000000000000044E-4</v>
      </c>
      <c r="X140" s="65"/>
    </row>
    <row r="141" spans="1:24" ht="15.6">
      <c r="A141" s="143">
        <v>124</v>
      </c>
      <c r="B141" s="142" t="s">
        <v>178</v>
      </c>
      <c r="C141" s="147" t="s">
        <v>47</v>
      </c>
      <c r="D141" s="31">
        <v>25199229754.310001</v>
      </c>
      <c r="E141" s="28">
        <f t="shared" si="83"/>
        <v>1.3171106017143761E-2</v>
      </c>
      <c r="F141" s="31">
        <v>1657.8056770000003</v>
      </c>
      <c r="G141" s="31">
        <v>1657.8056770000003</v>
      </c>
      <c r="H141" s="30">
        <v>460</v>
      </c>
      <c r="I141" s="48">
        <v>2.5999999999999999E-3</v>
      </c>
      <c r="J141" s="48">
        <v>2.6200000000000001E-2</v>
      </c>
      <c r="K141" s="31">
        <v>25374891004.709999</v>
      </c>
      <c r="L141" s="28">
        <f t="shared" si="84"/>
        <v>1.3209509104532722E-2</v>
      </c>
      <c r="M141" s="31">
        <f>1.07*W133</f>
        <v>1655.679052</v>
      </c>
      <c r="N141" s="31">
        <f>1.07*W133</f>
        <v>1655.679052</v>
      </c>
      <c r="O141" s="30">
        <v>460</v>
      </c>
      <c r="P141" s="48">
        <v>3.5000000000000001E-3</v>
      </c>
      <c r="Q141" s="48">
        <v>3.0499999999999999E-2</v>
      </c>
      <c r="R141" s="55">
        <f t="shared" si="85"/>
        <v>6.9708976072950461E-3</v>
      </c>
      <c r="S141" s="55">
        <f t="shared" si="86"/>
        <v>-1.2827951004780705E-3</v>
      </c>
      <c r="T141" s="55">
        <f t="shared" si="87"/>
        <v>0</v>
      </c>
      <c r="U141" s="55">
        <f t="shared" si="88"/>
        <v>9.0000000000000019E-4</v>
      </c>
      <c r="V141" s="56">
        <f t="shared" si="89"/>
        <v>4.2999999999999983E-3</v>
      </c>
      <c r="X141" s="65"/>
    </row>
    <row r="142" spans="1:24">
      <c r="A142" s="143">
        <v>125</v>
      </c>
      <c r="B142" s="141" t="s">
        <v>179</v>
      </c>
      <c r="C142" s="142" t="s">
        <v>89</v>
      </c>
      <c r="D142" s="27">
        <v>432965542.93900001</v>
      </c>
      <c r="E142" s="28">
        <f t="shared" si="83"/>
        <v>2.2630195936224664E-4</v>
      </c>
      <c r="F142" s="31">
        <v>1802.7908</v>
      </c>
      <c r="G142" s="31">
        <v>1802.7908</v>
      </c>
      <c r="H142" s="30">
        <v>2</v>
      </c>
      <c r="I142" s="48">
        <v>4.738E-3</v>
      </c>
      <c r="J142" s="48">
        <v>4.5510000000000002E-2</v>
      </c>
      <c r="K142" s="27">
        <f>280445.98*1551.63</f>
        <v>435148395.94739997</v>
      </c>
      <c r="L142" s="28">
        <f t="shared" si="84"/>
        <v>2.2652695126938862E-4</v>
      </c>
      <c r="M142" s="31">
        <f>1.17*1551.63</f>
        <v>1815.4071000000001</v>
      </c>
      <c r="N142" s="31">
        <f>1.17*1551.63</f>
        <v>1815.4071000000001</v>
      </c>
      <c r="O142" s="30">
        <v>2</v>
      </c>
      <c r="P142" s="48">
        <v>6.6610000000000003E-3</v>
      </c>
      <c r="Q142" s="48">
        <v>5.2474E-2</v>
      </c>
      <c r="R142" s="55">
        <f t="shared" si="85"/>
        <v>5.0416321668061764E-3</v>
      </c>
      <c r="S142" s="55">
        <f t="shared" si="86"/>
        <v>6.9982052271401309E-3</v>
      </c>
      <c r="T142" s="55">
        <f t="shared" si="87"/>
        <v>0</v>
      </c>
      <c r="U142" s="55">
        <f t="shared" ref="U142" si="92">P142-I142</f>
        <v>1.9230000000000002E-3</v>
      </c>
      <c r="V142" s="56">
        <f t="shared" ref="V142" si="93">Q142-J142</f>
        <v>6.963999999999998E-3</v>
      </c>
    </row>
    <row r="143" spans="1:24">
      <c r="A143" s="143">
        <v>126</v>
      </c>
      <c r="B143" s="141" t="s">
        <v>305</v>
      </c>
      <c r="C143" s="142" t="s">
        <v>303</v>
      </c>
      <c r="D143" s="27">
        <v>651445959.9383353</v>
      </c>
      <c r="E143" s="28">
        <f t="shared" si="83"/>
        <v>3.4049706623752094E-4</v>
      </c>
      <c r="F143" s="31">
        <v>1573.6759122700003</v>
      </c>
      <c r="G143" s="31">
        <v>1573.6759122700003</v>
      </c>
      <c r="H143" s="30">
        <v>5</v>
      </c>
      <c r="I143" s="48">
        <v>8.2400000000000001E-2</v>
      </c>
      <c r="J143" s="48">
        <v>6.1100000000000002E-2</v>
      </c>
      <c r="K143" s="27">
        <f>421118.0593*W133</f>
        <v>651622756.26346147</v>
      </c>
      <c r="L143" s="28">
        <f t="shared" si="84"/>
        <v>3.3921787998952136E-4</v>
      </c>
      <c r="M143" s="31">
        <f>1.0173*W133</f>
        <v>1574.1329902800001</v>
      </c>
      <c r="N143" s="31">
        <f>1.0173*W133</f>
        <v>1574.1329902800001</v>
      </c>
      <c r="O143" s="30">
        <v>5</v>
      </c>
      <c r="P143" s="48">
        <v>8.2400000000000001E-2</v>
      </c>
      <c r="Q143" s="48">
        <v>6.2600000000000003E-2</v>
      </c>
      <c r="R143" s="55">
        <f t="shared" ref="R143" si="94">((K143-D143)/D143)</f>
        <v>2.7139062331878817E-4</v>
      </c>
      <c r="S143" s="55">
        <f t="shared" ref="S143" si="95">((N143-G143)/G143)</f>
        <v>2.9045244096065343E-4</v>
      </c>
      <c r="T143" s="55">
        <f t="shared" si="87"/>
        <v>0</v>
      </c>
      <c r="U143" s="55">
        <f t="shared" si="88"/>
        <v>0</v>
      </c>
      <c r="V143" s="56">
        <f t="shared" si="89"/>
        <v>1.5000000000000013E-3</v>
      </c>
    </row>
    <row r="144" spans="1:24">
      <c r="A144" s="143">
        <v>127</v>
      </c>
      <c r="B144" s="141" t="s">
        <v>180</v>
      </c>
      <c r="C144" s="142" t="s">
        <v>49</v>
      </c>
      <c r="D144" s="27">
        <v>1068701260017.12</v>
      </c>
      <c r="E144" s="28">
        <f t="shared" si="83"/>
        <v>0.55858761293817305</v>
      </c>
      <c r="F144" s="31">
        <v>2522.66</v>
      </c>
      <c r="G144" s="31">
        <v>2522.66</v>
      </c>
      <c r="H144" s="30">
        <v>11101</v>
      </c>
      <c r="I144" s="48">
        <v>1.5E-3</v>
      </c>
      <c r="J144" s="48">
        <v>3.09E-2</v>
      </c>
      <c r="K144" s="27">
        <v>1068469131537.71</v>
      </c>
      <c r="L144" s="28">
        <f t="shared" si="84"/>
        <v>0.55621727472010685</v>
      </c>
      <c r="M144" s="31">
        <v>2521.86</v>
      </c>
      <c r="N144" s="31">
        <v>2521.86</v>
      </c>
      <c r="O144" s="30">
        <v>11183</v>
      </c>
      <c r="P144" s="48">
        <v>1.2999999999999999E-3</v>
      </c>
      <c r="Q144" s="48">
        <v>3.2199999999999999E-2</v>
      </c>
      <c r="R144" s="55">
        <f t="shared" si="85"/>
        <v>-2.1720614365731693E-4</v>
      </c>
      <c r="S144" s="55">
        <f t="shared" si="86"/>
        <v>-3.1712557379897694E-4</v>
      </c>
      <c r="T144" s="55">
        <f t="shared" si="87"/>
        <v>7.3867219169444194E-3</v>
      </c>
      <c r="U144" s="55">
        <f t="shared" si="88"/>
        <v>-2.0000000000000009E-4</v>
      </c>
      <c r="V144" s="56">
        <f t="shared" si="89"/>
        <v>1.2999999999999991E-3</v>
      </c>
    </row>
    <row r="145" spans="1:22">
      <c r="A145" s="143">
        <v>128</v>
      </c>
      <c r="B145" s="141" t="s">
        <v>287</v>
      </c>
      <c r="C145" s="141" t="s">
        <v>99</v>
      </c>
      <c r="D145" s="27">
        <v>508537840.92797405</v>
      </c>
      <c r="E145" s="28">
        <f t="shared" si="83"/>
        <v>2.6580200593020618E-4</v>
      </c>
      <c r="F145" s="31">
        <v>159676.124366</v>
      </c>
      <c r="G145" s="31">
        <v>159676.124366</v>
      </c>
      <c r="H145" s="30">
        <v>24</v>
      </c>
      <c r="I145" s="48">
        <v>0</v>
      </c>
      <c r="J145" s="48">
        <v>7.3700000000000002E-2</v>
      </c>
      <c r="K145" s="27">
        <f>315354.02*W133</f>
        <v>487967331.661672</v>
      </c>
      <c r="L145" s="28">
        <f t="shared" si="84"/>
        <v>2.5402311714769322E-4</v>
      </c>
      <c r="M145" s="31">
        <f>103.23*W133</f>
        <v>159734.34442799998</v>
      </c>
      <c r="N145" s="31">
        <f>103.23*W133</f>
        <v>159734.34442799998</v>
      </c>
      <c r="O145" s="30">
        <v>24</v>
      </c>
      <c r="P145" s="48">
        <v>0</v>
      </c>
      <c r="Q145" s="48">
        <v>7.3499999999999996E-2</v>
      </c>
      <c r="R145" s="55">
        <f t="shared" ref="R145" si="96">((K145-D145)/D145)</f>
        <v>-4.0450302043925031E-2</v>
      </c>
      <c r="S145" s="55">
        <f t="shared" ref="S145" si="97">((N145-G145)/G145)</f>
        <v>3.6461344631918779E-4</v>
      </c>
      <c r="T145" s="55">
        <f t="shared" ref="T145" si="98">((O145-H145)/H145)</f>
        <v>0</v>
      </c>
      <c r="U145" s="55">
        <f t="shared" ref="U145" si="99">P145-I145</f>
        <v>0</v>
      </c>
      <c r="V145" s="56">
        <f t="shared" ref="V145" si="100">Q145-J145</f>
        <v>-2.0000000000000573E-4</v>
      </c>
    </row>
    <row r="146" spans="1:22" ht="16.5" customHeight="1">
      <c r="A146" s="143">
        <v>129</v>
      </c>
      <c r="B146" s="141" t="s">
        <v>181</v>
      </c>
      <c r="C146" s="142" t="s">
        <v>52</v>
      </c>
      <c r="D146" s="27">
        <v>179970122390.62729</v>
      </c>
      <c r="E146" s="28">
        <f t="shared" si="83"/>
        <v>9.4066587948778993E-2</v>
      </c>
      <c r="F146" s="31">
        <v>1851.4350690000001</v>
      </c>
      <c r="G146" s="31">
        <v>1851.4350690000001</v>
      </c>
      <c r="H146" s="30">
        <v>712</v>
      </c>
      <c r="I146" s="48">
        <v>0.2082</v>
      </c>
      <c r="J146" s="48">
        <v>9.0499999999999997E-2</v>
      </c>
      <c r="K146" s="27">
        <f>118243298.16*1551.63</f>
        <v>183469848724.00079</v>
      </c>
      <c r="L146" s="28">
        <f t="shared" si="84"/>
        <v>9.5509637329164468E-2</v>
      </c>
      <c r="M146" s="31">
        <f>1.1928*1551.63</f>
        <v>1850.7842640000003</v>
      </c>
      <c r="N146" s="31">
        <f>1.1928*1551.63</f>
        <v>1850.7842640000003</v>
      </c>
      <c r="O146" s="30">
        <v>726</v>
      </c>
      <c r="P146" s="48">
        <v>6.7799999999999999E-2</v>
      </c>
      <c r="Q146" s="48">
        <v>8.9499999999999996E-2</v>
      </c>
      <c r="R146" s="55">
        <f t="shared" si="85"/>
        <v>1.9446151877239418E-2</v>
      </c>
      <c r="S146" s="55">
        <f t="shared" si="86"/>
        <v>-3.5151381266169794E-4</v>
      </c>
      <c r="T146" s="55">
        <f t="shared" si="87"/>
        <v>1.9662921348314606E-2</v>
      </c>
      <c r="U146" s="55">
        <f t="shared" si="88"/>
        <v>-0.1404</v>
      </c>
      <c r="V146" s="56">
        <f t="shared" si="89"/>
        <v>-1.0000000000000009E-3</v>
      </c>
    </row>
    <row r="147" spans="1:22" ht="16.5" customHeight="1">
      <c r="A147" s="143">
        <v>130</v>
      </c>
      <c r="B147" s="141" t="s">
        <v>182</v>
      </c>
      <c r="C147" s="142" t="s">
        <v>94</v>
      </c>
      <c r="D147" s="31">
        <v>1181701065.768069</v>
      </c>
      <c r="E147" s="28">
        <v>0</v>
      </c>
      <c r="F147" s="31">
        <v>164613.44960000002</v>
      </c>
      <c r="G147" s="31">
        <v>164613.44960000002</v>
      </c>
      <c r="H147" s="30">
        <v>25</v>
      </c>
      <c r="I147" s="48">
        <v>1.2999999999999999E-3</v>
      </c>
      <c r="J147" s="48">
        <v>6.3299999999999995E-2</v>
      </c>
      <c r="K147" s="31">
        <v>1181223690.1731386</v>
      </c>
      <c r="L147" s="28">
        <f t="shared" si="84"/>
        <v>6.1491436896952848E-4</v>
      </c>
      <c r="M147" s="31">
        <v>164550.3615</v>
      </c>
      <c r="N147" s="31">
        <v>164550.3615</v>
      </c>
      <c r="O147" s="30">
        <v>25</v>
      </c>
      <c r="P147" s="48">
        <v>1.1999999999999999E-3</v>
      </c>
      <c r="Q147" s="48">
        <v>6.3399999999999998E-2</v>
      </c>
      <c r="R147" s="55">
        <f t="shared" si="85"/>
        <v>-4.0397322872864726E-4</v>
      </c>
      <c r="S147" s="55">
        <f t="shared" si="86"/>
        <v>-3.8324997230373736E-4</v>
      </c>
      <c r="T147" s="55">
        <f t="shared" si="87"/>
        <v>0</v>
      </c>
      <c r="U147" s="55">
        <f t="shared" si="88"/>
        <v>-1.0000000000000005E-4</v>
      </c>
      <c r="V147" s="56">
        <f t="shared" si="89"/>
        <v>1.0000000000000286E-4</v>
      </c>
    </row>
    <row r="148" spans="1:22" ht="16.5" customHeight="1">
      <c r="A148" s="143">
        <v>131</v>
      </c>
      <c r="B148" s="141" t="s">
        <v>307</v>
      </c>
      <c r="C148" s="142" t="s">
        <v>105</v>
      </c>
      <c r="D148" s="31">
        <v>807934416.50495207</v>
      </c>
      <c r="E148" s="28"/>
      <c r="F148" s="31">
        <v>1580.3381220000001</v>
      </c>
      <c r="G148" s="31">
        <v>1580.3381220000001</v>
      </c>
      <c r="H148" s="30">
        <v>17</v>
      </c>
      <c r="I148" s="48">
        <v>8.0699999999999994E-2</v>
      </c>
      <c r="J148" s="48">
        <v>0</v>
      </c>
      <c r="K148" s="31">
        <f>526336.75*W133</f>
        <v>814434328.29229999</v>
      </c>
      <c r="L148" s="28">
        <f t="shared" si="84"/>
        <v>4.2397335510226288E-4</v>
      </c>
      <c r="M148" s="31">
        <f>1.03*W133</f>
        <v>1593.784508</v>
      </c>
      <c r="N148" s="31">
        <f>1.03*W133</f>
        <v>1593.784508</v>
      </c>
      <c r="O148" s="30">
        <v>17</v>
      </c>
      <c r="P148" s="48">
        <v>7.8899999999999998E-2</v>
      </c>
      <c r="Q148" s="48">
        <v>7.9100000000000004E-2</v>
      </c>
      <c r="R148" s="55">
        <f t="shared" ref="R148" si="101">((K148-D148)/D148)</f>
        <v>8.0450982834298808E-3</v>
      </c>
      <c r="S148" s="55">
        <f t="shared" ref="S148" si="102">((N148-G148)/G148)</f>
        <v>8.508550045595779E-3</v>
      </c>
      <c r="T148" s="55">
        <f t="shared" si="87"/>
        <v>0</v>
      </c>
      <c r="U148" s="55">
        <f t="shared" si="88"/>
        <v>-1.799999999999996E-3</v>
      </c>
      <c r="V148" s="56">
        <f t="shared" si="89"/>
        <v>7.9100000000000004E-2</v>
      </c>
    </row>
    <row r="149" spans="1:22">
      <c r="A149" s="143">
        <v>132</v>
      </c>
      <c r="B149" s="141" t="s">
        <v>183</v>
      </c>
      <c r="C149" s="142" t="s">
        <v>107</v>
      </c>
      <c r="D149" s="31">
        <v>1713847054.2224572</v>
      </c>
      <c r="E149" s="28">
        <f>(D149/$D$150)</f>
        <v>8.957917153984698E-4</v>
      </c>
      <c r="F149" s="31">
        <v>1998.6629190000001</v>
      </c>
      <c r="G149" s="31">
        <v>1998.6629190000001</v>
      </c>
      <c r="H149" s="30">
        <v>98</v>
      </c>
      <c r="I149" s="48">
        <v>2.1719999999999999E-3</v>
      </c>
      <c r="J149" s="48">
        <v>3.4514000000000003E-2</v>
      </c>
      <c r="K149" s="31">
        <f>1118979.71*W133</f>
        <v>1731468472.392556</v>
      </c>
      <c r="L149" s="28">
        <f t="shared" si="84"/>
        <v>9.0135750912330773E-4</v>
      </c>
      <c r="M149" s="31">
        <f>1.27*W133</f>
        <v>1965.1517719999999</v>
      </c>
      <c r="N149" s="31">
        <f>1.27*W133</f>
        <v>1965.1517719999999</v>
      </c>
      <c r="O149" s="30">
        <v>99</v>
      </c>
      <c r="P149" s="48">
        <v>-1.4841E-2</v>
      </c>
      <c r="Q149" s="48">
        <v>1.9505999999999999E-2</v>
      </c>
      <c r="R149" s="55">
        <f t="shared" si="85"/>
        <v>1.0281791555835952E-2</v>
      </c>
      <c r="S149" s="55">
        <f t="shared" si="86"/>
        <v>-1.6766782773338762E-2</v>
      </c>
      <c r="T149" s="55">
        <f t="shared" si="87"/>
        <v>1.020408163265306E-2</v>
      </c>
      <c r="U149" s="55">
        <f t="shared" si="88"/>
        <v>-1.7013E-2</v>
      </c>
      <c r="V149" s="56">
        <f t="shared" si="89"/>
        <v>-1.5008000000000004E-2</v>
      </c>
    </row>
    <row r="150" spans="1:22">
      <c r="A150" s="34"/>
      <c r="B150" s="35"/>
      <c r="C150" s="69" t="s">
        <v>53</v>
      </c>
      <c r="D150" s="46">
        <f>SUM(D114:D149)</f>
        <v>1913220478334.1814</v>
      </c>
      <c r="E150" s="38">
        <f>(D150/$D$222)</f>
        <v>0.33336746143969576</v>
      </c>
      <c r="F150" s="39"/>
      <c r="G150" s="43"/>
      <c r="H150" s="41">
        <f>SUM(H114:H149)</f>
        <v>25168</v>
      </c>
      <c r="I150" s="78"/>
      <c r="J150" s="78"/>
      <c r="K150" s="46">
        <f>SUM(K114:K149)</f>
        <v>1920956396176.9661</v>
      </c>
      <c r="L150" s="38">
        <f>(K150/$K$222)</f>
        <v>0.33243335236062604</v>
      </c>
      <c r="M150" s="39"/>
      <c r="N150" s="43"/>
      <c r="O150" s="41">
        <f>SUM(O114:O149)</f>
        <v>25341</v>
      </c>
      <c r="P150" s="78"/>
      <c r="Q150" s="78"/>
      <c r="R150" s="55">
        <f t="shared" si="85"/>
        <v>4.0434011293461799E-3</v>
      </c>
      <c r="S150" s="55" t="e">
        <f t="shared" si="86"/>
        <v>#DIV/0!</v>
      </c>
      <c r="T150" s="55">
        <f t="shared" si="87"/>
        <v>6.8738080101716469E-3</v>
      </c>
      <c r="U150" s="55">
        <f t="shared" si="88"/>
        <v>0</v>
      </c>
      <c r="V150" s="56">
        <f t="shared" si="89"/>
        <v>0</v>
      </c>
    </row>
    <row r="151" spans="1:22" ht="6" customHeight="1">
      <c r="A151" s="34"/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</row>
    <row r="152" spans="1:22">
      <c r="A152" s="178" t="s">
        <v>184</v>
      </c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</row>
    <row r="153" spans="1:22">
      <c r="A153" s="143">
        <v>133</v>
      </c>
      <c r="B153" s="141" t="s">
        <v>185</v>
      </c>
      <c r="C153" s="142" t="s">
        <v>186</v>
      </c>
      <c r="D153" s="70">
        <v>2429757177.7087979</v>
      </c>
      <c r="E153" s="28">
        <f>(D153/$D$159)</f>
        <v>6.7940604554817966E-3</v>
      </c>
      <c r="F153" s="58">
        <v>114.5031657732704</v>
      </c>
      <c r="G153" s="58">
        <v>114.5031657732704</v>
      </c>
      <c r="H153" s="30">
        <v>8</v>
      </c>
      <c r="I153" s="48">
        <v>5.9999999999999995E-4</v>
      </c>
      <c r="J153" s="48">
        <v>8.5976977111719588E-2</v>
      </c>
      <c r="K153" s="70">
        <v>2436074546.3708405</v>
      </c>
      <c r="L153" s="28">
        <f>(K153/$K$159)</f>
        <v>6.7945089084632225E-3</v>
      </c>
      <c r="M153" s="58">
        <v>114.8008740042809</v>
      </c>
      <c r="N153" s="58">
        <v>114.8008740042809</v>
      </c>
      <c r="O153" s="30">
        <v>8</v>
      </c>
      <c r="P153" s="48">
        <v>2.5999999999999999E-3</v>
      </c>
      <c r="Q153" s="48">
        <v>8.8800517252209943E-2</v>
      </c>
      <c r="R153" s="55">
        <f t="shared" ref="R153:R159" si="103">((K153-D153)/D153)</f>
        <v>2.5999999999998945E-3</v>
      </c>
      <c r="S153" s="55">
        <f t="shared" ref="S153:T159" si="104">((N153-G153)/G153)</f>
        <v>2.600000000000002E-3</v>
      </c>
      <c r="T153" s="55">
        <f t="shared" si="104"/>
        <v>0</v>
      </c>
      <c r="U153" s="55">
        <f t="shared" ref="U153:V159" si="105">P153-I153</f>
        <v>2E-3</v>
      </c>
      <c r="V153" s="56">
        <f t="shared" si="105"/>
        <v>2.8235401404903548E-3</v>
      </c>
    </row>
    <row r="154" spans="1:22">
      <c r="A154" s="143">
        <v>134</v>
      </c>
      <c r="B154" s="141" t="s">
        <v>314</v>
      </c>
      <c r="C154" s="142" t="s">
        <v>23</v>
      </c>
      <c r="D154" s="70">
        <v>256116429006.28</v>
      </c>
      <c r="E154" s="28">
        <v>0</v>
      </c>
      <c r="F154" s="58">
        <v>102.4466</v>
      </c>
      <c r="G154" s="58">
        <v>102.4466</v>
      </c>
      <c r="H154" s="30">
        <v>45</v>
      </c>
      <c r="I154" s="48">
        <v>0.18110000000000001</v>
      </c>
      <c r="J154" s="48">
        <v>0.10150000000000001</v>
      </c>
      <c r="K154" s="70">
        <v>256995505487.69</v>
      </c>
      <c r="L154" s="28">
        <f t="shared" ref="L154:L155" si="106">(K154/$K$159)</f>
        <v>0.71679179689819861</v>
      </c>
      <c r="M154" s="58">
        <v>102.79819999999999</v>
      </c>
      <c r="N154" s="58">
        <v>102.79819999999999</v>
      </c>
      <c r="O154" s="30">
        <v>45</v>
      </c>
      <c r="P154" s="48">
        <v>0.17899999999999999</v>
      </c>
      <c r="Q154" s="48">
        <v>0.1075</v>
      </c>
      <c r="R154" s="55">
        <f t="shared" ref="R154" si="107">((K154-D154)/D154)</f>
        <v>3.4323314783857488E-3</v>
      </c>
      <c r="S154" s="55">
        <f t="shared" ref="S154" si="108">((N154-G154)/G154)</f>
        <v>3.432031907354569E-3</v>
      </c>
      <c r="T154" s="55">
        <f t="shared" ref="T154" si="109">((O154-H154)/H154)</f>
        <v>0</v>
      </c>
      <c r="U154" s="55">
        <f t="shared" ref="U154" si="110">P154-I154</f>
        <v>-2.1000000000000185E-3</v>
      </c>
      <c r="V154" s="56">
        <f t="shared" ref="V154" si="111">Q154-J154</f>
        <v>5.9999999999999915E-3</v>
      </c>
    </row>
    <row r="155" spans="1:22">
      <c r="A155" s="143">
        <v>135</v>
      </c>
      <c r="B155" s="141" t="s">
        <v>187</v>
      </c>
      <c r="C155" s="142" t="s">
        <v>47</v>
      </c>
      <c r="D155" s="27">
        <v>54160728474</v>
      </c>
      <c r="E155" s="28">
        <f>(D155/$D$159)</f>
        <v>0.15144363681323841</v>
      </c>
      <c r="F155" s="58">
        <v>102.07</v>
      </c>
      <c r="G155" s="58">
        <v>102.07</v>
      </c>
      <c r="H155" s="30">
        <v>645</v>
      </c>
      <c r="I155" s="48">
        <v>8.3900000000000002E-2</v>
      </c>
      <c r="J155" s="48">
        <v>8.3900000000000002E-2</v>
      </c>
      <c r="K155" s="27">
        <v>54160728474</v>
      </c>
      <c r="L155" s="28">
        <f t="shared" si="106"/>
        <v>0.15106087482161609</v>
      </c>
      <c r="M155" s="58">
        <v>102.07</v>
      </c>
      <c r="N155" s="58">
        <v>102.07</v>
      </c>
      <c r="O155" s="30">
        <v>645</v>
      </c>
      <c r="P155" s="48">
        <v>8.3900000000000002E-2</v>
      </c>
      <c r="Q155" s="48">
        <v>8.3900000000000002E-2</v>
      </c>
      <c r="R155" s="55">
        <f t="shared" si="103"/>
        <v>0</v>
      </c>
      <c r="S155" s="55">
        <f t="shared" si="104"/>
        <v>0</v>
      </c>
      <c r="T155" s="55">
        <f t="shared" si="104"/>
        <v>0</v>
      </c>
      <c r="U155" s="55">
        <f t="shared" si="105"/>
        <v>0</v>
      </c>
      <c r="V155" s="56">
        <f t="shared" si="105"/>
        <v>0</v>
      </c>
    </row>
    <row r="156" spans="1:22" ht="15.75" customHeight="1">
      <c r="A156" s="143">
        <v>136</v>
      </c>
      <c r="B156" s="141" t="s">
        <v>188</v>
      </c>
      <c r="C156" s="142" t="s">
        <v>142</v>
      </c>
      <c r="D156" s="27">
        <v>2497971473.5164518</v>
      </c>
      <c r="E156" s="28">
        <f>(D156/$D$159)</f>
        <v>6.9848005236240558E-3</v>
      </c>
      <c r="F156" s="58">
        <v>226.6</v>
      </c>
      <c r="G156" s="58">
        <v>226.6</v>
      </c>
      <c r="H156" s="30">
        <v>3250</v>
      </c>
      <c r="I156" s="48">
        <v>3.4209515034847093E-2</v>
      </c>
      <c r="J156" s="48">
        <v>5.2975670896765692E-2</v>
      </c>
      <c r="K156" s="27">
        <v>2504049111.8193231</v>
      </c>
      <c r="L156" s="28">
        <f>(K156/$K$159)</f>
        <v>6.9840982587467274E-3</v>
      </c>
      <c r="M156" s="58">
        <v>226.6</v>
      </c>
      <c r="N156" s="58">
        <v>226.6</v>
      </c>
      <c r="O156" s="30">
        <v>3250</v>
      </c>
      <c r="P156" s="48">
        <v>0.15152729462106534</v>
      </c>
      <c r="Q156" s="48">
        <v>5.5161349728447773E-2</v>
      </c>
      <c r="R156" s="55">
        <f t="shared" si="103"/>
        <v>2.4330295070646248E-3</v>
      </c>
      <c r="S156" s="55">
        <f t="shared" si="104"/>
        <v>0</v>
      </c>
      <c r="T156" s="55">
        <f t="shared" si="104"/>
        <v>0</v>
      </c>
      <c r="U156" s="55">
        <f t="shared" si="105"/>
        <v>0.11731777958621825</v>
      </c>
      <c r="V156" s="56">
        <f t="shared" si="105"/>
        <v>2.1856788316820808E-3</v>
      </c>
    </row>
    <row r="157" spans="1:22">
      <c r="A157" s="143">
        <v>137</v>
      </c>
      <c r="B157" s="141" t="s">
        <v>189</v>
      </c>
      <c r="C157" s="142" t="s">
        <v>142</v>
      </c>
      <c r="D157" s="27">
        <v>11065760052.4</v>
      </c>
      <c r="E157" s="28">
        <f>(D157/$D$159)</f>
        <v>3.0941957275234924E-2</v>
      </c>
      <c r="F157" s="58">
        <v>50.25</v>
      </c>
      <c r="G157" s="58">
        <v>50.25</v>
      </c>
      <c r="H157" s="30">
        <v>5344</v>
      </c>
      <c r="I157" s="48">
        <v>0.17729922279792817</v>
      </c>
      <c r="J157" s="48">
        <v>0.13933006204080745</v>
      </c>
      <c r="K157" s="27">
        <v>11077523985.57</v>
      </c>
      <c r="L157" s="28">
        <f>(K157/$K$159)</f>
        <v>3.0896564933039078E-2</v>
      </c>
      <c r="M157" s="58">
        <v>50.25</v>
      </c>
      <c r="N157" s="58">
        <v>50.25</v>
      </c>
      <c r="O157" s="30">
        <v>5344</v>
      </c>
      <c r="P157" s="48">
        <v>5.0485257843658982E-2</v>
      </c>
      <c r="Q157" s="48">
        <v>0.13786860311473229</v>
      </c>
      <c r="R157" s="55">
        <f t="shared" si="103"/>
        <v>1.0630931010878601E-3</v>
      </c>
      <c r="S157" s="55">
        <f t="shared" si="104"/>
        <v>0</v>
      </c>
      <c r="T157" s="55">
        <f t="shared" si="104"/>
        <v>0</v>
      </c>
      <c r="U157" s="55">
        <f t="shared" si="105"/>
        <v>-0.12681396495426919</v>
      </c>
      <c r="V157" s="56">
        <f t="shared" si="105"/>
        <v>-1.4614589260751598E-3</v>
      </c>
    </row>
    <row r="158" spans="1:22">
      <c r="A158" s="143">
        <v>138</v>
      </c>
      <c r="B158" s="141" t="s">
        <v>190</v>
      </c>
      <c r="C158" s="142" t="s">
        <v>49</v>
      </c>
      <c r="D158" s="27">
        <v>31358961858.27</v>
      </c>
      <c r="E158" s="28">
        <f>(D158/$D$159)</f>
        <v>8.7685586296791837E-2</v>
      </c>
      <c r="F158" s="58">
        <v>6</v>
      </c>
      <c r="G158" s="58">
        <v>6</v>
      </c>
      <c r="H158" s="30">
        <v>208345</v>
      </c>
      <c r="I158" s="48">
        <v>-1.6400000000000001E-2</v>
      </c>
      <c r="J158" s="48">
        <v>0.2</v>
      </c>
      <c r="K158" s="27">
        <v>31361897681.919998</v>
      </c>
      <c r="L158" s="28">
        <f>(K158/$K$159)</f>
        <v>8.7472156179936256E-2</v>
      </c>
      <c r="M158" s="58">
        <v>6</v>
      </c>
      <c r="N158" s="58">
        <v>6</v>
      </c>
      <c r="O158" s="30">
        <v>208345</v>
      </c>
      <c r="P158" s="48">
        <v>0</v>
      </c>
      <c r="Q158" s="48">
        <v>0.2</v>
      </c>
      <c r="R158" s="55">
        <f t="shared" si="103"/>
        <v>9.3619924768761892E-5</v>
      </c>
      <c r="S158" s="55">
        <f t="shared" si="104"/>
        <v>0</v>
      </c>
      <c r="T158" s="55">
        <f t="shared" si="104"/>
        <v>0</v>
      </c>
      <c r="U158" s="55">
        <f t="shared" si="105"/>
        <v>1.6400000000000001E-2</v>
      </c>
      <c r="V158" s="56">
        <f t="shared" si="105"/>
        <v>0</v>
      </c>
    </row>
    <row r="159" spans="1:22">
      <c r="A159" s="34"/>
      <c r="B159" s="71"/>
      <c r="C159" s="36" t="s">
        <v>53</v>
      </c>
      <c r="D159" s="37">
        <f>SUM(D153:D158)</f>
        <v>357629608042.17529</v>
      </c>
      <c r="E159" s="38">
        <f>(D159/$D$222)</f>
        <v>6.2314864344593802E-2</v>
      </c>
      <c r="F159" s="39"/>
      <c r="G159" s="72"/>
      <c r="H159" s="41">
        <f>SUM(H153:H158)</f>
        <v>217637</v>
      </c>
      <c r="I159" s="79"/>
      <c r="J159" s="79"/>
      <c r="K159" s="37">
        <f>SUM(K153:K158)</f>
        <v>358535779287.37018</v>
      </c>
      <c r="L159" s="38">
        <f>(K159/$K$222)</f>
        <v>6.2046827969097634E-2</v>
      </c>
      <c r="M159" s="39"/>
      <c r="N159" s="72"/>
      <c r="O159" s="41">
        <f>SUM(O153:O158)</f>
        <v>217637</v>
      </c>
      <c r="P159" s="79"/>
      <c r="Q159" s="79"/>
      <c r="R159" s="55">
        <f t="shared" si="103"/>
        <v>2.5338261285346945E-3</v>
      </c>
      <c r="S159" s="55" t="e">
        <f t="shared" si="104"/>
        <v>#DIV/0!</v>
      </c>
      <c r="T159" s="55">
        <f t="shared" si="104"/>
        <v>0</v>
      </c>
      <c r="U159" s="55">
        <f t="shared" si="105"/>
        <v>0</v>
      </c>
      <c r="V159" s="56">
        <f t="shared" si="105"/>
        <v>0</v>
      </c>
    </row>
    <row r="160" spans="1:22" ht="5.25" customHeight="1">
      <c r="A160" s="34"/>
      <c r="B160" s="176"/>
      <c r="C160" s="176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</row>
    <row r="161" spans="1:22" ht="15" customHeight="1">
      <c r="A161" s="178" t="s">
        <v>191</v>
      </c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</row>
    <row r="162" spans="1:22">
      <c r="A162" s="144">
        <v>139</v>
      </c>
      <c r="B162" s="141" t="s">
        <v>192</v>
      </c>
      <c r="C162" s="142" t="s">
        <v>57</v>
      </c>
      <c r="D162" s="31">
        <v>307897581.47000003</v>
      </c>
      <c r="E162" s="28">
        <f t="shared" ref="E162:E189" si="112">(D162/$D$190)</f>
        <v>4.9906640769550349E-3</v>
      </c>
      <c r="F162" s="31">
        <v>6.5209000000000001</v>
      </c>
      <c r="G162" s="31">
        <v>6.6132</v>
      </c>
      <c r="H162" s="32">
        <v>11844</v>
      </c>
      <c r="I162" s="49">
        <v>3.7810000000000001E-3</v>
      </c>
      <c r="J162" s="49">
        <v>0.14116799999999999</v>
      </c>
      <c r="K162" s="31">
        <v>309553316.79000002</v>
      </c>
      <c r="L162" s="52">
        <f t="shared" ref="L162:L189" si="113">(K162/$K$190)</f>
        <v>4.8633050721526927E-3</v>
      </c>
      <c r="M162" s="31">
        <v>6.5633999999999997</v>
      </c>
      <c r="N162" s="31">
        <v>6.6448</v>
      </c>
      <c r="O162" s="32">
        <v>11844</v>
      </c>
      <c r="P162" s="49">
        <v>7.4390000000000003E-3</v>
      </c>
      <c r="Q162" s="49">
        <v>0.14860699999999999</v>
      </c>
      <c r="R162" s="55">
        <f>((K162-D162)/D162)</f>
        <v>5.3775522110144254E-3</v>
      </c>
      <c r="S162" s="55">
        <f>((N162-G162)/G162)</f>
        <v>4.7783221435916158E-3</v>
      </c>
      <c r="T162" s="55">
        <f>((O162-H162)/H162)</f>
        <v>0</v>
      </c>
      <c r="U162" s="55">
        <f>P162-I162</f>
        <v>3.6580000000000002E-3</v>
      </c>
      <c r="V162" s="56">
        <f>Q162-J162</f>
        <v>7.4390000000000012E-3</v>
      </c>
    </row>
    <row r="163" spans="1:22">
      <c r="A163" s="144">
        <v>140</v>
      </c>
      <c r="B163" s="141" t="s">
        <v>193</v>
      </c>
      <c r="C163" s="141" t="s">
        <v>194</v>
      </c>
      <c r="D163" s="31">
        <v>749824391.558954</v>
      </c>
      <c r="E163" s="28">
        <f t="shared" si="112"/>
        <v>1.215378710385405E-2</v>
      </c>
      <c r="F163" s="31">
        <v>1731.4501078640233</v>
      </c>
      <c r="G163" s="31">
        <v>1752.014126020219</v>
      </c>
      <c r="H163" s="32">
        <v>158</v>
      </c>
      <c r="I163" s="49">
        <v>4.4550528090342607E-3</v>
      </c>
      <c r="J163" s="49">
        <v>0.55384224055158671</v>
      </c>
      <c r="K163" s="31">
        <v>779561651.99902213</v>
      </c>
      <c r="L163" s="52">
        <f t="shared" si="113"/>
        <v>1.2247473797202263E-2</v>
      </c>
      <c r="M163" s="31">
        <v>1802.8645816477913</v>
      </c>
      <c r="N163" s="31">
        <v>1824.6394206753941</v>
      </c>
      <c r="O163" s="32">
        <v>156</v>
      </c>
      <c r="P163" s="49">
        <v>3.7322321388745194E-2</v>
      </c>
      <c r="Q163" s="49">
        <v>0.61183524004086098</v>
      </c>
      <c r="R163" s="55">
        <f>((K163-D163)/D163)</f>
        <v>3.9658966519136064E-2</v>
      </c>
      <c r="S163" s="55">
        <f>((N163-G163)/G163)</f>
        <v>4.1452459530190458E-2</v>
      </c>
      <c r="T163" s="55">
        <f>((O163-H163)/H163)</f>
        <v>-1.2658227848101266E-2</v>
      </c>
      <c r="U163" s="55">
        <f>P163-I163</f>
        <v>3.2867268579710937E-2</v>
      </c>
      <c r="V163" s="56">
        <f>Q163-J163</f>
        <v>5.7992999489274277E-2</v>
      </c>
    </row>
    <row r="164" spans="1:22">
      <c r="A164" s="144">
        <v>141</v>
      </c>
      <c r="B164" s="141" t="s">
        <v>195</v>
      </c>
      <c r="C164" s="142" t="s">
        <v>23</v>
      </c>
      <c r="D164" s="31">
        <v>7536272900.8900003</v>
      </c>
      <c r="E164" s="28">
        <f t="shared" si="112"/>
        <v>0.12215427695480637</v>
      </c>
      <c r="F164" s="31">
        <v>862.7124</v>
      </c>
      <c r="G164" s="31">
        <v>888.72379999999998</v>
      </c>
      <c r="H164" s="32">
        <v>21492</v>
      </c>
      <c r="I164" s="49">
        <v>0.26540000000000002</v>
      </c>
      <c r="J164" s="49">
        <v>0.18990000000000001</v>
      </c>
      <c r="K164" s="31">
        <v>7687942912.2600002</v>
      </c>
      <c r="L164" s="52">
        <f t="shared" si="113"/>
        <v>0.12078310821324151</v>
      </c>
      <c r="M164" s="31">
        <v>877.91210000000001</v>
      </c>
      <c r="N164" s="31">
        <v>904.3818</v>
      </c>
      <c r="O164" s="32">
        <v>21503</v>
      </c>
      <c r="P164" s="49">
        <v>0.91869999999999996</v>
      </c>
      <c r="Q164" s="49">
        <v>0.223</v>
      </c>
      <c r="R164" s="55">
        <f t="shared" ref="R164:R189" si="114">((K164-D164)/D164)</f>
        <v>2.0125334281895276E-2</v>
      </c>
      <c r="S164" s="55">
        <f t="shared" ref="S164:T189" si="115">((N164-G164)/G164)</f>
        <v>1.7618522200035621E-2</v>
      </c>
      <c r="T164" s="55">
        <f t="shared" si="115"/>
        <v>5.1181835101433092E-4</v>
      </c>
      <c r="U164" s="55">
        <f t="shared" ref="U164:V189" si="116">P164-I164</f>
        <v>0.65329999999999999</v>
      </c>
      <c r="V164" s="56">
        <f t="shared" si="116"/>
        <v>3.3099999999999991E-2</v>
      </c>
    </row>
    <row r="165" spans="1:22">
      <c r="A165" s="144">
        <v>142</v>
      </c>
      <c r="B165" s="141" t="s">
        <v>196</v>
      </c>
      <c r="C165" s="142" t="s">
        <v>109</v>
      </c>
      <c r="D165" s="31">
        <v>4523872412.3599997</v>
      </c>
      <c r="E165" s="28">
        <f t="shared" si="112"/>
        <v>7.3326745307003227E-2</v>
      </c>
      <c r="F165" s="31">
        <v>26.353000000000002</v>
      </c>
      <c r="G165" s="31">
        <v>26.6861</v>
      </c>
      <c r="H165" s="30">
        <v>6152</v>
      </c>
      <c r="I165" s="48">
        <v>1.5599999999999999E-2</v>
      </c>
      <c r="J165" s="48">
        <v>0.23960000000000001</v>
      </c>
      <c r="K165" s="31">
        <v>4707411354.6199999</v>
      </c>
      <c r="L165" s="52">
        <f t="shared" si="113"/>
        <v>7.395681543662333E-2</v>
      </c>
      <c r="M165" s="31">
        <v>26.9663</v>
      </c>
      <c r="N165" s="31">
        <v>27.3127</v>
      </c>
      <c r="O165" s="30">
        <v>6156</v>
      </c>
      <c r="P165" s="48">
        <v>4.6899999999999997E-2</v>
      </c>
      <c r="Q165" s="48">
        <v>0.26850000000000002</v>
      </c>
      <c r="R165" s="55">
        <f t="shared" si="114"/>
        <v>4.0571202175936745E-2</v>
      </c>
      <c r="S165" s="55">
        <f t="shared" si="115"/>
        <v>2.3480388666759094E-2</v>
      </c>
      <c r="T165" s="55">
        <f t="shared" si="115"/>
        <v>6.5019505851755528E-4</v>
      </c>
      <c r="U165" s="55">
        <f t="shared" si="116"/>
        <v>3.1299999999999994E-2</v>
      </c>
      <c r="V165" s="56">
        <f t="shared" si="116"/>
        <v>2.8900000000000009E-2</v>
      </c>
    </row>
    <row r="166" spans="1:22">
      <c r="A166" s="144">
        <v>143</v>
      </c>
      <c r="B166" s="141" t="s">
        <v>197</v>
      </c>
      <c r="C166" s="142" t="s">
        <v>118</v>
      </c>
      <c r="D166" s="27">
        <v>2170108138.8348441</v>
      </c>
      <c r="E166" s="28">
        <f t="shared" si="112"/>
        <v>3.5174945772174095E-2</v>
      </c>
      <c r="F166" s="31">
        <v>5.1802999999999999</v>
      </c>
      <c r="G166" s="31">
        <v>5.3010000000000002</v>
      </c>
      <c r="H166" s="30">
        <v>2739</v>
      </c>
      <c r="I166" s="48">
        <v>0.61299999999999999</v>
      </c>
      <c r="J166" s="48">
        <v>0.30349999999999999</v>
      </c>
      <c r="K166" s="27">
        <v>2191691925.0602536</v>
      </c>
      <c r="L166" s="52">
        <f t="shared" si="113"/>
        <v>3.4433055236725414E-2</v>
      </c>
      <c r="M166" s="31">
        <v>5.2328999999999999</v>
      </c>
      <c r="N166" s="31">
        <v>5.3525999999999998</v>
      </c>
      <c r="O166" s="30">
        <v>2739</v>
      </c>
      <c r="P166" s="48">
        <v>0.50760000000000005</v>
      </c>
      <c r="Q166" s="48">
        <v>0.31469999999999998</v>
      </c>
      <c r="R166" s="55">
        <f t="shared" si="114"/>
        <v>9.9459496230441726E-3</v>
      </c>
      <c r="S166" s="55">
        <f t="shared" si="115"/>
        <v>9.7340124504809739E-3</v>
      </c>
      <c r="T166" s="55">
        <f t="shared" si="115"/>
        <v>0</v>
      </c>
      <c r="U166" s="55">
        <f t="shared" si="116"/>
        <v>-0.10539999999999994</v>
      </c>
      <c r="V166" s="56">
        <f t="shared" si="116"/>
        <v>1.1199999999999988E-2</v>
      </c>
    </row>
    <row r="167" spans="1:22">
      <c r="A167" s="144">
        <v>144</v>
      </c>
      <c r="B167" s="141" t="s">
        <v>306</v>
      </c>
      <c r="C167" s="142" t="s">
        <v>27</v>
      </c>
      <c r="D167" s="27">
        <v>882411579.90999997</v>
      </c>
      <c r="E167" s="28">
        <f t="shared" si="112"/>
        <v>1.4302872247065897E-2</v>
      </c>
      <c r="F167" s="31">
        <v>1.0552999999999999</v>
      </c>
      <c r="G167" s="31">
        <v>1.0552999999999999</v>
      </c>
      <c r="H167" s="30">
        <v>202</v>
      </c>
      <c r="I167" s="48">
        <v>1.6000000000000001E-3</v>
      </c>
      <c r="J167" s="48">
        <v>5.5300000000000002E-2</v>
      </c>
      <c r="K167" s="27">
        <v>871893622.59000003</v>
      </c>
      <c r="L167" s="52">
        <f t="shared" si="113"/>
        <v>1.3698075411015958E-2</v>
      </c>
      <c r="M167" s="31">
        <v>1.0625</v>
      </c>
      <c r="N167" s="31">
        <v>1.0625</v>
      </c>
      <c r="O167" s="30">
        <v>201</v>
      </c>
      <c r="P167" s="48">
        <v>6.7999999999999996E-3</v>
      </c>
      <c r="Q167" s="48">
        <v>6.25E-2</v>
      </c>
      <c r="R167" s="55">
        <f t="shared" ref="R167" si="117">((K167-D167)/D167)</f>
        <v>-1.1919559488410945E-2</v>
      </c>
      <c r="S167" s="55">
        <f t="shared" ref="S167" si="118">((N167-G167)/G167)</f>
        <v>6.8227044442339584E-3</v>
      </c>
      <c r="T167" s="55">
        <f t="shared" ref="T167" si="119">((O167-H167)/H167)</f>
        <v>-4.9504950495049506E-3</v>
      </c>
      <c r="U167" s="55">
        <f t="shared" ref="U167" si="120">P167-I167</f>
        <v>5.1999999999999998E-3</v>
      </c>
      <c r="V167" s="56">
        <f t="shared" ref="V167" si="121">Q167-J167</f>
        <v>7.1999999999999981E-3</v>
      </c>
    </row>
    <row r="168" spans="1:22">
      <c r="A168" s="144">
        <v>145</v>
      </c>
      <c r="B168" s="141" t="s">
        <v>198</v>
      </c>
      <c r="C168" s="142" t="s">
        <v>65</v>
      </c>
      <c r="D168" s="31">
        <v>4278237985.9559102</v>
      </c>
      <c r="E168" s="28">
        <f t="shared" si="112"/>
        <v>6.9345295040113775E-2</v>
      </c>
      <c r="F168" s="31">
        <v>9372.4980135836395</v>
      </c>
      <c r="G168" s="31">
        <v>9454.7691824468402</v>
      </c>
      <c r="H168" s="30">
        <v>1053</v>
      </c>
      <c r="I168" s="48">
        <v>0.39192618320956241</v>
      </c>
      <c r="J168" s="48">
        <v>0.50416928320616783</v>
      </c>
      <c r="K168" s="31">
        <v>4409529934.4664602</v>
      </c>
      <c r="L168" s="52">
        <f t="shared" si="113"/>
        <v>6.9276884248822349E-2</v>
      </c>
      <c r="M168" s="31">
        <v>9639.0487469715608</v>
      </c>
      <c r="N168" s="31">
        <v>9724.9447370308899</v>
      </c>
      <c r="O168" s="30">
        <v>1072</v>
      </c>
      <c r="P168" s="48">
        <v>1.4829255543427866</v>
      </c>
      <c r="Q168" s="48">
        <v>0.55798678416867331</v>
      </c>
      <c r="R168" s="55">
        <f t="shared" si="114"/>
        <v>3.0688322842614083E-2</v>
      </c>
      <c r="S168" s="55">
        <f t="shared" si="115"/>
        <v>2.8575584381863226E-2</v>
      </c>
      <c r="T168" s="55">
        <f t="shared" si="115"/>
        <v>1.8043684710351376E-2</v>
      </c>
      <c r="U168" s="55">
        <f t="shared" si="116"/>
        <v>1.0909993711332242</v>
      </c>
      <c r="V168" s="56">
        <f t="shared" si="116"/>
        <v>5.3817500962505482E-2</v>
      </c>
    </row>
    <row r="169" spans="1:22">
      <c r="A169" s="144">
        <v>146</v>
      </c>
      <c r="B169" s="141" t="s">
        <v>199</v>
      </c>
      <c r="C169" s="142" t="s">
        <v>67</v>
      </c>
      <c r="D169" s="31">
        <v>904305232.94000006</v>
      </c>
      <c r="E169" s="28">
        <f t="shared" si="112"/>
        <v>1.4657743068617918E-2</v>
      </c>
      <c r="F169" s="31">
        <v>200.92</v>
      </c>
      <c r="G169" s="31">
        <v>202.36</v>
      </c>
      <c r="H169" s="30">
        <v>701</v>
      </c>
      <c r="I169" s="48">
        <v>5.1000000000000004E-3</v>
      </c>
      <c r="J169" s="48">
        <v>0.10580000000000001</v>
      </c>
      <c r="K169" s="31">
        <v>932654014.91999996</v>
      </c>
      <c r="L169" s="52">
        <f t="shared" si="113"/>
        <v>1.4652664840936169E-2</v>
      </c>
      <c r="M169" s="31">
        <v>206.72</v>
      </c>
      <c r="N169" s="31">
        <v>208.24</v>
      </c>
      <c r="O169" s="30">
        <v>701</v>
      </c>
      <c r="P169" s="48">
        <v>2.9000000000000001E-2</v>
      </c>
      <c r="Q169" s="48">
        <v>0.13420000000000001</v>
      </c>
      <c r="R169" s="55">
        <f t="shared" si="114"/>
        <v>3.1348687309742482E-2</v>
      </c>
      <c r="S169" s="55">
        <f t="shared" si="115"/>
        <v>2.9057125914212271E-2</v>
      </c>
      <c r="T169" s="55">
        <f t="shared" si="115"/>
        <v>0</v>
      </c>
      <c r="U169" s="55">
        <f t="shared" si="116"/>
        <v>2.3900000000000001E-2</v>
      </c>
      <c r="V169" s="56">
        <f t="shared" si="116"/>
        <v>2.8400000000000009E-2</v>
      </c>
    </row>
    <row r="170" spans="1:22">
      <c r="A170" s="144">
        <v>147</v>
      </c>
      <c r="B170" s="141" t="s">
        <v>200</v>
      </c>
      <c r="C170" s="142" t="s">
        <v>123</v>
      </c>
      <c r="D170" s="31">
        <v>257702065.28999999</v>
      </c>
      <c r="E170" s="28">
        <f t="shared" si="112"/>
        <v>4.1770527513066398E-3</v>
      </c>
      <c r="F170" s="31">
        <v>1.6605000000000001</v>
      </c>
      <c r="G170" s="31">
        <v>1.6771</v>
      </c>
      <c r="H170" s="30">
        <v>415</v>
      </c>
      <c r="I170" s="48">
        <v>-1.4773940904236338E-2</v>
      </c>
      <c r="J170" s="48">
        <v>0.13429879090101782</v>
      </c>
      <c r="K170" s="31">
        <v>262502419.03</v>
      </c>
      <c r="L170" s="52">
        <f t="shared" si="113"/>
        <v>4.1241016544720527E-3</v>
      </c>
      <c r="M170" s="31">
        <v>1.6903999999999999</v>
      </c>
      <c r="N170" s="31">
        <v>1.7075</v>
      </c>
      <c r="O170" s="30">
        <v>417</v>
      </c>
      <c r="P170" s="48">
        <v>1.8006624510689351E-2</v>
      </c>
      <c r="Q170" s="48">
        <v>0.15472368331170161</v>
      </c>
      <c r="R170" s="55">
        <f t="shared" si="114"/>
        <v>1.8627533056819027E-2</v>
      </c>
      <c r="S170" s="55">
        <f t="shared" si="115"/>
        <v>1.8126527935126101E-2</v>
      </c>
      <c r="T170" s="55">
        <f t="shared" si="115"/>
        <v>4.8192771084337354E-3</v>
      </c>
      <c r="U170" s="55">
        <f t="shared" si="116"/>
        <v>3.2780565414925689E-2</v>
      </c>
      <c r="V170" s="56">
        <f t="shared" si="116"/>
        <v>2.0424892410683793E-2</v>
      </c>
    </row>
    <row r="171" spans="1:22">
      <c r="A171" s="144">
        <v>148</v>
      </c>
      <c r="B171" s="141" t="s">
        <v>201</v>
      </c>
      <c r="C171" s="142" t="s">
        <v>29</v>
      </c>
      <c r="D171" s="42">
        <v>138475355.11000001</v>
      </c>
      <c r="E171" s="28">
        <f t="shared" si="112"/>
        <v>2.2445255236875081E-3</v>
      </c>
      <c r="F171" s="31">
        <v>176.07040000000001</v>
      </c>
      <c r="G171" s="31">
        <v>176.9462</v>
      </c>
      <c r="H171" s="30">
        <v>74</v>
      </c>
      <c r="I171" s="48">
        <v>3.5669999999999999E-3</v>
      </c>
      <c r="J171" s="48">
        <v>0.1137</v>
      </c>
      <c r="K171" s="42">
        <v>140370212.69999999</v>
      </c>
      <c r="L171" s="52">
        <f t="shared" si="113"/>
        <v>2.2053169207880874E-3</v>
      </c>
      <c r="M171" s="31">
        <v>168.2141</v>
      </c>
      <c r="N171" s="31">
        <v>169.1337</v>
      </c>
      <c r="O171" s="30">
        <v>116</v>
      </c>
      <c r="P171" s="48">
        <v>9.7859999999999996E-3</v>
      </c>
      <c r="Q171" s="48">
        <v>0.1148</v>
      </c>
      <c r="R171" s="55">
        <f t="shared" si="114"/>
        <v>1.368371713865449E-2</v>
      </c>
      <c r="S171" s="55">
        <f t="shared" si="115"/>
        <v>-4.415183824235841E-2</v>
      </c>
      <c r="T171" s="55">
        <f t="shared" si="115"/>
        <v>0.56756756756756754</v>
      </c>
      <c r="U171" s="55">
        <f t="shared" si="116"/>
        <v>6.2189999999999997E-3</v>
      </c>
      <c r="V171" s="56">
        <f t="shared" si="116"/>
        <v>1.1000000000000038E-3</v>
      </c>
    </row>
    <row r="172" spans="1:22">
      <c r="A172" s="144">
        <v>149</v>
      </c>
      <c r="B172" s="141" t="s">
        <v>202</v>
      </c>
      <c r="C172" s="142" t="s">
        <v>70</v>
      </c>
      <c r="D172" s="42">
        <v>279492490.05000001</v>
      </c>
      <c r="E172" s="28">
        <f t="shared" si="112"/>
        <v>4.5302503618631215E-3</v>
      </c>
      <c r="F172" s="31">
        <v>137.91999999999999</v>
      </c>
      <c r="G172" s="31">
        <v>139.02000000000001</v>
      </c>
      <c r="H172" s="30">
        <v>47</v>
      </c>
      <c r="I172" s="48">
        <v>2E-3</v>
      </c>
      <c r="J172" s="48">
        <v>0.16489999999999999</v>
      </c>
      <c r="K172" s="42">
        <v>285745432.43000001</v>
      </c>
      <c r="L172" s="52">
        <f t="shared" si="113"/>
        <v>4.4892660989448527E-3</v>
      </c>
      <c r="M172" s="31">
        <v>141.66999999999999</v>
      </c>
      <c r="N172" s="31">
        <v>142.85</v>
      </c>
      <c r="O172" s="30">
        <v>47</v>
      </c>
      <c r="P172" s="48">
        <v>3.1899999999999998E-2</v>
      </c>
      <c r="Q172" s="48">
        <v>0.1968</v>
      </c>
      <c r="R172" s="55">
        <f t="shared" si="114"/>
        <v>2.2372488000952623E-2</v>
      </c>
      <c r="S172" s="55">
        <f t="shared" si="115"/>
        <v>2.7549992806790272E-2</v>
      </c>
      <c r="T172" s="55">
        <f t="shared" si="115"/>
        <v>0</v>
      </c>
      <c r="U172" s="55">
        <f t="shared" si="116"/>
        <v>2.9899999999999996E-2</v>
      </c>
      <c r="V172" s="56">
        <f t="shared" si="116"/>
        <v>3.1900000000000012E-2</v>
      </c>
    </row>
    <row r="173" spans="1:22" ht="15.75" customHeight="1">
      <c r="A173" s="144">
        <v>150</v>
      </c>
      <c r="B173" s="141" t="s">
        <v>203</v>
      </c>
      <c r="C173" s="142" t="s">
        <v>73</v>
      </c>
      <c r="D173" s="27">
        <v>380314292.93000001</v>
      </c>
      <c r="E173" s="28">
        <f t="shared" si="112"/>
        <v>6.1644553056134964E-3</v>
      </c>
      <c r="F173" s="31">
        <v>1.5253000000000001</v>
      </c>
      <c r="G173" s="31">
        <v>1.5410999999999999</v>
      </c>
      <c r="H173" s="30">
        <v>96</v>
      </c>
      <c r="I173" s="48">
        <v>3.6999999999999998E-2</v>
      </c>
      <c r="J173" s="48">
        <v>0.1968</v>
      </c>
      <c r="K173" s="27">
        <v>387558461.52999997</v>
      </c>
      <c r="L173" s="52">
        <f t="shared" si="113"/>
        <v>6.0888219556477748E-3</v>
      </c>
      <c r="M173" s="31">
        <v>1.5556000000000001</v>
      </c>
      <c r="N173" s="31">
        <v>1.5729</v>
      </c>
      <c r="O173" s="30">
        <v>96</v>
      </c>
      <c r="P173" s="48">
        <v>3.6999999999999998E-2</v>
      </c>
      <c r="Q173" s="48">
        <v>0.22059999999999999</v>
      </c>
      <c r="R173" s="55">
        <f t="shared" si="114"/>
        <v>1.9047847358535413E-2</v>
      </c>
      <c r="S173" s="55">
        <f t="shared" si="115"/>
        <v>2.0634611641035659E-2</v>
      </c>
      <c r="T173" s="55">
        <f t="shared" si="115"/>
        <v>0</v>
      </c>
      <c r="U173" s="55">
        <f t="shared" si="116"/>
        <v>0</v>
      </c>
      <c r="V173" s="56">
        <f t="shared" si="116"/>
        <v>2.3799999999999988E-2</v>
      </c>
    </row>
    <row r="174" spans="1:22">
      <c r="A174" s="144">
        <v>151</v>
      </c>
      <c r="B174" s="141" t="s">
        <v>204</v>
      </c>
      <c r="C174" s="142" t="s">
        <v>31</v>
      </c>
      <c r="D174" s="31">
        <v>10907671361.92</v>
      </c>
      <c r="E174" s="28">
        <f t="shared" si="112"/>
        <v>0.176800750981116</v>
      </c>
      <c r="F174" s="31">
        <v>375.15</v>
      </c>
      <c r="G174" s="31">
        <v>378.35</v>
      </c>
      <c r="H174" s="30">
        <v>5484</v>
      </c>
      <c r="I174" s="48">
        <v>1.2500000000000001E-2</v>
      </c>
      <c r="J174" s="48">
        <v>0.1575</v>
      </c>
      <c r="K174" s="31">
        <v>11223783012.42</v>
      </c>
      <c r="L174" s="52">
        <f t="shared" si="113"/>
        <v>0.17633369727410639</v>
      </c>
      <c r="M174" s="31">
        <v>385.39</v>
      </c>
      <c r="N174" s="31">
        <v>388.75</v>
      </c>
      <c r="O174" s="30">
        <v>5486</v>
      </c>
      <c r="P174" s="48">
        <v>2.7400000000000001E-2</v>
      </c>
      <c r="Q174" s="48">
        <v>0.18909999999999999</v>
      </c>
      <c r="R174" s="55">
        <f t="shared" si="114"/>
        <v>2.898067241039036E-2</v>
      </c>
      <c r="S174" s="55">
        <f t="shared" si="115"/>
        <v>2.7487775868904392E-2</v>
      </c>
      <c r="T174" s="55">
        <f t="shared" si="115"/>
        <v>3.6469730123997083E-4</v>
      </c>
      <c r="U174" s="55">
        <f t="shared" si="116"/>
        <v>1.49E-2</v>
      </c>
      <c r="V174" s="56">
        <f t="shared" si="116"/>
        <v>3.1599999999999989E-2</v>
      </c>
    </row>
    <row r="175" spans="1:22">
      <c r="A175" s="144">
        <v>152</v>
      </c>
      <c r="B175" s="141" t="s">
        <v>205</v>
      </c>
      <c r="C175" s="142" t="s">
        <v>78</v>
      </c>
      <c r="D175" s="31">
        <v>3728749891.6500001</v>
      </c>
      <c r="E175" s="28">
        <f t="shared" si="112"/>
        <v>6.043872786321576E-2</v>
      </c>
      <c r="F175" s="31">
        <v>2.6113</v>
      </c>
      <c r="G175" s="31">
        <v>2.6581000000000001</v>
      </c>
      <c r="H175" s="30">
        <v>10302</v>
      </c>
      <c r="I175" s="48">
        <v>8.8000000000000005E-3</v>
      </c>
      <c r="J175" s="48">
        <v>0.1265</v>
      </c>
      <c r="K175" s="31">
        <v>3808447100.1100001</v>
      </c>
      <c r="L175" s="52">
        <f t="shared" si="113"/>
        <v>5.9833440943406847E-2</v>
      </c>
      <c r="M175" s="31">
        <v>2.6665999999999999</v>
      </c>
      <c r="N175" s="31">
        <v>2.7155</v>
      </c>
      <c r="O175" s="30">
        <v>10299</v>
      </c>
      <c r="P175" s="48">
        <v>2.1399999999999999E-2</v>
      </c>
      <c r="Q175" s="48">
        <v>0.15060000000000001</v>
      </c>
      <c r="R175" s="55">
        <f t="shared" si="114"/>
        <v>2.1373707214439479E-2</v>
      </c>
      <c r="S175" s="55">
        <f t="shared" si="115"/>
        <v>2.1594371919792292E-2</v>
      </c>
      <c r="T175" s="55">
        <f t="shared" si="115"/>
        <v>-2.9120559114735004E-4</v>
      </c>
      <c r="U175" s="55">
        <f t="shared" si="116"/>
        <v>1.2599999999999998E-2</v>
      </c>
      <c r="V175" s="56">
        <f t="shared" si="116"/>
        <v>2.410000000000001E-2</v>
      </c>
    </row>
    <row r="176" spans="1:22">
      <c r="A176" s="144">
        <v>153</v>
      </c>
      <c r="B176" s="141" t="s">
        <v>206</v>
      </c>
      <c r="C176" s="142" t="s">
        <v>80</v>
      </c>
      <c r="D176" s="31">
        <v>273382792.01999998</v>
      </c>
      <c r="E176" s="28">
        <f t="shared" si="112"/>
        <v>4.4312192154221906E-3</v>
      </c>
      <c r="F176" s="31">
        <v>311.64999999999998</v>
      </c>
      <c r="G176" s="31">
        <v>313.64</v>
      </c>
      <c r="H176" s="30">
        <v>32</v>
      </c>
      <c r="I176" s="48">
        <v>-3.3999999999999998E-3</v>
      </c>
      <c r="J176" s="48">
        <v>9.3223E-2</v>
      </c>
      <c r="K176" s="31">
        <v>270156896.14999998</v>
      </c>
      <c r="L176" s="52">
        <f t="shared" si="113"/>
        <v>4.2443589910381692E-3</v>
      </c>
      <c r="M176" s="31">
        <v>307.97359999999998</v>
      </c>
      <c r="N176" s="31">
        <v>309.89760000000001</v>
      </c>
      <c r="O176" s="30">
        <v>32</v>
      </c>
      <c r="P176" s="48">
        <v>-1.2279999999999999E-2</v>
      </c>
      <c r="Q176" s="48">
        <v>8.1985000000000002E-2</v>
      </c>
      <c r="R176" s="55">
        <f t="shared" si="114"/>
        <v>-1.1799922907232604E-2</v>
      </c>
      <c r="S176" s="55">
        <f t="shared" si="115"/>
        <v>-1.1932151511286748E-2</v>
      </c>
      <c r="T176" s="55">
        <f t="shared" si="115"/>
        <v>0</v>
      </c>
      <c r="U176" s="55">
        <f t="shared" si="116"/>
        <v>-8.879999999999999E-3</v>
      </c>
      <c r="V176" s="56">
        <f t="shared" si="116"/>
        <v>-1.1237999999999998E-2</v>
      </c>
    </row>
    <row r="177" spans="1:22">
      <c r="A177" s="144">
        <v>154</v>
      </c>
      <c r="B177" s="141" t="s">
        <v>207</v>
      </c>
      <c r="C177" s="141" t="s">
        <v>82</v>
      </c>
      <c r="D177" s="130">
        <v>60964556.736503229</v>
      </c>
      <c r="E177" s="28">
        <f t="shared" si="112"/>
        <v>9.8816503143594418E-4</v>
      </c>
      <c r="F177" s="31">
        <v>1.1866886477187004</v>
      </c>
      <c r="G177" s="31">
        <v>1.1993342134187761</v>
      </c>
      <c r="H177" s="30">
        <v>32</v>
      </c>
      <c r="I177" s="48">
        <v>4.6476651319907565E-3</v>
      </c>
      <c r="J177" s="48">
        <v>-2.2246763381055328E-3</v>
      </c>
      <c r="K177" s="130">
        <v>60754992.107415959</v>
      </c>
      <c r="L177" s="52">
        <f t="shared" si="113"/>
        <v>9.5450458854246033E-4</v>
      </c>
      <c r="M177" s="31">
        <v>1.1828180006903319</v>
      </c>
      <c r="N177" s="31">
        <v>1.1952115224153281</v>
      </c>
      <c r="O177" s="30">
        <v>32</v>
      </c>
      <c r="P177" s="48">
        <v>1.1942058340456869E-3</v>
      </c>
      <c r="Q177" s="48">
        <v>-5.6545120788849771E-3</v>
      </c>
      <c r="R177" s="55">
        <f t="shared" si="114"/>
        <v>-3.4374830279343288E-3</v>
      </c>
      <c r="S177" s="55">
        <f t="shared" si="115"/>
        <v>-3.4374830279342993E-3</v>
      </c>
      <c r="T177" s="55">
        <f t="shared" si="115"/>
        <v>0</v>
      </c>
      <c r="U177" s="55">
        <f t="shared" si="116"/>
        <v>-3.4534592979450695E-3</v>
      </c>
      <c r="V177" s="56">
        <f t="shared" si="116"/>
        <v>-3.4298357407794443E-3</v>
      </c>
    </row>
    <row r="178" spans="1:22" ht="13.5" customHeight="1">
      <c r="A178" s="144">
        <v>155</v>
      </c>
      <c r="B178" s="141" t="s">
        <v>208</v>
      </c>
      <c r="C178" s="142" t="s">
        <v>37</v>
      </c>
      <c r="D178" s="27">
        <v>3732271981.5799999</v>
      </c>
      <c r="E178" s="28">
        <f t="shared" si="112"/>
        <v>6.0495816871857969E-2</v>
      </c>
      <c r="F178" s="31">
        <v>5.2438070000000003</v>
      </c>
      <c r="G178" s="31">
        <v>5.3825979999999998</v>
      </c>
      <c r="H178" s="30">
        <v>2429</v>
      </c>
      <c r="I178" s="48">
        <v>9.6933357594592984E-3</v>
      </c>
      <c r="J178" s="48">
        <v>0.23695523255567097</v>
      </c>
      <c r="K178" s="27">
        <v>3528947542.98</v>
      </c>
      <c r="L178" s="52">
        <f t="shared" si="113"/>
        <v>5.5442302034121954E-2</v>
      </c>
      <c r="M178" s="31">
        <v>4.9552019999999999</v>
      </c>
      <c r="N178" s="31">
        <v>5.0907070000000001</v>
      </c>
      <c r="O178" s="30">
        <v>2433</v>
      </c>
      <c r="P178" s="48">
        <v>-5.5037304004514342E-2</v>
      </c>
      <c r="Q178" s="48">
        <v>0.16887655138152979</v>
      </c>
      <c r="R178" s="55">
        <f t="shared" si="114"/>
        <v>-5.4477390609117833E-2</v>
      </c>
      <c r="S178" s="55">
        <f t="shared" si="115"/>
        <v>-5.4228645720895315E-2</v>
      </c>
      <c r="T178" s="55">
        <f t="shared" si="115"/>
        <v>1.6467682173734047E-3</v>
      </c>
      <c r="U178" s="55">
        <f t="shared" si="116"/>
        <v>-6.4730639763973641E-2</v>
      </c>
      <c r="V178" s="56">
        <f t="shared" si="116"/>
        <v>-6.8078681174141176E-2</v>
      </c>
    </row>
    <row r="179" spans="1:22" ht="13.5" customHeight="1">
      <c r="A179" s="144">
        <v>156</v>
      </c>
      <c r="B179" s="141" t="s">
        <v>209</v>
      </c>
      <c r="C179" s="142" t="s">
        <v>210</v>
      </c>
      <c r="D179" s="27">
        <v>85621191.299999997</v>
      </c>
      <c r="E179" s="28">
        <f t="shared" si="112"/>
        <v>1.3878205915321214E-3</v>
      </c>
      <c r="F179" s="31">
        <v>2.37</v>
      </c>
      <c r="G179" s="31">
        <v>2.38</v>
      </c>
      <c r="H179" s="30">
        <v>98</v>
      </c>
      <c r="I179" s="48">
        <v>8.9999999999999993E-3</v>
      </c>
      <c r="J179" s="48">
        <v>0.11899999999999999</v>
      </c>
      <c r="K179" s="27">
        <v>89686961.099999994</v>
      </c>
      <c r="L179" s="52">
        <f t="shared" si="113"/>
        <v>1.4090466138325728E-3</v>
      </c>
      <c r="M179" s="31">
        <v>2.41</v>
      </c>
      <c r="N179" s="31">
        <v>2.42</v>
      </c>
      <c r="O179" s="30">
        <v>98</v>
      </c>
      <c r="P179" s="48">
        <v>7.0000000000000001E-3</v>
      </c>
      <c r="Q179" s="48">
        <v>0.14699999999999999</v>
      </c>
      <c r="R179" s="55">
        <f t="shared" si="114"/>
        <v>4.7485555132657876E-2</v>
      </c>
      <c r="S179" s="55">
        <f t="shared" si="115"/>
        <v>1.6806722689075647E-2</v>
      </c>
      <c r="T179" s="55">
        <f t="shared" si="115"/>
        <v>0</v>
      </c>
      <c r="U179" s="55">
        <f t="shared" si="116"/>
        <v>-1.9999999999999992E-3</v>
      </c>
      <c r="V179" s="56">
        <f t="shared" si="116"/>
        <v>2.7999999999999997E-2</v>
      </c>
    </row>
    <row r="180" spans="1:22">
      <c r="A180" s="144">
        <v>157</v>
      </c>
      <c r="B180" s="141" t="s">
        <v>211</v>
      </c>
      <c r="C180" s="142" t="s">
        <v>132</v>
      </c>
      <c r="D180" s="27">
        <v>511892399.19</v>
      </c>
      <c r="E180" s="28">
        <f t="shared" si="112"/>
        <v>8.2971843939370956E-3</v>
      </c>
      <c r="F180" s="31">
        <v>268.33999999999997</v>
      </c>
      <c r="G180" s="31">
        <v>270.23</v>
      </c>
      <c r="H180" s="30">
        <v>151</v>
      </c>
      <c r="I180" s="48">
        <v>1.37E-2</v>
      </c>
      <c r="J180" s="48">
        <v>0.18759999999999999</v>
      </c>
      <c r="K180" s="27">
        <v>511892399.19</v>
      </c>
      <c r="L180" s="52">
        <f t="shared" si="113"/>
        <v>8.0421974708350455E-3</v>
      </c>
      <c r="M180" s="31">
        <v>268.33999999999997</v>
      </c>
      <c r="N180" s="31">
        <v>270.23</v>
      </c>
      <c r="O180" s="30">
        <v>151</v>
      </c>
      <c r="P180" s="48">
        <v>1.37E-2</v>
      </c>
      <c r="Q180" s="48">
        <v>0.18759999999999999</v>
      </c>
      <c r="R180" s="55">
        <f t="shared" si="114"/>
        <v>0</v>
      </c>
      <c r="S180" s="55">
        <f t="shared" si="115"/>
        <v>0</v>
      </c>
      <c r="T180" s="55">
        <f t="shared" si="115"/>
        <v>0</v>
      </c>
      <c r="U180" s="55">
        <f t="shared" si="116"/>
        <v>0</v>
      </c>
      <c r="V180" s="56">
        <f t="shared" si="116"/>
        <v>0</v>
      </c>
    </row>
    <row r="181" spans="1:22">
      <c r="A181" s="144">
        <v>158</v>
      </c>
      <c r="B181" s="141" t="s">
        <v>212</v>
      </c>
      <c r="C181" s="142" t="s">
        <v>33</v>
      </c>
      <c r="D181" s="27">
        <v>2089928980.9300001</v>
      </c>
      <c r="E181" s="28">
        <f t="shared" si="112"/>
        <v>3.3875334254715006E-2</v>
      </c>
      <c r="F181" s="31">
        <v>552.22</v>
      </c>
      <c r="G181" s="31">
        <v>552.22</v>
      </c>
      <c r="H181" s="30">
        <v>823</v>
      </c>
      <c r="I181" s="48">
        <v>2.6950000000000002E-2</v>
      </c>
      <c r="J181" s="48">
        <v>-4.3999999999999997E-2</v>
      </c>
      <c r="K181" s="27">
        <v>2098695953.2</v>
      </c>
      <c r="L181" s="52">
        <f t="shared" si="113"/>
        <v>3.2972021685776391E-2</v>
      </c>
      <c r="M181" s="31">
        <v>552.22</v>
      </c>
      <c r="N181" s="31">
        <v>552.22</v>
      </c>
      <c r="O181" s="30">
        <v>823</v>
      </c>
      <c r="P181" s="48">
        <v>4.1900000000000001E-3</v>
      </c>
      <c r="Q181" s="48">
        <v>-4.0059999999999998E-2</v>
      </c>
      <c r="R181" s="55">
        <f t="shared" si="114"/>
        <v>4.1948661174595293E-3</v>
      </c>
      <c r="S181" s="55">
        <f t="shared" si="115"/>
        <v>0</v>
      </c>
      <c r="T181" s="55">
        <f t="shared" si="115"/>
        <v>0</v>
      </c>
      <c r="U181" s="55">
        <f t="shared" si="116"/>
        <v>-2.2760000000000002E-2</v>
      </c>
      <c r="V181" s="56">
        <f t="shared" si="116"/>
        <v>3.9399999999999991E-3</v>
      </c>
    </row>
    <row r="182" spans="1:22">
      <c r="A182" s="144">
        <v>159</v>
      </c>
      <c r="B182" s="141" t="s">
        <v>213</v>
      </c>
      <c r="C182" s="142" t="s">
        <v>89</v>
      </c>
      <c r="D182" s="31">
        <v>38103334.340000004</v>
      </c>
      <c r="E182" s="28">
        <f t="shared" si="112"/>
        <v>6.1761102830024507E-4</v>
      </c>
      <c r="F182" s="31">
        <v>2.06</v>
      </c>
      <c r="G182" s="31">
        <v>2.06</v>
      </c>
      <c r="H182" s="30">
        <v>9</v>
      </c>
      <c r="I182" s="48">
        <v>2.4510000000000001E-2</v>
      </c>
      <c r="J182" s="48">
        <v>9.9465999999999999E-2</v>
      </c>
      <c r="K182" s="31">
        <v>39204598.890000001</v>
      </c>
      <c r="L182" s="52">
        <f t="shared" si="113"/>
        <v>6.1593242356629187E-4</v>
      </c>
      <c r="M182" s="31">
        <v>2.12</v>
      </c>
      <c r="N182" s="31">
        <v>2.12</v>
      </c>
      <c r="O182" s="30">
        <v>9</v>
      </c>
      <c r="P182" s="48">
        <v>2.8902000000000001E-2</v>
      </c>
      <c r="Q182" s="48">
        <v>0.131243</v>
      </c>
      <c r="R182" s="55">
        <f t="shared" si="114"/>
        <v>2.8902051987715806E-2</v>
      </c>
      <c r="S182" s="55">
        <f t="shared" si="115"/>
        <v>2.9126213592233035E-2</v>
      </c>
      <c r="T182" s="55">
        <f t="shared" si="115"/>
        <v>0</v>
      </c>
      <c r="U182" s="55">
        <f t="shared" si="116"/>
        <v>4.3920000000000001E-3</v>
      </c>
      <c r="V182" s="56">
        <f t="shared" si="116"/>
        <v>3.1777E-2</v>
      </c>
    </row>
    <row r="183" spans="1:22">
      <c r="A183" s="144">
        <v>160</v>
      </c>
      <c r="B183" s="141" t="s">
        <v>214</v>
      </c>
      <c r="C183" s="142" t="s">
        <v>45</v>
      </c>
      <c r="D183" s="31">
        <v>302645310.73000002</v>
      </c>
      <c r="E183" s="28">
        <f t="shared" si="112"/>
        <v>4.9055308362864524E-3</v>
      </c>
      <c r="F183" s="31">
        <v>3.0322369999999998</v>
      </c>
      <c r="G183" s="31">
        <v>3.1056560000000002</v>
      </c>
      <c r="H183" s="30">
        <v>123</v>
      </c>
      <c r="I183" s="48">
        <v>0.10589999999999999</v>
      </c>
      <c r="J183" s="48">
        <v>0.1615</v>
      </c>
      <c r="K183" s="31">
        <v>307448508.04000002</v>
      </c>
      <c r="L183" s="52">
        <f t="shared" si="113"/>
        <v>4.8302370140361301E-3</v>
      </c>
      <c r="M183" s="31">
        <v>3.080527</v>
      </c>
      <c r="N183" s="31">
        <v>3.155011</v>
      </c>
      <c r="O183" s="30">
        <v>123</v>
      </c>
      <c r="P183" s="48">
        <v>3.0800000000000001E-2</v>
      </c>
      <c r="Q183" s="48">
        <v>0.18</v>
      </c>
      <c r="R183" s="55">
        <f t="shared" si="114"/>
        <v>1.5870714462465584E-2</v>
      </c>
      <c r="S183" s="55">
        <f t="shared" si="115"/>
        <v>1.5891972581638086E-2</v>
      </c>
      <c r="T183" s="55">
        <f t="shared" si="115"/>
        <v>0</v>
      </c>
      <c r="U183" s="55">
        <f t="shared" si="116"/>
        <v>-7.51E-2</v>
      </c>
      <c r="V183" s="56">
        <f t="shared" si="116"/>
        <v>1.8499999999999989E-2</v>
      </c>
    </row>
    <row r="184" spans="1:22">
      <c r="A184" s="144">
        <v>161</v>
      </c>
      <c r="B184" s="141" t="s">
        <v>215</v>
      </c>
      <c r="C184" s="142" t="s">
        <v>49</v>
      </c>
      <c r="D184" s="27">
        <v>2934523917.6100001</v>
      </c>
      <c r="E184" s="28">
        <f t="shared" si="112"/>
        <v>4.7565242405155236E-2</v>
      </c>
      <c r="F184" s="31">
        <v>7477.07</v>
      </c>
      <c r="G184" s="31">
        <v>7551.45</v>
      </c>
      <c r="H184" s="30">
        <v>2416</v>
      </c>
      <c r="I184" s="48">
        <v>2.5000000000000001E-3</v>
      </c>
      <c r="J184" s="48">
        <v>0.17319999999999999</v>
      </c>
      <c r="K184" s="27">
        <v>3043559887.6999998</v>
      </c>
      <c r="L184" s="28">
        <f t="shared" si="113"/>
        <v>4.781651313816597E-2</v>
      </c>
      <c r="M184" s="31">
        <v>7728.1</v>
      </c>
      <c r="N184" s="31">
        <v>7809.31</v>
      </c>
      <c r="O184" s="30">
        <v>2437</v>
      </c>
      <c r="P184" s="48">
        <v>3.4099999999999998E-2</v>
      </c>
      <c r="Q184" s="48">
        <v>0.21329999999999999</v>
      </c>
      <c r="R184" s="55">
        <f t="shared" si="114"/>
        <v>3.7156272414642019E-2</v>
      </c>
      <c r="S184" s="55">
        <f t="shared" si="115"/>
        <v>3.4147084334796705E-2</v>
      </c>
      <c r="T184" s="55">
        <f t="shared" si="115"/>
        <v>8.6920529801324496E-3</v>
      </c>
      <c r="U184" s="55">
        <f t="shared" si="116"/>
        <v>3.1599999999999996E-2</v>
      </c>
      <c r="V184" s="56">
        <f t="shared" si="116"/>
        <v>4.0099999999999997E-2</v>
      </c>
    </row>
    <row r="185" spans="1:22">
      <c r="A185" s="144">
        <v>162</v>
      </c>
      <c r="B185" s="141" t="s">
        <v>216</v>
      </c>
      <c r="C185" s="141" t="s">
        <v>99</v>
      </c>
      <c r="D185" s="27">
        <v>115598739.73999999</v>
      </c>
      <c r="E185" s="28">
        <f t="shared" si="112"/>
        <v>1.8737220182351579E-3</v>
      </c>
      <c r="F185" s="31">
        <v>1217.6500000000001</v>
      </c>
      <c r="G185" s="31">
        <v>1235.1600000000001</v>
      </c>
      <c r="H185" s="30">
        <v>11</v>
      </c>
      <c r="I185" s="48">
        <v>5.4631499961430574E-3</v>
      </c>
      <c r="J185" s="48">
        <v>0.100386</v>
      </c>
      <c r="K185" s="27">
        <v>117460574.84</v>
      </c>
      <c r="L185" s="28">
        <f t="shared" si="113"/>
        <v>1.8453900456342869E-3</v>
      </c>
      <c r="M185" s="31">
        <v>1237.0999999999999</v>
      </c>
      <c r="N185" s="31">
        <v>1255.1600000000001</v>
      </c>
      <c r="O185" s="30">
        <v>11</v>
      </c>
      <c r="P185" s="48">
        <v>1.5806965926191241E-2</v>
      </c>
      <c r="Q185" s="48">
        <v>0.118302</v>
      </c>
      <c r="R185" s="55">
        <f t="shared" si="114"/>
        <v>1.6106015551619102E-2</v>
      </c>
      <c r="S185" s="55">
        <f t="shared" si="115"/>
        <v>1.6192234204475534E-2</v>
      </c>
      <c r="T185" s="55">
        <f t="shared" si="115"/>
        <v>0</v>
      </c>
      <c r="U185" s="55">
        <f t="shared" si="116"/>
        <v>1.0343815930048184E-2</v>
      </c>
      <c r="V185" s="56">
        <f t="shared" si="116"/>
        <v>1.7916000000000001E-2</v>
      </c>
    </row>
    <row r="186" spans="1:22">
      <c r="A186" s="144">
        <v>163</v>
      </c>
      <c r="B186" s="141" t="s">
        <v>217</v>
      </c>
      <c r="C186" s="141" t="s">
        <v>82</v>
      </c>
      <c r="D186" s="27">
        <v>765999858.66526246</v>
      </c>
      <c r="E186" s="28">
        <f t="shared" si="112"/>
        <v>1.2415972737888616E-2</v>
      </c>
      <c r="F186" s="31">
        <v>1.4621289076593109</v>
      </c>
      <c r="G186" s="31">
        <v>1.4621289076593109</v>
      </c>
      <c r="H186" s="30">
        <v>43</v>
      </c>
      <c r="I186" s="48">
        <v>2.5026747334956534E-3</v>
      </c>
      <c r="J186" s="48">
        <v>8.6537661288641141E-2</v>
      </c>
      <c r="K186" s="27">
        <v>767901913.56322718</v>
      </c>
      <c r="L186" s="28">
        <f t="shared" si="113"/>
        <v>1.2064290926920683E-2</v>
      </c>
      <c r="M186" s="31">
        <v>1.465759521188555</v>
      </c>
      <c r="N186" s="31">
        <v>1.465759521188555</v>
      </c>
      <c r="O186" s="30">
        <v>43</v>
      </c>
      <c r="P186" s="48">
        <v>2.4831008471450683E-3</v>
      </c>
      <c r="Q186" s="48">
        <v>8.9235643875841986E-2</v>
      </c>
      <c r="R186" s="55">
        <f t="shared" si="114"/>
        <v>2.4831008471450683E-3</v>
      </c>
      <c r="S186" s="55">
        <f t="shared" si="115"/>
        <v>2.4831008471450475E-3</v>
      </c>
      <c r="T186" s="55">
        <f t="shared" si="115"/>
        <v>0</v>
      </c>
      <c r="U186" s="55">
        <f t="shared" si="116"/>
        <v>-1.9573886350585101E-5</v>
      </c>
      <c r="V186" s="56">
        <f t="shared" si="116"/>
        <v>2.6979825872008451E-3</v>
      </c>
    </row>
    <row r="187" spans="1:22">
      <c r="A187" s="144">
        <v>164</v>
      </c>
      <c r="B187" s="141" t="s">
        <v>218</v>
      </c>
      <c r="C187" s="142" t="s">
        <v>52</v>
      </c>
      <c r="D187" s="31">
        <v>2068787465.1500001</v>
      </c>
      <c r="E187" s="28">
        <f t="shared" si="112"/>
        <v>3.3532654709030094E-2</v>
      </c>
      <c r="F187" s="31">
        <v>1.8371999999999999</v>
      </c>
      <c r="G187" s="31">
        <v>1.8524</v>
      </c>
      <c r="H187" s="30">
        <v>2369</v>
      </c>
      <c r="I187" s="48">
        <v>3.3999999999999998E-3</v>
      </c>
      <c r="J187" s="48">
        <v>0.12970000000000001</v>
      </c>
      <c r="K187" s="31">
        <v>2538466367.9099998</v>
      </c>
      <c r="L187" s="52">
        <f t="shared" si="113"/>
        <v>3.9881130948827025E-2</v>
      </c>
      <c r="M187" s="31">
        <v>1.8785000000000001</v>
      </c>
      <c r="N187" s="31">
        <v>1.8916999999999999</v>
      </c>
      <c r="O187" s="30">
        <v>2379</v>
      </c>
      <c r="P187" s="48">
        <v>2.2499999999999999E-2</v>
      </c>
      <c r="Q187" s="48">
        <v>0.15049999999999999</v>
      </c>
      <c r="R187" s="55">
        <f t="shared" si="114"/>
        <v>0.22703100761776177</v>
      </c>
      <c r="S187" s="55">
        <f t="shared" si="115"/>
        <v>2.1215720146836477E-2</v>
      </c>
      <c r="T187" s="55">
        <f t="shared" si="115"/>
        <v>4.2211903756859438E-3</v>
      </c>
      <c r="U187" s="55">
        <f t="shared" si="116"/>
        <v>1.9099999999999999E-2</v>
      </c>
      <c r="V187" s="56">
        <f t="shared" si="116"/>
        <v>2.0799999999999985E-2</v>
      </c>
    </row>
    <row r="188" spans="1:22">
      <c r="A188" s="144">
        <v>165</v>
      </c>
      <c r="B188" s="141" t="s">
        <v>219</v>
      </c>
      <c r="C188" s="142" t="s">
        <v>52</v>
      </c>
      <c r="D188" s="31">
        <v>1190308188.1300001</v>
      </c>
      <c r="E188" s="28">
        <f t="shared" si="112"/>
        <v>1.9293520548762846E-2</v>
      </c>
      <c r="F188" s="31">
        <v>1.4297</v>
      </c>
      <c r="G188" s="31">
        <v>1.44</v>
      </c>
      <c r="H188" s="30">
        <v>950</v>
      </c>
      <c r="I188" s="48">
        <v>5.8999999999999999E-3</v>
      </c>
      <c r="J188" s="48">
        <v>0.14069999999999999</v>
      </c>
      <c r="K188" s="31">
        <v>1463662703.74</v>
      </c>
      <c r="L188" s="52">
        <f t="shared" si="113"/>
        <v>2.2995192960082077E-2</v>
      </c>
      <c r="M188" s="31">
        <v>1.4545999999999999</v>
      </c>
      <c r="N188" s="31">
        <v>1.4633</v>
      </c>
      <c r="O188" s="30">
        <v>953</v>
      </c>
      <c r="P188" s="48">
        <v>1.7399999999999999E-2</v>
      </c>
      <c r="Q188" s="48">
        <v>0.15709999999999999</v>
      </c>
      <c r="R188" s="55">
        <f t="shared" si="114"/>
        <v>0.22965020180147272</v>
      </c>
      <c r="S188" s="55">
        <f t="shared" si="115"/>
        <v>1.6180555555555625E-2</v>
      </c>
      <c r="T188" s="55">
        <f t="shared" si="115"/>
        <v>3.1578947368421052E-3</v>
      </c>
      <c r="U188" s="55">
        <f t="shared" si="116"/>
        <v>1.15E-2</v>
      </c>
      <c r="V188" s="56">
        <f t="shared" si="116"/>
        <v>1.6399999999999998E-2</v>
      </c>
    </row>
    <row r="189" spans="1:22">
      <c r="A189" s="144">
        <v>166</v>
      </c>
      <c r="B189" s="141" t="s">
        <v>220</v>
      </c>
      <c r="C189" s="142" t="s">
        <v>103</v>
      </c>
      <c r="D189" s="27">
        <v>10479347313.17</v>
      </c>
      <c r="E189" s="28">
        <f t="shared" si="112"/>
        <v>0.16985811300004813</v>
      </c>
      <c r="F189" s="31">
        <v>608.35</v>
      </c>
      <c r="G189" s="31">
        <v>615.55999999999995</v>
      </c>
      <c r="H189" s="30">
        <v>35</v>
      </c>
      <c r="I189" s="48">
        <v>3.5746876301796515E-3</v>
      </c>
      <c r="J189" s="48">
        <v>0.17608974459803339</v>
      </c>
      <c r="K189" s="27">
        <v>10814327318.1</v>
      </c>
      <c r="L189" s="52">
        <f t="shared" si="113"/>
        <v>0.16990085405453539</v>
      </c>
      <c r="M189" s="31">
        <v>627.71</v>
      </c>
      <c r="N189" s="31">
        <v>635.28</v>
      </c>
      <c r="O189" s="30">
        <v>35</v>
      </c>
      <c r="P189" s="48">
        <v>3.2000000000000001E-2</v>
      </c>
      <c r="Q189" s="48">
        <v>0.2137</v>
      </c>
      <c r="R189" s="55">
        <f t="shared" si="114"/>
        <v>3.1965731731117608E-2</v>
      </c>
      <c r="S189" s="55">
        <f t="shared" si="115"/>
        <v>3.2035869777113569E-2</v>
      </c>
      <c r="T189" s="55">
        <f t="shared" si="115"/>
        <v>0</v>
      </c>
      <c r="U189" s="55">
        <f t="shared" si="116"/>
        <v>2.8425312369820349E-2</v>
      </c>
      <c r="V189" s="56">
        <f t="shared" si="116"/>
        <v>3.7610255401966608E-2</v>
      </c>
    </row>
    <row r="190" spans="1:22">
      <c r="A190" s="34"/>
      <c r="B190" s="35"/>
      <c r="C190" s="36" t="s">
        <v>53</v>
      </c>
      <c r="D190" s="73">
        <f>SUM(D162:D189)</f>
        <v>61694711710.161476</v>
      </c>
      <c r="E190" s="38">
        <f>(D190/$D$222)</f>
        <v>1.0749942131592621E-2</v>
      </c>
      <c r="F190" s="39"/>
      <c r="G190" s="74"/>
      <c r="H190" s="41">
        <f>SUM(H162:H189)</f>
        <v>70280</v>
      </c>
      <c r="I190" s="80"/>
      <c r="J190" s="80"/>
      <c r="K190" s="73">
        <f>SUM(K162:K189)</f>
        <v>63650811988.436371</v>
      </c>
      <c r="L190" s="38">
        <f>(K190/$K$222)</f>
        <v>1.1015165597669567E-2</v>
      </c>
      <c r="M190" s="39"/>
      <c r="N190" s="74"/>
      <c r="O190" s="41">
        <f>SUM(O162:O189)</f>
        <v>70392</v>
      </c>
      <c r="P190" s="80"/>
      <c r="Q190" s="80"/>
      <c r="R190" s="55">
        <f t="shared" ref="R190" si="122">((K190-D190)/D190)</f>
        <v>3.1706125598974372E-2</v>
      </c>
      <c r="S190" s="55" t="e">
        <f t="shared" ref="S190" si="123">((N190-G190)/G190)</f>
        <v>#DIV/0!</v>
      </c>
      <c r="T190" s="55">
        <f t="shared" ref="T190" si="124">((O190-H190)/H190)</f>
        <v>1.5936254980079682E-3</v>
      </c>
      <c r="U190" s="55">
        <f t="shared" ref="U190" si="125">P190-I190</f>
        <v>0</v>
      </c>
      <c r="V190" s="56">
        <f t="shared" ref="V190" si="126">Q190-J190</f>
        <v>0</v>
      </c>
    </row>
    <row r="191" spans="1:22" ht="5.25" customHeight="1">
      <c r="A191" s="34"/>
      <c r="B191" s="176"/>
      <c r="C191" s="176"/>
      <c r="D191" s="176"/>
      <c r="E191" s="176"/>
      <c r="F191" s="176"/>
      <c r="G191" s="176"/>
      <c r="H191" s="176"/>
      <c r="I191" s="176"/>
      <c r="J191" s="176"/>
      <c r="K191" s="17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  <c r="V191" s="176"/>
    </row>
    <row r="192" spans="1:22" ht="15" customHeight="1">
      <c r="A192" s="178" t="s">
        <v>221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</row>
    <row r="193" spans="1:24">
      <c r="A193" s="143">
        <v>167</v>
      </c>
      <c r="B193" s="141" t="s">
        <v>222</v>
      </c>
      <c r="C193" s="142" t="s">
        <v>223</v>
      </c>
      <c r="D193" s="76">
        <v>1184439951.73</v>
      </c>
      <c r="E193" s="28">
        <f>(D193/$D$195)</f>
        <v>0.1922281091487337</v>
      </c>
      <c r="F193" s="75">
        <v>32.901800000000001</v>
      </c>
      <c r="G193" s="75">
        <v>33.233800000000002</v>
      </c>
      <c r="H193" s="30">
        <v>1492</v>
      </c>
      <c r="I193" s="48">
        <v>1.6899999999999998E-2</v>
      </c>
      <c r="J193" s="48">
        <v>0.2361</v>
      </c>
      <c r="K193" s="76">
        <v>1230109996.1300001</v>
      </c>
      <c r="L193" s="52">
        <f>(K193/$K$195)</f>
        <v>0.19053634352362733</v>
      </c>
      <c r="M193" s="75">
        <v>33.575400000000002</v>
      </c>
      <c r="N193" s="75">
        <v>33.921399999999998</v>
      </c>
      <c r="O193" s="30">
        <v>1492</v>
      </c>
      <c r="P193" s="48">
        <v>4.3799999999999999E-2</v>
      </c>
      <c r="Q193" s="48">
        <v>0.2616</v>
      </c>
      <c r="R193" s="55">
        <f>((K193-D193)/D193)</f>
        <v>3.8558345092373957E-2</v>
      </c>
      <c r="S193" s="55">
        <f t="shared" ref="S193:T195" si="127">((N193-G193)/G193)</f>
        <v>2.0689779682130729E-2</v>
      </c>
      <c r="T193" s="55">
        <f t="shared" si="127"/>
        <v>0</v>
      </c>
      <c r="U193" s="55">
        <f t="shared" ref="U193:V195" si="128">P193-I193</f>
        <v>2.69E-2</v>
      </c>
      <c r="V193" s="56">
        <f t="shared" si="128"/>
        <v>2.5499999999999995E-2</v>
      </c>
    </row>
    <row r="194" spans="1:24">
      <c r="A194" s="143">
        <v>168</v>
      </c>
      <c r="B194" s="141" t="s">
        <v>224</v>
      </c>
      <c r="C194" s="142" t="s">
        <v>49</v>
      </c>
      <c r="D194" s="42">
        <v>4977197682.7200003</v>
      </c>
      <c r="E194" s="28">
        <f>(D194/$D$195)</f>
        <v>0.80777189085126622</v>
      </c>
      <c r="F194" s="75">
        <v>3.48</v>
      </c>
      <c r="G194" s="75">
        <v>3.52</v>
      </c>
      <c r="H194" s="30">
        <v>10478</v>
      </c>
      <c r="I194" s="48">
        <v>2.8E-3</v>
      </c>
      <c r="J194" s="48">
        <v>0.21379999999999999</v>
      </c>
      <c r="K194" s="42">
        <v>5225928643.96</v>
      </c>
      <c r="L194" s="52">
        <f>(K194/$K$195)</f>
        <v>0.80946365647637264</v>
      </c>
      <c r="M194" s="75">
        <v>3.65</v>
      </c>
      <c r="N194" s="75">
        <v>3.69</v>
      </c>
      <c r="O194" s="30">
        <v>10503</v>
      </c>
      <c r="P194" s="48">
        <v>4.8300000000000003E-2</v>
      </c>
      <c r="Q194" s="48">
        <v>0.27239999999999998</v>
      </c>
      <c r="R194" s="55">
        <f>((K194-D194)/D194)</f>
        <v>4.9974097292448755E-2</v>
      </c>
      <c r="S194" s="55">
        <f t="shared" si="127"/>
        <v>4.8295454545454523E-2</v>
      </c>
      <c r="T194" s="55">
        <f t="shared" si="127"/>
        <v>2.3859515174651652E-3</v>
      </c>
      <c r="U194" s="55">
        <f t="shared" si="128"/>
        <v>4.5500000000000006E-2</v>
      </c>
      <c r="V194" s="56">
        <f t="shared" si="128"/>
        <v>5.8599999999999985E-2</v>
      </c>
    </row>
    <row r="195" spans="1:24">
      <c r="A195" s="34"/>
      <c r="B195" s="35"/>
      <c r="C195" s="69" t="s">
        <v>53</v>
      </c>
      <c r="D195" s="73">
        <f>SUM(D193:D194)</f>
        <v>6161637634.4500008</v>
      </c>
      <c r="E195" s="38">
        <f>(D195/$D$222)</f>
        <v>1.0736292652984566E-3</v>
      </c>
      <c r="F195" s="39"/>
      <c r="G195" s="74"/>
      <c r="H195" s="41">
        <f>SUM(H193:H194)</f>
        <v>11970</v>
      </c>
      <c r="I195" s="80"/>
      <c r="J195" s="80"/>
      <c r="K195" s="73">
        <f>SUM(K193:K194)</f>
        <v>6456038640.0900002</v>
      </c>
      <c r="L195" s="38">
        <f>(K195/$K$222)</f>
        <v>1.1172573059785055E-3</v>
      </c>
      <c r="M195" s="39"/>
      <c r="N195" s="74"/>
      <c r="O195" s="41">
        <f>SUM(O193:O194)</f>
        <v>11995</v>
      </c>
      <c r="P195" s="80"/>
      <c r="Q195" s="80"/>
      <c r="R195" s="55">
        <f>((K195-D195)/D195)</f>
        <v>4.7779668832517795E-2</v>
      </c>
      <c r="S195" s="55" t="e">
        <f t="shared" si="127"/>
        <v>#DIV/0!</v>
      </c>
      <c r="T195" s="55">
        <f t="shared" si="127"/>
        <v>2.0885547201336674E-3</v>
      </c>
      <c r="U195" s="55">
        <f t="shared" si="128"/>
        <v>0</v>
      </c>
      <c r="V195" s="56">
        <f t="shared" si="128"/>
        <v>0</v>
      </c>
    </row>
    <row r="196" spans="1:24" ht="6" customHeight="1">
      <c r="A196" s="34"/>
      <c r="B196" s="176"/>
      <c r="C196" s="176"/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76"/>
    </row>
    <row r="197" spans="1:24" ht="15" customHeight="1">
      <c r="A197" s="174" t="s">
        <v>225</v>
      </c>
      <c r="B197" s="174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</row>
    <row r="198" spans="1:24">
      <c r="A198" s="177" t="s">
        <v>226</v>
      </c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</row>
    <row r="199" spans="1:24">
      <c r="A199" s="143">
        <v>169</v>
      </c>
      <c r="B199" s="141" t="s">
        <v>227</v>
      </c>
      <c r="C199" s="142" t="s">
        <v>228</v>
      </c>
      <c r="D199" s="45">
        <v>5911343279.29</v>
      </c>
      <c r="E199" s="28">
        <f>(D199/$D$221)</f>
        <v>9.9725799790761516E-2</v>
      </c>
      <c r="F199" s="77">
        <v>2.5299999999999998</v>
      </c>
      <c r="G199" s="77">
        <v>2.58</v>
      </c>
      <c r="H199" s="44">
        <v>15037</v>
      </c>
      <c r="I199" s="51">
        <v>4.1000000000000003E-3</v>
      </c>
      <c r="J199" s="51">
        <v>0.1143</v>
      </c>
      <c r="K199" s="45">
        <v>6085443335.9300003</v>
      </c>
      <c r="L199" s="28">
        <f>(K199/$K$221)</f>
        <v>0.10102928391198854</v>
      </c>
      <c r="M199" s="77">
        <v>2.58</v>
      </c>
      <c r="N199" s="77">
        <v>2.63</v>
      </c>
      <c r="O199" s="44">
        <v>15033</v>
      </c>
      <c r="P199" s="51">
        <v>1.9900000000000001E-2</v>
      </c>
      <c r="Q199" s="51">
        <v>0.13650000000000001</v>
      </c>
      <c r="R199" s="55">
        <f>((K199-D199)/D199)</f>
        <v>2.9451860332650341E-2</v>
      </c>
      <c r="S199" s="55">
        <f>((N199-G199)/G199)</f>
        <v>1.937984496124024E-2</v>
      </c>
      <c r="T199" s="55">
        <f>((O199-H199)/H199)</f>
        <v>-2.6601050741504288E-4</v>
      </c>
      <c r="U199" s="55">
        <f>P199-I199</f>
        <v>1.5800000000000002E-2</v>
      </c>
      <c r="V199" s="56">
        <f>Q199-J199</f>
        <v>2.2200000000000011E-2</v>
      </c>
    </row>
    <row r="200" spans="1:24">
      <c r="A200" s="143">
        <v>170</v>
      </c>
      <c r="B200" s="141" t="s">
        <v>229</v>
      </c>
      <c r="C200" s="142" t="s">
        <v>49</v>
      </c>
      <c r="D200" s="45">
        <v>1177472836.5799999</v>
      </c>
      <c r="E200" s="28">
        <f>(D200/$D$221)</f>
        <v>1.9864253319753198E-2</v>
      </c>
      <c r="F200" s="77">
        <v>650.08000000000004</v>
      </c>
      <c r="G200" s="77">
        <v>658.19</v>
      </c>
      <c r="H200" s="44">
        <v>1038</v>
      </c>
      <c r="I200" s="51">
        <v>4.5999999999999999E-3</v>
      </c>
      <c r="J200" s="51">
        <v>0.30409999999999998</v>
      </c>
      <c r="K200" s="45">
        <v>1300564781.9300001</v>
      </c>
      <c r="L200" s="28">
        <f>(K200/$K$221)</f>
        <v>2.1591710142751522E-2</v>
      </c>
      <c r="M200" s="77">
        <v>671.84</v>
      </c>
      <c r="N200" s="77">
        <v>680.02</v>
      </c>
      <c r="O200" s="44">
        <v>1063</v>
      </c>
      <c r="P200" s="51">
        <v>3.32E-2</v>
      </c>
      <c r="Q200" s="51">
        <v>0.34739999999999999</v>
      </c>
      <c r="R200" s="55">
        <f>((K200-D200)/D200)</f>
        <v>0.10453909553236392</v>
      </c>
      <c r="S200" s="55">
        <f>((N200-G200)/G200)</f>
        <v>3.3166714778407339E-2</v>
      </c>
      <c r="T200" s="55">
        <f>((O200-H200)/H200)</f>
        <v>2.4084778420038536E-2</v>
      </c>
      <c r="U200" s="55">
        <f>P200-I200</f>
        <v>2.86E-2</v>
      </c>
      <c r="V200" s="56">
        <f>Q200-J200</f>
        <v>4.3300000000000005E-2</v>
      </c>
    </row>
    <row r="201" spans="1:24" ht="6" customHeight="1">
      <c r="A201" s="34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</row>
    <row r="202" spans="1:24" ht="15" customHeight="1">
      <c r="A202" s="177" t="s">
        <v>171</v>
      </c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</row>
    <row r="203" spans="1:24">
      <c r="A203" s="143">
        <v>171</v>
      </c>
      <c r="B203" s="141" t="s">
        <v>289</v>
      </c>
      <c r="C203" s="142" t="s">
        <v>23</v>
      </c>
      <c r="D203" s="27">
        <v>1308012619.99</v>
      </c>
      <c r="E203" s="28">
        <f>(D203/$D$221)</f>
        <v>2.2066491235910663E-2</v>
      </c>
      <c r="F203" s="75">
        <v>1.0805</v>
      </c>
      <c r="G203" s="75">
        <v>1.0805</v>
      </c>
      <c r="H203" s="30">
        <v>619</v>
      </c>
      <c r="I203" s="48">
        <v>0.13059999999999999</v>
      </c>
      <c r="J203" s="48">
        <v>0.14810000000000001</v>
      </c>
      <c r="K203" s="27">
        <v>1294238257.0799999</v>
      </c>
      <c r="L203" s="28">
        <f t="shared" ref="L203:L215" si="129">(K203/$K$221)</f>
        <v>2.1486678472918509E-2</v>
      </c>
      <c r="M203" s="75">
        <v>1.0833999999999999</v>
      </c>
      <c r="N203" s="75">
        <v>1.0833999999999999</v>
      </c>
      <c r="O203" s="30">
        <v>622</v>
      </c>
      <c r="P203" s="48">
        <v>0.1399</v>
      </c>
      <c r="Q203" s="48">
        <v>0.14810000000000001</v>
      </c>
      <c r="R203" s="55">
        <f>((K203-D203)/D203)</f>
        <v>-1.0530756889872662E-2</v>
      </c>
      <c r="S203" s="55">
        <f>((N203-G203)/G203)</f>
        <v>2.6839426191577072E-3</v>
      </c>
      <c r="T203" s="55">
        <f>((O203-H203)/H203)</f>
        <v>4.8465266558966073E-3</v>
      </c>
      <c r="U203" s="55">
        <f>P203-I203</f>
        <v>9.3000000000000027E-3</v>
      </c>
      <c r="V203" s="56">
        <f>Q203-J203</f>
        <v>0</v>
      </c>
      <c r="X203" s="81"/>
    </row>
    <row r="204" spans="1:24">
      <c r="A204" s="143">
        <v>172</v>
      </c>
      <c r="B204" s="141" t="s">
        <v>230</v>
      </c>
      <c r="C204" s="142" t="s">
        <v>231</v>
      </c>
      <c r="D204" s="27">
        <v>349945309.00999999</v>
      </c>
      <c r="E204" s="28">
        <f>(D204/$D$221)</f>
        <v>5.9036625306996271E-3</v>
      </c>
      <c r="F204" s="75">
        <v>1069.46</v>
      </c>
      <c r="G204" s="75">
        <v>1069.46</v>
      </c>
      <c r="H204" s="30">
        <v>18</v>
      </c>
      <c r="I204" s="48">
        <v>1.4E-3</v>
      </c>
      <c r="J204" s="48">
        <v>4.0800000000000003E-2</v>
      </c>
      <c r="K204" s="27">
        <v>350267864.39999998</v>
      </c>
      <c r="L204" s="28">
        <f t="shared" si="129"/>
        <v>5.8150753468983671E-3</v>
      </c>
      <c r="M204" s="75">
        <v>1070.45</v>
      </c>
      <c r="N204" s="75">
        <v>1070.45</v>
      </c>
      <c r="O204" s="30">
        <v>18</v>
      </c>
      <c r="P204" s="48">
        <v>5.4000000000000003E-3</v>
      </c>
      <c r="Q204" s="48">
        <v>4.2200000000000001E-2</v>
      </c>
      <c r="R204" s="55">
        <f>((K204-D204)/D204)</f>
        <v>9.2173085820895632E-4</v>
      </c>
      <c r="S204" s="55">
        <f>((N204-G204)/G204)</f>
        <v>9.2570082097508002E-4</v>
      </c>
      <c r="T204" s="55">
        <f>((O204-H204)/H204)</f>
        <v>0</v>
      </c>
      <c r="U204" s="55">
        <f>P204-I204</f>
        <v>4.0000000000000001E-3</v>
      </c>
      <c r="V204" s="56">
        <f>Q204-J204</f>
        <v>1.3999999999999985E-3</v>
      </c>
      <c r="X204" s="81"/>
    </row>
    <row r="205" spans="1:24">
      <c r="A205" s="143">
        <v>173</v>
      </c>
      <c r="B205" s="141" t="s">
        <v>232</v>
      </c>
      <c r="C205" s="142" t="s">
        <v>67</v>
      </c>
      <c r="D205" s="27">
        <v>289222084.33999997</v>
      </c>
      <c r="E205" s="28">
        <f>(D205/$D$221)</f>
        <v>4.8792469520433342E-3</v>
      </c>
      <c r="F205" s="75">
        <v>117.65</v>
      </c>
      <c r="G205" s="75">
        <v>117.65</v>
      </c>
      <c r="H205" s="30">
        <v>75</v>
      </c>
      <c r="I205" s="48">
        <v>2E-3</v>
      </c>
      <c r="J205" s="48">
        <v>0.1263</v>
      </c>
      <c r="K205" s="27">
        <v>291085544.07999998</v>
      </c>
      <c r="L205" s="28">
        <f t="shared" si="129"/>
        <v>4.8325425859938121E-3</v>
      </c>
      <c r="M205" s="75">
        <v>117.9</v>
      </c>
      <c r="N205" s="75">
        <v>117.9</v>
      </c>
      <c r="O205" s="30">
        <v>75</v>
      </c>
      <c r="P205" s="48">
        <v>2.0999999999999999E-3</v>
      </c>
      <c r="Q205" s="48">
        <v>0.1263</v>
      </c>
      <c r="R205" s="55">
        <f t="shared" ref="R205:R222" si="130">((K205-D205)/D205)</f>
        <v>6.4430063985341712E-3</v>
      </c>
      <c r="S205" s="55">
        <f t="shared" ref="S205:S221" si="131">((N205-G205)/G205)</f>
        <v>2.1249468763280916E-3</v>
      </c>
      <c r="T205" s="55">
        <f t="shared" ref="T205:T221" si="132">((O205-H205)/H205)</f>
        <v>0</v>
      </c>
      <c r="U205" s="55">
        <f t="shared" ref="U205:U221" si="133">P205-I205</f>
        <v>9.9999999999999829E-5</v>
      </c>
      <c r="V205" s="56">
        <f t="shared" ref="V205:V221" si="134">Q205-J205</f>
        <v>0</v>
      </c>
    </row>
    <row r="206" spans="1:24">
      <c r="A206" s="143">
        <v>174</v>
      </c>
      <c r="B206" s="172" t="s">
        <v>233</v>
      </c>
      <c r="C206" s="142" t="s">
        <v>70</v>
      </c>
      <c r="D206" s="42">
        <v>63185994.060000002</v>
      </c>
      <c r="E206" s="28">
        <f>(D206/$D$221)</f>
        <v>1.0659630976404132E-3</v>
      </c>
      <c r="F206" s="75">
        <v>101.9</v>
      </c>
      <c r="G206" s="75">
        <v>101.9</v>
      </c>
      <c r="H206" s="30">
        <v>15</v>
      </c>
      <c r="I206" s="48">
        <v>1.5E-3</v>
      </c>
      <c r="J206" s="48">
        <v>4.9799999999999997E-2</v>
      </c>
      <c r="K206" s="42">
        <v>63366751.649999999</v>
      </c>
      <c r="L206" s="28">
        <f t="shared" si="129"/>
        <v>1.0520018328376984E-3</v>
      </c>
      <c r="M206" s="75">
        <v>102.16</v>
      </c>
      <c r="N206" s="75">
        <v>102.16</v>
      </c>
      <c r="O206" s="30">
        <v>15</v>
      </c>
      <c r="P206" s="48">
        <v>2.7000000000000001E-3</v>
      </c>
      <c r="Q206" s="48">
        <v>5.2400000000000002E-2</v>
      </c>
      <c r="R206" s="55">
        <f t="shared" si="130"/>
        <v>2.8607224225728374E-3</v>
      </c>
      <c r="S206" s="55">
        <f t="shared" si="131"/>
        <v>2.5515210991166916E-3</v>
      </c>
      <c r="T206" s="55">
        <f t="shared" si="132"/>
        <v>0</v>
      </c>
      <c r="U206" s="55">
        <f t="shared" si="133"/>
        <v>1.2000000000000001E-3</v>
      </c>
      <c r="V206" s="56">
        <f t="shared" si="134"/>
        <v>2.6000000000000051E-3</v>
      </c>
    </row>
    <row r="207" spans="1:24">
      <c r="A207" s="143">
        <v>175</v>
      </c>
      <c r="B207" s="141" t="s">
        <v>234</v>
      </c>
      <c r="C207" s="142" t="s">
        <v>73</v>
      </c>
      <c r="D207" s="42">
        <v>155964708.96000001</v>
      </c>
      <c r="E207" s="28">
        <v>0</v>
      </c>
      <c r="F207" s="75">
        <v>1.0961000000000001</v>
      </c>
      <c r="G207" s="75">
        <v>1.0961000000000001</v>
      </c>
      <c r="H207" s="30">
        <v>41</v>
      </c>
      <c r="I207" s="48">
        <v>1.8E-3</v>
      </c>
      <c r="J207" s="48">
        <v>0.1183</v>
      </c>
      <c r="K207" s="42">
        <v>154812310.74000001</v>
      </c>
      <c r="L207" s="28">
        <f t="shared" si="129"/>
        <v>2.5701622760130756E-3</v>
      </c>
      <c r="M207" s="75">
        <v>1.0987</v>
      </c>
      <c r="N207" s="75">
        <v>1.0987</v>
      </c>
      <c r="O207" s="30">
        <v>41</v>
      </c>
      <c r="P207" s="48">
        <v>1.8E-3</v>
      </c>
      <c r="Q207" s="48">
        <v>0.1188</v>
      </c>
      <c r="R207" s="55">
        <f t="shared" ref="R207:R208" si="135">((K207-D207)/D207)</f>
        <v>-7.3888396143229574E-3</v>
      </c>
      <c r="S207" s="55">
        <f t="shared" ref="S207:S208" si="136">((N207-G207)/G207)</f>
        <v>2.3720463461362425E-3</v>
      </c>
      <c r="T207" s="55">
        <f t="shared" ref="T207" si="137">((O207-H207)/H207)</f>
        <v>0</v>
      </c>
      <c r="U207" s="55">
        <f t="shared" ref="U207" si="138">P207-I207</f>
        <v>0</v>
      </c>
      <c r="V207" s="56">
        <f t="shared" ref="V207" si="139">Q207-J207</f>
        <v>5.0000000000000044E-4</v>
      </c>
    </row>
    <row r="208" spans="1:24">
      <c r="A208" s="143">
        <v>176</v>
      </c>
      <c r="B208" s="141" t="s">
        <v>235</v>
      </c>
      <c r="C208" s="142" t="s">
        <v>31</v>
      </c>
      <c r="D208" s="27">
        <v>5409408417.6599998</v>
      </c>
      <c r="E208" s="28">
        <f t="shared" ref="E208:E215" si="140">(D208/$D$221)</f>
        <v>9.1258036517008784E-2</v>
      </c>
      <c r="F208" s="75">
        <v>153.69999999999999</v>
      </c>
      <c r="G208" s="75">
        <v>153.69999999999999</v>
      </c>
      <c r="H208" s="30">
        <v>702</v>
      </c>
      <c r="I208" s="48">
        <v>2.7000000000000001E-3</v>
      </c>
      <c r="J208" s="48">
        <v>7.1300000000000002E-2</v>
      </c>
      <c r="K208" s="27">
        <v>5403234839.4399996</v>
      </c>
      <c r="L208" s="28">
        <f t="shared" si="129"/>
        <v>8.9703398175427648E-2</v>
      </c>
      <c r="M208" s="75">
        <v>154.12</v>
      </c>
      <c r="N208" s="75">
        <v>154.12</v>
      </c>
      <c r="O208" s="30">
        <v>701</v>
      </c>
      <c r="P208" s="48">
        <v>2.7000000000000001E-3</v>
      </c>
      <c r="Q208" s="48">
        <v>7.4200000000000002E-2</v>
      </c>
      <c r="R208" s="55">
        <f t="shared" si="135"/>
        <v>-1.141266797279624E-3</v>
      </c>
      <c r="S208" s="55">
        <f t="shared" si="136"/>
        <v>2.7325959661679633E-3</v>
      </c>
      <c r="T208" s="55">
        <f t="shared" si="132"/>
        <v>-1.4245014245014246E-3</v>
      </c>
      <c r="U208" s="55">
        <f t="shared" si="133"/>
        <v>0</v>
      </c>
      <c r="V208" s="56">
        <f t="shared" si="134"/>
        <v>2.8999999999999998E-3</v>
      </c>
    </row>
    <row r="209" spans="1:22">
      <c r="A209" s="143">
        <v>177</v>
      </c>
      <c r="B209" s="141" t="s">
        <v>236</v>
      </c>
      <c r="C209" s="142" t="s">
        <v>65</v>
      </c>
      <c r="D209" s="27">
        <v>791641225.722574</v>
      </c>
      <c r="E209" s="28">
        <f t="shared" si="140"/>
        <v>1.3355180143083257E-2</v>
      </c>
      <c r="F209" s="33">
        <v>1256.9457179957701</v>
      </c>
      <c r="G209" s="33">
        <v>1256.9457179957701</v>
      </c>
      <c r="H209" s="30">
        <v>204</v>
      </c>
      <c r="I209" s="48">
        <v>0.1043993494546136</v>
      </c>
      <c r="J209" s="48">
        <v>0.131154840615468</v>
      </c>
      <c r="K209" s="27">
        <v>806228818.53254902</v>
      </c>
      <c r="L209" s="28">
        <f t="shared" si="129"/>
        <v>1.3384845722682927E-2</v>
      </c>
      <c r="M209" s="33">
        <v>1260.08362270981</v>
      </c>
      <c r="N209" s="33">
        <v>1260.08362270981</v>
      </c>
      <c r="O209" s="30">
        <v>211</v>
      </c>
      <c r="P209" s="48">
        <v>0.13017214259099086</v>
      </c>
      <c r="Q209" s="48">
        <v>0.13142863175125977</v>
      </c>
      <c r="R209" s="55">
        <f t="shared" si="130"/>
        <v>1.8427025192706632E-2</v>
      </c>
      <c r="S209" s="55">
        <f t="shared" si="131"/>
        <v>2.4964520496902356E-3</v>
      </c>
      <c r="T209" s="55">
        <f t="shared" si="132"/>
        <v>3.4313725490196081E-2</v>
      </c>
      <c r="U209" s="55">
        <f t="shared" si="133"/>
        <v>2.5772793136377259E-2</v>
      </c>
      <c r="V209" s="56">
        <f t="shared" si="134"/>
        <v>2.7379113579176217E-4</v>
      </c>
    </row>
    <row r="210" spans="1:22">
      <c r="A210" s="143">
        <v>178</v>
      </c>
      <c r="B210" s="141" t="s">
        <v>237</v>
      </c>
      <c r="C210" s="142" t="s">
        <v>228</v>
      </c>
      <c r="D210" s="27">
        <v>30203906417.169998</v>
      </c>
      <c r="E210" s="28">
        <f t="shared" si="140"/>
        <v>0.50954725211278395</v>
      </c>
      <c r="F210" s="33">
        <v>1266.6500000000001</v>
      </c>
      <c r="G210" s="33">
        <v>1266.6500000000001</v>
      </c>
      <c r="H210" s="30">
        <v>10423</v>
      </c>
      <c r="I210" s="48">
        <v>2.8999999999999998E-3</v>
      </c>
      <c r="J210" s="48">
        <v>6.2E-2</v>
      </c>
      <c r="K210" s="27">
        <v>30590984684.970001</v>
      </c>
      <c r="L210" s="28">
        <f t="shared" si="129"/>
        <v>0.50786526244316965</v>
      </c>
      <c r="M210" s="33">
        <v>1270.08</v>
      </c>
      <c r="N210" s="33">
        <v>1270.08</v>
      </c>
      <c r="O210" s="30">
        <v>10461</v>
      </c>
      <c r="P210" s="48">
        <v>2.7000000000000001E-3</v>
      </c>
      <c r="Q210" s="48">
        <v>6.4699999999999994E-2</v>
      </c>
      <c r="R210" s="55">
        <f t="shared" si="130"/>
        <v>1.2815503480038624E-2</v>
      </c>
      <c r="S210" s="55">
        <f t="shared" si="131"/>
        <v>2.7079303675047062E-3</v>
      </c>
      <c r="T210" s="55">
        <f t="shared" si="132"/>
        <v>3.6457833637148613E-3</v>
      </c>
      <c r="U210" s="55">
        <f t="shared" si="133"/>
        <v>-1.9999999999999966E-4</v>
      </c>
      <c r="V210" s="56">
        <f t="shared" si="134"/>
        <v>2.6999999999999941E-3</v>
      </c>
    </row>
    <row r="211" spans="1:22">
      <c r="A211" s="143">
        <v>179</v>
      </c>
      <c r="B211" s="141" t="s">
        <v>238</v>
      </c>
      <c r="C211" s="142" t="s">
        <v>239</v>
      </c>
      <c r="D211" s="27">
        <v>493290894.70999998</v>
      </c>
      <c r="E211" s="28">
        <f t="shared" si="140"/>
        <v>8.3219374480927883E-3</v>
      </c>
      <c r="F211" s="77">
        <v>124.02</v>
      </c>
      <c r="G211" s="77">
        <v>125.05</v>
      </c>
      <c r="H211" s="44">
        <v>149</v>
      </c>
      <c r="I211" s="48">
        <v>2.2499999999999999E-2</v>
      </c>
      <c r="J211" s="48">
        <v>2.0000000000000001E-4</v>
      </c>
      <c r="K211" s="27">
        <v>481341580.31</v>
      </c>
      <c r="L211" s="28">
        <f t="shared" si="129"/>
        <v>7.9911343334121213E-3</v>
      </c>
      <c r="M211" s="77">
        <v>121.04</v>
      </c>
      <c r="N211" s="77">
        <v>122.03</v>
      </c>
      <c r="O211" s="44">
        <v>148</v>
      </c>
      <c r="P211" s="48">
        <v>-8.6999999999999994E-3</v>
      </c>
      <c r="Q211" s="48">
        <v>-2.4E-2</v>
      </c>
      <c r="R211" s="55">
        <f t="shared" si="130"/>
        <v>-2.4223667065707426E-2</v>
      </c>
      <c r="S211" s="55">
        <f t="shared" si="131"/>
        <v>-2.4150339864054345E-2</v>
      </c>
      <c r="T211" s="55">
        <f t="shared" si="132"/>
        <v>-6.7114093959731542E-3</v>
      </c>
      <c r="U211" s="55">
        <f t="shared" si="133"/>
        <v>-3.1199999999999999E-2</v>
      </c>
      <c r="V211" s="56">
        <f t="shared" si="134"/>
        <v>-2.4199999999999999E-2</v>
      </c>
    </row>
    <row r="212" spans="1:22">
      <c r="A212" s="143">
        <v>180</v>
      </c>
      <c r="B212" s="141" t="s">
        <v>240</v>
      </c>
      <c r="C212" s="142" t="s">
        <v>239</v>
      </c>
      <c r="D212" s="27">
        <v>245101834.31999999</v>
      </c>
      <c r="E212" s="28">
        <f t="shared" si="140"/>
        <v>4.1349275964701745E-3</v>
      </c>
      <c r="F212" s="77">
        <v>123.1</v>
      </c>
      <c r="G212" s="77">
        <v>123.1</v>
      </c>
      <c r="H212" s="44">
        <v>85</v>
      </c>
      <c r="I212" s="48">
        <v>3.8E-3</v>
      </c>
      <c r="J212" s="48">
        <v>0.1022</v>
      </c>
      <c r="K212" s="27">
        <v>247515287.08000001</v>
      </c>
      <c r="L212" s="28">
        <f t="shared" si="129"/>
        <v>4.1091981028430879E-3</v>
      </c>
      <c r="M212" s="77">
        <v>123.54</v>
      </c>
      <c r="N212" s="77">
        <v>123.54</v>
      </c>
      <c r="O212" s="44">
        <v>87</v>
      </c>
      <c r="P212" s="48">
        <v>5.0000000000000001E-4</v>
      </c>
      <c r="Q212" s="48">
        <v>0.1061</v>
      </c>
      <c r="R212" s="55">
        <f t="shared" si="130"/>
        <v>9.846734793706461E-3</v>
      </c>
      <c r="S212" s="55">
        <f t="shared" si="131"/>
        <v>3.5743298131601297E-3</v>
      </c>
      <c r="T212" s="55">
        <f t="shared" si="132"/>
        <v>2.3529411764705882E-2</v>
      </c>
      <c r="U212" s="55">
        <f t="shared" si="133"/>
        <v>-3.3E-3</v>
      </c>
      <c r="V212" s="56">
        <f t="shared" si="134"/>
        <v>3.9000000000000007E-3</v>
      </c>
    </row>
    <row r="213" spans="1:22" ht="13.5" customHeight="1">
      <c r="A213" s="143">
        <v>181</v>
      </c>
      <c r="B213" s="141" t="s">
        <v>241</v>
      </c>
      <c r="C213" s="142" t="s">
        <v>87</v>
      </c>
      <c r="D213" s="27">
        <v>1534441935</v>
      </c>
      <c r="E213" s="28">
        <f t="shared" si="140"/>
        <v>2.5886408887209483E-2</v>
      </c>
      <c r="F213" s="58">
        <v>105.89</v>
      </c>
      <c r="G213" s="58">
        <v>105.89</v>
      </c>
      <c r="H213" s="30">
        <v>631</v>
      </c>
      <c r="I213" s="48">
        <v>2.8999999999999998E-3</v>
      </c>
      <c r="J213" s="48">
        <v>0.1421</v>
      </c>
      <c r="K213" s="27">
        <v>1552091448</v>
      </c>
      <c r="L213" s="28">
        <f t="shared" si="129"/>
        <v>2.576750433802168E-2</v>
      </c>
      <c r="M213" s="58">
        <v>106.5</v>
      </c>
      <c r="N213" s="58">
        <v>106.5</v>
      </c>
      <c r="O213" s="30">
        <v>633</v>
      </c>
      <c r="P213" s="48">
        <v>2.8999999999999998E-3</v>
      </c>
      <c r="Q213" s="48">
        <v>0.14319999999999999</v>
      </c>
      <c r="R213" s="55">
        <f t="shared" si="130"/>
        <v>1.1502235827516015E-2</v>
      </c>
      <c r="S213" s="55">
        <f t="shared" si="131"/>
        <v>5.7606950609122619E-3</v>
      </c>
      <c r="T213" s="55">
        <f t="shared" si="132"/>
        <v>3.1695721077654518E-3</v>
      </c>
      <c r="U213" s="55">
        <f t="shared" si="133"/>
        <v>0</v>
      </c>
      <c r="V213" s="56">
        <f t="shared" si="134"/>
        <v>1.0999999999999899E-3</v>
      </c>
    </row>
    <row r="214" spans="1:22" ht="15.75" customHeight="1">
      <c r="A214" s="143">
        <v>182</v>
      </c>
      <c r="B214" s="141" t="s">
        <v>242</v>
      </c>
      <c r="C214" s="142" t="s">
        <v>49</v>
      </c>
      <c r="D214" s="27">
        <v>6018236299.7200003</v>
      </c>
      <c r="E214" s="28">
        <f t="shared" si="140"/>
        <v>0.10152911106043158</v>
      </c>
      <c r="F214" s="58">
        <v>136.78</v>
      </c>
      <c r="G214" s="58">
        <v>136.78</v>
      </c>
      <c r="H214" s="30">
        <v>1349</v>
      </c>
      <c r="I214" s="48">
        <v>2.0999999999999999E-3</v>
      </c>
      <c r="J214" s="48">
        <v>1.8499999999999999E-2</v>
      </c>
      <c r="K214" s="27">
        <v>5821383527.6800003</v>
      </c>
      <c r="L214" s="28">
        <f t="shared" si="129"/>
        <v>9.6645417057141303E-2</v>
      </c>
      <c r="M214" s="58">
        <v>137.03</v>
      </c>
      <c r="N214" s="58">
        <v>137.03</v>
      </c>
      <c r="O214" s="30">
        <v>1347</v>
      </c>
      <c r="P214" s="48">
        <v>1.8E-3</v>
      </c>
      <c r="Q214" s="48">
        <v>2.0299999999999999E-2</v>
      </c>
      <c r="R214" s="55">
        <f t="shared" si="130"/>
        <v>-3.270937900014969E-2</v>
      </c>
      <c r="S214" s="55">
        <f t="shared" si="131"/>
        <v>1.8277525954086854E-3</v>
      </c>
      <c r="T214" s="55">
        <f t="shared" si="132"/>
        <v>-1.4825796886582653E-3</v>
      </c>
      <c r="U214" s="55">
        <f t="shared" si="133"/>
        <v>-2.9999999999999992E-4</v>
      </c>
      <c r="V214" s="56">
        <f t="shared" si="134"/>
        <v>1.7999999999999995E-3</v>
      </c>
    </row>
    <row r="215" spans="1:22">
      <c r="A215" s="143">
        <v>183</v>
      </c>
      <c r="B215" s="141" t="s">
        <v>243</v>
      </c>
      <c r="C215" s="142" t="s">
        <v>52</v>
      </c>
      <c r="D215" s="27">
        <v>3799408143.1399999</v>
      </c>
      <c r="E215" s="28">
        <f t="shared" si="140"/>
        <v>6.4096940053137541E-2</v>
      </c>
      <c r="F215" s="58">
        <v>1.1488</v>
      </c>
      <c r="G215" s="58">
        <v>1.1488</v>
      </c>
      <c r="H215" s="30">
        <v>1679</v>
      </c>
      <c r="I215" s="48">
        <v>0.1215</v>
      </c>
      <c r="J215" s="48">
        <v>0.1048</v>
      </c>
      <c r="K215" s="27">
        <v>4221574036.6999998</v>
      </c>
      <c r="L215" s="28">
        <f t="shared" si="129"/>
        <v>7.0085707542631173E-2</v>
      </c>
      <c r="M215" s="58">
        <v>1.1512</v>
      </c>
      <c r="N215" s="58">
        <v>1.1512</v>
      </c>
      <c r="O215" s="30">
        <v>1700</v>
      </c>
      <c r="P215" s="48">
        <v>0.1149</v>
      </c>
      <c r="Q215" s="48">
        <v>0.1047</v>
      </c>
      <c r="R215" s="55">
        <f t="shared" si="130"/>
        <v>0.11111359392178996</v>
      </c>
      <c r="S215" s="55">
        <f t="shared" si="131"/>
        <v>2.0891364902506596E-3</v>
      </c>
      <c r="T215" s="55">
        <f t="shared" si="132"/>
        <v>1.2507444907683145E-2</v>
      </c>
      <c r="U215" s="55">
        <f t="shared" si="133"/>
        <v>-6.5999999999999948E-3</v>
      </c>
      <c r="V215" s="56">
        <f t="shared" si="134"/>
        <v>-1.0000000000000286E-4</v>
      </c>
    </row>
    <row r="216" spans="1:22" ht="6" customHeight="1">
      <c r="A216" s="34"/>
      <c r="B216" s="176"/>
      <c r="C216" s="176"/>
      <c r="D216" s="176"/>
      <c r="E216" s="176"/>
      <c r="F216" s="176"/>
      <c r="G216" s="176"/>
      <c r="H216" s="176"/>
      <c r="I216" s="176"/>
      <c r="J216" s="176"/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6"/>
    </row>
    <row r="217" spans="1:22">
      <c r="A217" s="177" t="s">
        <v>244</v>
      </c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</row>
    <row r="218" spans="1:22">
      <c r="A218" s="143">
        <v>184</v>
      </c>
      <c r="B218" s="141" t="s">
        <v>313</v>
      </c>
      <c r="C218" s="142" t="s">
        <v>23</v>
      </c>
      <c r="D218" s="76">
        <v>1238372806.9200001</v>
      </c>
      <c r="E218" s="28">
        <f>(D218/$D$195)</f>
        <v>0.2009811157988585</v>
      </c>
      <c r="F218" s="75">
        <v>76.959100000000007</v>
      </c>
      <c r="G218" s="75">
        <v>79.279399999999995</v>
      </c>
      <c r="H218" s="32">
        <v>1823</v>
      </c>
      <c r="I218" s="49">
        <v>0.25569999999999998</v>
      </c>
      <c r="J218" s="49">
        <v>0.27229999999999999</v>
      </c>
      <c r="K218" s="76">
        <v>1277882636.03</v>
      </c>
      <c r="L218" s="52">
        <f>(K218/$K$195)</f>
        <v>0.19793602660534659</v>
      </c>
      <c r="M218" s="75">
        <v>78.894999999999996</v>
      </c>
      <c r="N218" s="75">
        <v>81.273799999999994</v>
      </c>
      <c r="O218" s="32">
        <v>1829</v>
      </c>
      <c r="P218" s="49">
        <v>0.13117000000000001</v>
      </c>
      <c r="Q218" s="49">
        <v>0.32140000000000002</v>
      </c>
      <c r="R218" s="55">
        <f>((K218-D218)/D218)</f>
        <v>3.1904632344331073E-2</v>
      </c>
      <c r="S218" s="55">
        <f t="shared" ref="S218" si="141">((N218-G218)/G218)</f>
        <v>2.5156598056998401E-2</v>
      </c>
      <c r="T218" s="55">
        <f t="shared" ref="T218" si="142">((O218-H218)/H218)</f>
        <v>3.2912781130005485E-3</v>
      </c>
      <c r="U218" s="55">
        <f t="shared" ref="U218" si="143">P218-I218</f>
        <v>-0.12452999999999997</v>
      </c>
      <c r="V218" s="56">
        <f t="shared" ref="V218" si="144">Q218-J218</f>
        <v>4.9100000000000033E-2</v>
      </c>
    </row>
    <row r="219" spans="1:22">
      <c r="A219" s="171">
        <v>185</v>
      </c>
      <c r="B219" s="141" t="s">
        <v>245</v>
      </c>
      <c r="C219" s="142" t="s">
        <v>228</v>
      </c>
      <c r="D219" s="27">
        <v>231281593.34</v>
      </c>
      <c r="E219" s="28">
        <f t="shared" ref="E219" si="145">(D219/$D$221)</f>
        <v>3.9017767676458514E-3</v>
      </c>
      <c r="F219" s="33">
        <v>1125.81</v>
      </c>
      <c r="G219" s="33">
        <v>1125.81</v>
      </c>
      <c r="H219" s="30">
        <v>136</v>
      </c>
      <c r="I219" s="48">
        <v>-1.54E-2</v>
      </c>
      <c r="J219" s="48">
        <v>2.81E-2</v>
      </c>
      <c r="K219" s="27">
        <v>234637181.44999999</v>
      </c>
      <c r="L219" s="28">
        <f t="shared" ref="L219" si="146">(K219/$K$221)</f>
        <v>3.8953984307205942E-3</v>
      </c>
      <c r="M219" s="33">
        <v>1141.5999999999999</v>
      </c>
      <c r="N219" s="33">
        <v>1141.5999999999999</v>
      </c>
      <c r="O219" s="30">
        <v>136</v>
      </c>
      <c r="P219" s="48">
        <v>1.4E-2</v>
      </c>
      <c r="Q219" s="48">
        <v>4.0599999999999997E-2</v>
      </c>
      <c r="R219" s="55">
        <f t="shared" ref="R219" si="147">((K219-D219)/D219)</f>
        <v>1.450866911430793E-2</v>
      </c>
      <c r="S219" s="55">
        <f t="shared" ref="S219" si="148">((N219-G219)/G219)</f>
        <v>1.4025457226352549E-2</v>
      </c>
      <c r="T219" s="55">
        <f t="shared" ref="T219" si="149">((O219-H219)/H219)</f>
        <v>0</v>
      </c>
      <c r="U219" s="55">
        <f t="shared" ref="U219" si="150">P219-I219</f>
        <v>2.9400000000000003E-2</v>
      </c>
      <c r="V219" s="56">
        <f t="shared" ref="V219" si="151">Q219-J219</f>
        <v>1.2499999999999997E-2</v>
      </c>
    </row>
    <row r="220" spans="1:22">
      <c r="A220" s="171">
        <v>186</v>
      </c>
      <c r="B220" s="141" t="s">
        <v>290</v>
      </c>
      <c r="C220" s="142" t="s">
        <v>291</v>
      </c>
      <c r="D220" s="27">
        <v>55731220.210000001</v>
      </c>
      <c r="E220" s="28">
        <f t="shared" ref="E220" si="152">(D220/$D$221)</f>
        <v>9.4019924849041148E-4</v>
      </c>
      <c r="F220" s="33">
        <v>103.66</v>
      </c>
      <c r="G220" s="33">
        <v>105.8</v>
      </c>
      <c r="H220" s="30">
        <v>160</v>
      </c>
      <c r="I220" s="48">
        <v>3.5999999999999999E-3</v>
      </c>
      <c r="J220" s="48">
        <v>3.7900000000000003E-2</v>
      </c>
      <c r="K220" s="27">
        <v>57796971.439999998</v>
      </c>
      <c r="L220" s="28">
        <f t="shared" ref="L220" si="153">(K220/$K$221)</f>
        <v>9.5953348253015758E-4</v>
      </c>
      <c r="M220" s="33">
        <v>103.99</v>
      </c>
      <c r="N220" s="33">
        <v>106.13</v>
      </c>
      <c r="O220" s="30">
        <v>160</v>
      </c>
      <c r="P220" s="48">
        <v>3.2000000000000002E-3</v>
      </c>
      <c r="Q220" s="48">
        <v>3.9399999999999998E-2</v>
      </c>
      <c r="R220" s="55">
        <f t="shared" ref="R220" si="154">((K220-D220)/D220)</f>
        <v>3.706631977939958E-2</v>
      </c>
      <c r="S220" s="55">
        <f t="shared" ref="S220" si="155">((N220-G220)/G220)</f>
        <v>3.1190926275992278E-3</v>
      </c>
      <c r="T220" s="55">
        <f t="shared" ref="T220" si="156">((O220-H220)/H220)</f>
        <v>0</v>
      </c>
      <c r="U220" s="55">
        <f t="shared" ref="U220" si="157">P220-I220</f>
        <v>-3.9999999999999975E-4</v>
      </c>
      <c r="V220" s="56">
        <f t="shared" ref="V220" si="158">Q220-J220</f>
        <v>1.4999999999999944E-3</v>
      </c>
    </row>
    <row r="221" spans="1:22">
      <c r="A221" s="34"/>
      <c r="B221" s="35"/>
      <c r="C221" s="69" t="s">
        <v>53</v>
      </c>
      <c r="D221" s="46">
        <f>SUM(D199:D220)</f>
        <v>59275967620.142563</v>
      </c>
      <c r="E221" s="38">
        <f>(D221/$D$222)</f>
        <v>1.0328490141979832E-2</v>
      </c>
      <c r="F221" s="39"/>
      <c r="G221" s="72"/>
      <c r="H221" s="82">
        <f>SUM(H199:H220)</f>
        <v>34184</v>
      </c>
      <c r="I221" s="79"/>
      <c r="J221" s="79"/>
      <c r="K221" s="46">
        <f>SUM(K199:K220)</f>
        <v>60234449857.442543</v>
      </c>
      <c r="L221" s="38">
        <f>(K221/$K$222)</f>
        <v>1.0423943059591954E-2</v>
      </c>
      <c r="M221" s="39"/>
      <c r="N221" s="72"/>
      <c r="O221" s="41">
        <f>SUM(O199:O220)</f>
        <v>34280</v>
      </c>
      <c r="P221" s="79"/>
      <c r="Q221" s="79"/>
      <c r="R221" s="55">
        <f t="shared" si="130"/>
        <v>1.616982861321151E-2</v>
      </c>
      <c r="S221" s="55" t="e">
        <f t="shared" si="131"/>
        <v>#DIV/0!</v>
      </c>
      <c r="T221" s="55">
        <f t="shared" si="132"/>
        <v>2.8083313831032061E-3</v>
      </c>
      <c r="U221" s="55">
        <f t="shared" si="133"/>
        <v>0</v>
      </c>
      <c r="V221" s="56">
        <f t="shared" si="134"/>
        <v>0</v>
      </c>
    </row>
    <row r="222" spans="1:22">
      <c r="A222" s="83"/>
      <c r="B222" s="83"/>
      <c r="C222" s="84" t="s">
        <v>246</v>
      </c>
      <c r="D222" s="85">
        <f>SUM(D25,D69,D110,D150,D159,D190,D195,D221)</f>
        <v>5739073843834.8516</v>
      </c>
      <c r="E222" s="86"/>
      <c r="F222" s="86"/>
      <c r="G222" s="87"/>
      <c r="H222" s="85">
        <f>SUM(H25,H69,H110,H150,H159,H190,H195,H221)</f>
        <v>902256</v>
      </c>
      <c r="I222" s="109"/>
      <c r="J222" s="109"/>
      <c r="K222" s="85">
        <f>SUM(K25,K69,K110,K150,K159,K190,K195,K221)</f>
        <v>5778470729655.0049</v>
      </c>
      <c r="L222" s="86"/>
      <c r="M222" s="86"/>
      <c r="N222" s="87"/>
      <c r="O222" s="85">
        <f>SUM(O25,O69,O110,O150,O159,O190,O195,O221)</f>
        <v>908028</v>
      </c>
      <c r="P222" s="110"/>
      <c r="Q222" s="85"/>
      <c r="R222" s="116">
        <f t="shared" si="130"/>
        <v>6.86467658235049E-3</v>
      </c>
      <c r="S222" s="116"/>
      <c r="T222" s="116"/>
      <c r="U222" s="116"/>
      <c r="V222" s="116"/>
    </row>
    <row r="223" spans="1:22" ht="6.75" customHeight="1">
      <c r="A223" s="34"/>
      <c r="B223" s="176"/>
      <c r="C223" s="176"/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  <c r="V223" s="35"/>
    </row>
    <row r="224" spans="1:22" ht="14.4" customHeight="1">
      <c r="A224" s="174" t="s">
        <v>247</v>
      </c>
      <c r="B224" s="174"/>
      <c r="C224" s="174"/>
      <c r="D224" s="174"/>
      <c r="E224" s="174"/>
      <c r="F224" s="174"/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</row>
    <row r="225" spans="1:22" ht="14.4" customHeight="1">
      <c r="A225" s="143">
        <v>1</v>
      </c>
      <c r="B225" s="141" t="s">
        <v>312</v>
      </c>
      <c r="C225" s="142" t="s">
        <v>23</v>
      </c>
      <c r="D225" s="27">
        <f>904905.87*1550.2544</f>
        <v>1402834306.553328</v>
      </c>
      <c r="E225" s="28">
        <f t="shared" ref="E225:E228" si="159">(D225/$D$221)</f>
        <v>2.3666156165397308E-2</v>
      </c>
      <c r="F225" s="33">
        <f>1.0054*1550.2544</f>
        <v>1558.6257737600001</v>
      </c>
      <c r="G225" s="33">
        <f>1.0054*1550.2544</f>
        <v>1558.6257737600001</v>
      </c>
      <c r="H225" s="30">
        <v>33</v>
      </c>
      <c r="I225" s="48">
        <v>5.7099999999999998E-2</v>
      </c>
      <c r="J225" s="48">
        <v>3.4000000000000002E-2</v>
      </c>
      <c r="K225" s="27">
        <f>915957.09*1550.4708</f>
        <v>1420164722.0979719</v>
      </c>
      <c r="L225" s="28">
        <f>(K225/$K$230)</f>
        <v>8.0824848911309172E-2</v>
      </c>
      <c r="M225" s="33">
        <f>1.0066*1550.4708</f>
        <v>1560.7039072800001</v>
      </c>
      <c r="N225" s="33">
        <f>1.0066*1550.4708</f>
        <v>1560.7039072800001</v>
      </c>
      <c r="O225" s="30">
        <v>34</v>
      </c>
      <c r="P225" s="48">
        <v>6.2199999999999998E-2</v>
      </c>
      <c r="Q225" s="48">
        <v>3.7100000000000001E-2</v>
      </c>
      <c r="R225" s="55">
        <f t="shared" ref="R225" si="160">((K225-D225)/D225)</f>
        <v>1.2353857803223799E-2</v>
      </c>
      <c r="S225" s="55">
        <f t="shared" ref="S225" si="161">((N225-G225)/G225)</f>
        <v>1.3333114048195715E-3</v>
      </c>
      <c r="T225" s="55">
        <f t="shared" ref="T225" si="162">((O225-H225)/H225)</f>
        <v>3.0303030303030304E-2</v>
      </c>
      <c r="U225" s="55">
        <f t="shared" ref="U225" si="163">P225-I225</f>
        <v>5.1000000000000004E-3</v>
      </c>
      <c r="V225" s="56">
        <f t="shared" ref="V225" si="164">Q225-J225</f>
        <v>3.0999999999999986E-3</v>
      </c>
    </row>
    <row r="226" spans="1:22" ht="14.4" customHeight="1">
      <c r="A226" s="143">
        <v>2</v>
      </c>
      <c r="B226" s="141" t="s">
        <v>248</v>
      </c>
      <c r="C226" s="142" t="s">
        <v>186</v>
      </c>
      <c r="D226" s="27">
        <v>4271081280.7797432</v>
      </c>
      <c r="E226" s="28">
        <f t="shared" ref="E226" si="165">(D226/$D$221)</f>
        <v>7.2054180678248217E-2</v>
      </c>
      <c r="F226" s="33">
        <v>123.2</v>
      </c>
      <c r="G226" s="33">
        <v>123.2</v>
      </c>
      <c r="H226" s="30">
        <v>9</v>
      </c>
      <c r="I226" s="48">
        <v>0.2989151760429794</v>
      </c>
      <c r="J226" s="48">
        <v>0.24417115175668783</v>
      </c>
      <c r="K226" s="27">
        <v>4296580875.745923</v>
      </c>
      <c r="L226" s="28">
        <f>(K226/$K$230)</f>
        <v>0.2445283245765823</v>
      </c>
      <c r="M226" s="33">
        <v>123.2</v>
      </c>
      <c r="N226" s="33">
        <v>123.2</v>
      </c>
      <c r="O226" s="30">
        <v>9</v>
      </c>
      <c r="P226" s="48">
        <v>0.28837558852777589</v>
      </c>
      <c r="Q226" s="48">
        <v>0.24050855973222865</v>
      </c>
      <c r="R226" s="55">
        <f t="shared" ref="R226" si="166">((K226-D226)/D226)</f>
        <v>5.970290259033552E-3</v>
      </c>
      <c r="S226" s="55">
        <f t="shared" ref="S226" si="167">((N226-G226)/G226)</f>
        <v>0</v>
      </c>
      <c r="T226" s="55">
        <f t="shared" ref="T226" si="168">((O226-H226)/H226)</f>
        <v>0</v>
      </c>
      <c r="U226" s="55">
        <f t="shared" ref="U226" si="169">P226-I226</f>
        <v>-1.0539587515203508E-2</v>
      </c>
      <c r="V226" s="56">
        <f t="shared" ref="V226" si="170">Q226-J226</f>
        <v>-3.662592024459177E-3</v>
      </c>
    </row>
    <row r="227" spans="1:22" ht="14.4" customHeight="1">
      <c r="A227" s="143">
        <v>3</v>
      </c>
      <c r="B227" s="141" t="s">
        <v>310</v>
      </c>
      <c r="C227" s="142" t="s">
        <v>31</v>
      </c>
      <c r="D227" s="27">
        <f>353209.1*1554</f>
        <v>548886941.39999998</v>
      </c>
      <c r="E227" s="28">
        <f t="shared" si="159"/>
        <v>9.259856286403037E-3</v>
      </c>
      <c r="F227" s="33">
        <f>101.71*1554</f>
        <v>158057.34</v>
      </c>
      <c r="G227" s="33">
        <f>101.71*1554</f>
        <v>158057.34</v>
      </c>
      <c r="H227" s="30">
        <v>3</v>
      </c>
      <c r="I227" s="48">
        <v>3.3999999999999998E-3</v>
      </c>
      <c r="J227" s="48">
        <v>1.7100000000000001E-2</v>
      </c>
      <c r="K227" s="27">
        <f>368370.65*1551.63</f>
        <v>571574951.65950012</v>
      </c>
      <c r="L227" s="28">
        <f>(K227/$K$230)</f>
        <v>3.2529648420728023E-2</v>
      </c>
      <c r="M227" s="33">
        <f>101.9*1551.63</f>
        <v>158111.09700000001</v>
      </c>
      <c r="N227" s="33">
        <f>101.9*1551.63</f>
        <v>158111.09700000001</v>
      </c>
      <c r="O227" s="30">
        <v>4</v>
      </c>
      <c r="P227" s="48">
        <v>1.9E-3</v>
      </c>
      <c r="Q227" s="48">
        <v>1.9E-2</v>
      </c>
      <c r="R227" s="55">
        <f t="shared" ref="R227:R228" si="171">((K227-D227)/D227)</f>
        <v>4.1334578304289292E-2</v>
      </c>
      <c r="S227" s="55">
        <f t="shared" ref="S227:S228" si="172">((N227-G227)/G227)</f>
        <v>3.4011074715044771E-4</v>
      </c>
      <c r="T227" s="55">
        <f t="shared" ref="T227:T228" si="173">((O227-H227)/H227)</f>
        <v>0.33333333333333331</v>
      </c>
      <c r="U227" s="55">
        <f t="shared" ref="U227:U228" si="174">P227-I227</f>
        <v>-1.4999999999999998E-3</v>
      </c>
      <c r="V227" s="56">
        <f t="shared" ref="V227:V228" si="175">Q227-J227</f>
        <v>1.8999999999999989E-3</v>
      </c>
    </row>
    <row r="228" spans="1:22" ht="14.4" customHeight="1">
      <c r="A228" s="143">
        <v>4</v>
      </c>
      <c r="B228" s="141" t="s">
        <v>297</v>
      </c>
      <c r="C228" s="142" t="s">
        <v>41</v>
      </c>
      <c r="D228" s="27">
        <v>11105320545.09</v>
      </c>
      <c r="E228" s="28">
        <f t="shared" si="159"/>
        <v>0.18734946034548244</v>
      </c>
      <c r="F228" s="33">
        <v>1.06</v>
      </c>
      <c r="G228" s="33">
        <v>1.06</v>
      </c>
      <c r="H228" s="30">
        <v>16</v>
      </c>
      <c r="I228" s="48">
        <v>3.8999999999999998E-3</v>
      </c>
      <c r="J228" s="48">
        <v>5.04E-2</v>
      </c>
      <c r="K228" s="27">
        <v>11172053127.35</v>
      </c>
      <c r="L228" s="28">
        <f>(K228/$K$230)</f>
        <v>0.63582730368997975</v>
      </c>
      <c r="M228" s="33">
        <v>1.07</v>
      </c>
      <c r="N228" s="33">
        <v>1.07</v>
      </c>
      <c r="O228" s="30">
        <v>16</v>
      </c>
      <c r="P228" s="48">
        <v>6.0000000000000001E-3</v>
      </c>
      <c r="Q228" s="48">
        <v>6.1400000000000003E-2</v>
      </c>
      <c r="R228" s="55">
        <f t="shared" si="171"/>
        <v>6.0090640327806416E-3</v>
      </c>
      <c r="S228" s="55">
        <f t="shared" si="172"/>
        <v>9.4339622641509517E-3</v>
      </c>
      <c r="T228" s="55">
        <f t="shared" si="173"/>
        <v>0</v>
      </c>
      <c r="U228" s="55">
        <f t="shared" si="174"/>
        <v>2.1000000000000003E-3</v>
      </c>
      <c r="V228" s="56">
        <f t="shared" si="175"/>
        <v>1.1000000000000003E-2</v>
      </c>
    </row>
    <row r="229" spans="1:22" ht="14.4" customHeight="1">
      <c r="A229" s="143">
        <v>5</v>
      </c>
      <c r="B229" s="141" t="s">
        <v>315</v>
      </c>
      <c r="C229" s="142" t="s">
        <v>52</v>
      </c>
      <c r="D229" s="27">
        <v>106541974.84</v>
      </c>
      <c r="E229" s="28">
        <f t="shared" ref="E229" si="176">(D229/$D$221)</f>
        <v>1.797389045131268E-3</v>
      </c>
      <c r="F229" s="33">
        <v>1.0052000000000001</v>
      </c>
      <c r="G229" s="33">
        <v>1.0052000000000001</v>
      </c>
      <c r="H229" s="30">
        <v>3</v>
      </c>
      <c r="I229" s="48">
        <v>1.6999999999999999E-3</v>
      </c>
      <c r="J229" s="48">
        <v>5.1999999999999998E-3</v>
      </c>
      <c r="K229" s="27">
        <v>110518706.20999999</v>
      </c>
      <c r="L229" s="28">
        <f>(K229/$K$230)</f>
        <v>6.2898744014008717E-3</v>
      </c>
      <c r="M229" s="33">
        <v>1.0142</v>
      </c>
      <c r="N229" s="33">
        <v>1.0142</v>
      </c>
      <c r="O229" s="30">
        <v>4</v>
      </c>
      <c r="P229" s="48">
        <v>3.8E-3</v>
      </c>
      <c r="Q229" s="48">
        <v>1.4200000000000001E-2</v>
      </c>
      <c r="R229" s="55">
        <f t="shared" ref="R229:R230" si="177">((K229-D229)/D229)</f>
        <v>3.7325489563827481E-2</v>
      </c>
      <c r="S229" s="55">
        <f t="shared" ref="S229" si="178">((N229-G229)/G229)</f>
        <v>8.9534421010743093E-3</v>
      </c>
      <c r="T229" s="55">
        <f t="shared" ref="T229" si="179">((O229-H229)/H229)</f>
        <v>0.33333333333333331</v>
      </c>
      <c r="U229" s="55">
        <f t="shared" ref="U229" si="180">P229-I229</f>
        <v>2.1000000000000003E-3</v>
      </c>
      <c r="V229" s="56">
        <f t="shared" ref="V229" si="181">Q229-J229</f>
        <v>9.0000000000000011E-3</v>
      </c>
    </row>
    <row r="230" spans="1:22" ht="14.4" customHeight="1">
      <c r="A230" s="88"/>
      <c r="B230" s="88"/>
      <c r="C230" s="88" t="s">
        <v>53</v>
      </c>
      <c r="D230" s="88">
        <f>SUM(D225:D229)</f>
        <v>17434665048.663071</v>
      </c>
      <c r="E230" s="88"/>
      <c r="F230" s="88"/>
      <c r="G230" s="88"/>
      <c r="H230" s="88">
        <f>SUM(H225:H229)</f>
        <v>64</v>
      </c>
      <c r="I230" s="88"/>
      <c r="J230" s="88"/>
      <c r="K230" s="88">
        <f>SUM(K225:K229)</f>
        <v>17570892383.063393</v>
      </c>
      <c r="L230" s="38"/>
      <c r="M230" s="88"/>
      <c r="N230" s="88"/>
      <c r="O230" s="88">
        <f>SUM(O225:O229)</f>
        <v>67</v>
      </c>
      <c r="P230" s="88"/>
      <c r="Q230" s="88"/>
      <c r="R230" s="116">
        <f t="shared" si="177"/>
        <v>7.8135905691384747E-3</v>
      </c>
      <c r="S230" s="88"/>
      <c r="T230" s="88"/>
      <c r="U230" s="88"/>
      <c r="V230" s="88"/>
    </row>
    <row r="231" spans="1:22" ht="6" customHeight="1">
      <c r="A231" s="34"/>
      <c r="B231" s="131"/>
      <c r="C231" s="69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35"/>
    </row>
    <row r="232" spans="1:22" ht="15.6">
      <c r="A232" s="174" t="s">
        <v>249</v>
      </c>
      <c r="B232" s="174"/>
      <c r="C232" s="174"/>
      <c r="D232" s="174"/>
      <c r="E232" s="174"/>
      <c r="F232" s="174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</row>
    <row r="233" spans="1:22">
      <c r="A233" s="143">
        <v>1</v>
      </c>
      <c r="B233" s="141" t="s">
        <v>250</v>
      </c>
      <c r="C233" s="142" t="s">
        <v>251</v>
      </c>
      <c r="D233" s="27">
        <v>117431274879</v>
      </c>
      <c r="E233" s="28">
        <f>(D233/$D$235)</f>
        <v>0.89375782425215089</v>
      </c>
      <c r="F233" s="58">
        <v>111.28</v>
      </c>
      <c r="G233" s="58">
        <v>111.28</v>
      </c>
      <c r="H233" s="30">
        <v>0</v>
      </c>
      <c r="I233" s="48">
        <v>0.23899999999999999</v>
      </c>
      <c r="J233" s="48">
        <v>0.23899999999999999</v>
      </c>
      <c r="K233" s="27">
        <v>117431274879</v>
      </c>
      <c r="L233" s="28">
        <f>(K233/$K$235)</f>
        <v>0.89338882948127385</v>
      </c>
      <c r="M233" s="58">
        <v>111.28</v>
      </c>
      <c r="N233" s="58">
        <v>111.28</v>
      </c>
      <c r="O233" s="30">
        <v>0</v>
      </c>
      <c r="P233" s="48">
        <v>0.23899999999999999</v>
      </c>
      <c r="Q233" s="48">
        <v>0.23899999999999999</v>
      </c>
      <c r="R233" s="55">
        <f>((K233-D233)/D233)</f>
        <v>0</v>
      </c>
      <c r="S233" s="55">
        <f>((N233-G233)/G233)</f>
        <v>0</v>
      </c>
      <c r="T233" s="55" t="e">
        <f>((O233-H233)/H233)</f>
        <v>#DIV/0!</v>
      </c>
      <c r="U233" s="55">
        <f>P233-I233</f>
        <v>0</v>
      </c>
      <c r="V233" s="56">
        <f>Q233-J233</f>
        <v>0</v>
      </c>
    </row>
    <row r="234" spans="1:22" ht="14.4" customHeight="1">
      <c r="A234" s="143">
        <v>2</v>
      </c>
      <c r="B234" s="141" t="s">
        <v>252</v>
      </c>
      <c r="C234" s="142" t="s">
        <v>52</v>
      </c>
      <c r="D234" s="27">
        <v>13959211103.33</v>
      </c>
      <c r="E234" s="28">
        <f>(D234/$D$235)</f>
        <v>0.10624217574784904</v>
      </c>
      <c r="F234" s="89">
        <v>1000000</v>
      </c>
      <c r="G234" s="89">
        <v>1000000</v>
      </c>
      <c r="H234" s="30">
        <v>26</v>
      </c>
      <c r="I234" s="48">
        <v>0.22170000000000001</v>
      </c>
      <c r="J234" s="48">
        <v>0.22170000000000001</v>
      </c>
      <c r="K234" s="27">
        <v>14013479077.889999</v>
      </c>
      <c r="L234" s="28">
        <f>(K234/$K$235)</f>
        <v>0.10661117051872612</v>
      </c>
      <c r="M234" s="89">
        <v>1000000</v>
      </c>
      <c r="N234" s="89">
        <v>1000000</v>
      </c>
      <c r="O234" s="30">
        <v>26</v>
      </c>
      <c r="P234" s="48">
        <v>0.2218</v>
      </c>
      <c r="Q234" s="48">
        <v>0.2218</v>
      </c>
      <c r="R234" s="55">
        <f>((K234-D234)/D234)</f>
        <v>3.887610421412262E-3</v>
      </c>
      <c r="S234" s="55">
        <f>((N234-G234)/G234)</f>
        <v>0</v>
      </c>
      <c r="T234" s="55">
        <f>((O234-H234)/H234)</f>
        <v>0</v>
      </c>
      <c r="U234" s="55">
        <f>P234-I234</f>
        <v>9.9999999999988987E-5</v>
      </c>
      <c r="V234" s="56">
        <f>Q234-J234</f>
        <v>9.9999999999988987E-5</v>
      </c>
    </row>
    <row r="235" spans="1:22" ht="15" customHeight="1">
      <c r="A235" s="83"/>
      <c r="B235" s="83"/>
      <c r="C235" s="84" t="s">
        <v>253</v>
      </c>
      <c r="D235" s="88">
        <f>SUM(D233:D234)</f>
        <v>131390485982.33</v>
      </c>
      <c r="E235" s="90"/>
      <c r="F235" s="91"/>
      <c r="G235" s="91"/>
      <c r="H235" s="88">
        <f>SUM(H233:H234)</f>
        <v>26</v>
      </c>
      <c r="I235" s="111"/>
      <c r="J235" s="111"/>
      <c r="K235" s="88">
        <f>SUM(K233:K234)</f>
        <v>131444753956.89</v>
      </c>
      <c r="L235" s="90"/>
      <c r="M235" s="91"/>
      <c r="N235" s="91"/>
      <c r="O235" s="88">
        <f>SUM(O233:O234)</f>
        <v>26</v>
      </c>
      <c r="P235" s="111"/>
      <c r="Q235" s="88"/>
      <c r="R235" s="116">
        <f>((K235-D235)/D235)</f>
        <v>4.130281896308365E-4</v>
      </c>
      <c r="S235" s="117"/>
      <c r="T235" s="117"/>
      <c r="U235" s="116"/>
      <c r="V235" s="118"/>
    </row>
    <row r="236" spans="1:22" ht="4.5" customHeight="1">
      <c r="A236" s="34"/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</row>
    <row r="237" spans="1:22" ht="15.6">
      <c r="A237" s="174" t="s">
        <v>254</v>
      </c>
      <c r="B237" s="174"/>
      <c r="C237" s="174"/>
      <c r="D237" s="174"/>
      <c r="E237" s="174"/>
      <c r="F237" s="174"/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</row>
    <row r="238" spans="1:22">
      <c r="A238" s="143">
        <v>1</v>
      </c>
      <c r="B238" s="141" t="s">
        <v>255</v>
      </c>
      <c r="C238" s="142" t="s">
        <v>80</v>
      </c>
      <c r="D238" s="92">
        <v>1099968472.72</v>
      </c>
      <c r="E238" s="93">
        <f t="shared" ref="E238:E249" si="182">(D238/$D$250)</f>
        <v>7.8023035748677708E-2</v>
      </c>
      <c r="F238" s="89">
        <v>268.77</v>
      </c>
      <c r="G238" s="89">
        <v>268.77</v>
      </c>
      <c r="H238" s="94">
        <v>266</v>
      </c>
      <c r="I238" s="50">
        <v>9.7000000000000003E-3</v>
      </c>
      <c r="J238" s="50">
        <v>0.1022</v>
      </c>
      <c r="K238" s="92">
        <v>1126295478.96</v>
      </c>
      <c r="L238" s="93">
        <f t="shared" ref="L238:L249" si="183">(K238/$K$250)</f>
        <v>7.8008041219294291E-2</v>
      </c>
      <c r="M238" s="89">
        <v>275.20179999999999</v>
      </c>
      <c r="N238" s="89">
        <v>275.20179999999999</v>
      </c>
      <c r="O238" s="94">
        <v>266</v>
      </c>
      <c r="P238" s="50">
        <v>2.4067000000000002E-2</v>
      </c>
      <c r="Q238" s="50">
        <v>0.12867200000000001</v>
      </c>
      <c r="R238" s="55">
        <f>((K238-D238)/D238)</f>
        <v>2.3934328022055612E-2</v>
      </c>
      <c r="S238" s="55">
        <f>((N238-G238)/G238)</f>
        <v>2.3930498195483166E-2</v>
      </c>
      <c r="T238" s="55">
        <f>((O238-H238)/H238)</f>
        <v>0</v>
      </c>
      <c r="U238" s="55">
        <f>P238-I238</f>
        <v>1.4367000000000001E-2</v>
      </c>
      <c r="V238" s="56">
        <f>Q238-J238</f>
        <v>2.6472000000000009E-2</v>
      </c>
    </row>
    <row r="239" spans="1:22">
      <c r="A239" s="143">
        <v>2</v>
      </c>
      <c r="B239" s="141" t="s">
        <v>256</v>
      </c>
      <c r="C239" s="142" t="s">
        <v>228</v>
      </c>
      <c r="D239" s="92">
        <v>1328807884.4400001</v>
      </c>
      <c r="E239" s="93">
        <f t="shared" si="182"/>
        <v>9.4255087888485647E-2</v>
      </c>
      <c r="F239" s="89">
        <v>37.799999999999997</v>
      </c>
      <c r="G239" s="89">
        <v>41.77</v>
      </c>
      <c r="H239" s="94">
        <v>213</v>
      </c>
      <c r="I239" s="50">
        <v>1.1299999999999999E-2</v>
      </c>
      <c r="J239" s="50">
        <v>0.2329</v>
      </c>
      <c r="K239" s="92">
        <v>1386964764.45</v>
      </c>
      <c r="L239" s="93">
        <f t="shared" si="183"/>
        <v>9.6062184867179851E-2</v>
      </c>
      <c r="M239" s="89">
        <v>39.450000000000003</v>
      </c>
      <c r="N239" s="89">
        <v>43.6</v>
      </c>
      <c r="O239" s="94">
        <v>230</v>
      </c>
      <c r="P239" s="50">
        <v>4.3799999999999999E-2</v>
      </c>
      <c r="Q239" s="50">
        <v>0.2868</v>
      </c>
      <c r="R239" s="55">
        <f t="shared" ref="R239:R250" si="184">((K239-D239)/D239)</f>
        <v>4.3766206304915976E-2</v>
      </c>
      <c r="S239" s="55">
        <f t="shared" ref="S239:S250" si="185">((N239-G239)/G239)</f>
        <v>4.3811347857313818E-2</v>
      </c>
      <c r="T239" s="55">
        <f t="shared" ref="T239:T250" si="186">((O239-H239)/H239)</f>
        <v>7.9812206572769953E-2</v>
      </c>
      <c r="U239" s="55">
        <f t="shared" ref="U239:U250" si="187">P239-I239</f>
        <v>3.2500000000000001E-2</v>
      </c>
      <c r="V239" s="56">
        <f t="shared" ref="V239:V250" si="188">Q239-J239</f>
        <v>5.3900000000000003E-2</v>
      </c>
    </row>
    <row r="240" spans="1:22">
      <c r="A240" s="143">
        <v>3</v>
      </c>
      <c r="B240" s="141" t="s">
        <v>257</v>
      </c>
      <c r="C240" s="142" t="s">
        <v>43</v>
      </c>
      <c r="D240" s="92">
        <v>430480715.76999998</v>
      </c>
      <c r="E240" s="93">
        <f t="shared" si="182"/>
        <v>3.0534886325045467E-2</v>
      </c>
      <c r="F240" s="89">
        <v>31.75</v>
      </c>
      <c r="G240" s="89">
        <v>32.119999999999997</v>
      </c>
      <c r="H240" s="94">
        <v>185</v>
      </c>
      <c r="I240" s="50">
        <v>2.1100000000000001E-2</v>
      </c>
      <c r="J240" s="50">
        <v>0.1103</v>
      </c>
      <c r="K240" s="92">
        <v>432609342.26999998</v>
      </c>
      <c r="L240" s="93">
        <f t="shared" si="183"/>
        <v>2.9962836603775859E-2</v>
      </c>
      <c r="M240" s="89">
        <v>32.277306000000003</v>
      </c>
      <c r="N240" s="89">
        <v>32.660496999999999</v>
      </c>
      <c r="O240" s="94">
        <v>185</v>
      </c>
      <c r="P240" s="50">
        <v>4.8999999999999998E-3</v>
      </c>
      <c r="Q240" s="50">
        <v>0.12870000000000001</v>
      </c>
      <c r="R240" s="55">
        <f t="shared" si="184"/>
        <v>4.9447662160487958E-3</v>
      </c>
      <c r="S240" s="55">
        <f t="shared" si="185"/>
        <v>1.6827428393524347E-2</v>
      </c>
      <c r="T240" s="55">
        <f t="shared" si="186"/>
        <v>0</v>
      </c>
      <c r="U240" s="55">
        <f t="shared" si="187"/>
        <v>-1.6199999999999999E-2</v>
      </c>
      <c r="V240" s="56">
        <f t="shared" si="188"/>
        <v>1.8400000000000014E-2</v>
      </c>
    </row>
    <row r="241" spans="1:26">
      <c r="A241" s="143">
        <v>4</v>
      </c>
      <c r="B241" s="141" t="s">
        <v>258</v>
      </c>
      <c r="C241" s="142" t="s">
        <v>43</v>
      </c>
      <c r="D241" s="92">
        <v>898753498.02999997</v>
      </c>
      <c r="E241" s="93">
        <f t="shared" si="182"/>
        <v>6.3750441985525846E-2</v>
      </c>
      <c r="F241" s="89">
        <v>67.010000000000005</v>
      </c>
      <c r="G241" s="89">
        <v>67.44</v>
      </c>
      <c r="H241" s="94">
        <v>223</v>
      </c>
      <c r="I241" s="50">
        <v>2.35E-2</v>
      </c>
      <c r="J241" s="50">
        <v>1.01E-2</v>
      </c>
      <c r="K241" s="92">
        <v>906251086.13999999</v>
      </c>
      <c r="L241" s="93">
        <f t="shared" si="183"/>
        <v>6.2767607082927876E-2</v>
      </c>
      <c r="M241" s="89">
        <v>68.003725000000003</v>
      </c>
      <c r="N241" s="89">
        <v>68.458229000000003</v>
      </c>
      <c r="O241" s="94">
        <v>223</v>
      </c>
      <c r="P241" s="50">
        <v>8.3000000000000001E-3</v>
      </c>
      <c r="Q241" s="50">
        <v>2.5100000000000001E-2</v>
      </c>
      <c r="R241" s="55">
        <f t="shared" si="184"/>
        <v>8.3422074311078204E-3</v>
      </c>
      <c r="S241" s="55">
        <f t="shared" si="185"/>
        <v>1.5098294780545748E-2</v>
      </c>
      <c r="T241" s="55">
        <f t="shared" si="186"/>
        <v>0</v>
      </c>
      <c r="U241" s="55">
        <f t="shared" si="187"/>
        <v>-1.52E-2</v>
      </c>
      <c r="V241" s="56">
        <f t="shared" si="188"/>
        <v>1.5000000000000001E-2</v>
      </c>
    </row>
    <row r="242" spans="1:26">
      <c r="A242" s="143">
        <v>5</v>
      </c>
      <c r="B242" s="141" t="s">
        <v>259</v>
      </c>
      <c r="C242" s="142" t="s">
        <v>260</v>
      </c>
      <c r="D242" s="92">
        <v>1663201047.7</v>
      </c>
      <c r="E242" s="93">
        <f t="shared" si="182"/>
        <v>0.11797428564570152</v>
      </c>
      <c r="F242" s="89">
        <v>47400</v>
      </c>
      <c r="G242" s="89">
        <v>49525</v>
      </c>
      <c r="H242" s="94">
        <v>246</v>
      </c>
      <c r="I242" s="50">
        <v>2.3E-2</v>
      </c>
      <c r="J242" s="50">
        <v>0.32</v>
      </c>
      <c r="K242" s="92">
        <v>1630368415.5999999</v>
      </c>
      <c r="L242" s="93">
        <f t="shared" si="183"/>
        <v>0.11292049816642932</v>
      </c>
      <c r="M242" s="89">
        <v>46900</v>
      </c>
      <c r="N242" s="89">
        <v>49760</v>
      </c>
      <c r="O242" s="94">
        <v>246</v>
      </c>
      <c r="P242" s="50">
        <v>-0.02</v>
      </c>
      <c r="Q242" s="50">
        <v>0.3</v>
      </c>
      <c r="R242" s="55">
        <f t="shared" si="184"/>
        <v>-1.9740627355546454E-2</v>
      </c>
      <c r="S242" s="55">
        <f t="shared" si="185"/>
        <v>4.7450782433114585E-3</v>
      </c>
      <c r="T242" s="55">
        <f t="shared" si="186"/>
        <v>0</v>
      </c>
      <c r="U242" s="55">
        <f t="shared" si="187"/>
        <v>-4.2999999999999997E-2</v>
      </c>
      <c r="V242" s="56">
        <f t="shared" si="188"/>
        <v>-2.0000000000000018E-2</v>
      </c>
    </row>
    <row r="243" spans="1:26">
      <c r="A243" s="143">
        <v>6</v>
      </c>
      <c r="B243" s="141" t="s">
        <v>261</v>
      </c>
      <c r="C243" s="142" t="s">
        <v>262</v>
      </c>
      <c r="D243" s="92">
        <v>789285702.5</v>
      </c>
      <c r="E243" s="93">
        <f t="shared" si="182"/>
        <v>5.5985665143471509E-2</v>
      </c>
      <c r="F243" s="89">
        <v>292.01</v>
      </c>
      <c r="G243" s="89">
        <v>292.01</v>
      </c>
      <c r="H243" s="94">
        <v>144</v>
      </c>
      <c r="I243" s="50">
        <v>1.09E-2</v>
      </c>
      <c r="J243" s="50">
        <v>0.20319999999999999</v>
      </c>
      <c r="K243" s="92">
        <v>824374231.50999999</v>
      </c>
      <c r="L243" s="93">
        <f t="shared" si="183"/>
        <v>5.7096756786360149E-2</v>
      </c>
      <c r="M243" s="89">
        <v>292.01</v>
      </c>
      <c r="N243" s="89">
        <v>292.01</v>
      </c>
      <c r="O243" s="94">
        <v>144</v>
      </c>
      <c r="P243" s="50">
        <v>4.4400000000000002E-2</v>
      </c>
      <c r="Q243" s="50">
        <v>0.25569999999999998</v>
      </c>
      <c r="R243" s="55">
        <f t="shared" si="184"/>
        <v>4.4456055518122081E-2</v>
      </c>
      <c r="S243" s="55">
        <f t="shared" si="185"/>
        <v>0</v>
      </c>
      <c r="T243" s="55">
        <f t="shared" si="186"/>
        <v>0</v>
      </c>
      <c r="U243" s="55">
        <f t="shared" si="187"/>
        <v>3.3500000000000002E-2</v>
      </c>
      <c r="V243" s="56">
        <f t="shared" si="188"/>
        <v>5.2499999999999991E-2</v>
      </c>
    </row>
    <row r="244" spans="1:26">
      <c r="A244" s="143">
        <v>7</v>
      </c>
      <c r="B244" s="141" t="s">
        <v>263</v>
      </c>
      <c r="C244" s="142" t="s">
        <v>262</v>
      </c>
      <c r="D244" s="92">
        <v>816667548.17999995</v>
      </c>
      <c r="E244" s="93">
        <f t="shared" si="182"/>
        <v>5.7927916014601018E-2</v>
      </c>
      <c r="F244" s="89">
        <v>317.33</v>
      </c>
      <c r="G244" s="89">
        <v>317.33</v>
      </c>
      <c r="H244" s="94">
        <v>657</v>
      </c>
      <c r="I244" s="50">
        <v>1.4E-2</v>
      </c>
      <c r="J244" s="50">
        <v>0.1215</v>
      </c>
      <c r="K244" s="92">
        <v>840588967.36000001</v>
      </c>
      <c r="L244" s="93">
        <f t="shared" si="183"/>
        <v>5.8219801143880555E-2</v>
      </c>
      <c r="M244" s="89">
        <v>310</v>
      </c>
      <c r="N244" s="89">
        <v>310</v>
      </c>
      <c r="O244" s="94">
        <v>657</v>
      </c>
      <c r="P244" s="50">
        <v>2.92E-2</v>
      </c>
      <c r="Q244" s="50">
        <v>0.154</v>
      </c>
      <c r="R244" s="55">
        <f t="shared" si="184"/>
        <v>2.9291502072429108E-2</v>
      </c>
      <c r="S244" s="55">
        <f t="shared" si="185"/>
        <v>-2.3098982132165206E-2</v>
      </c>
      <c r="T244" s="55">
        <f t="shared" si="186"/>
        <v>0</v>
      </c>
      <c r="U244" s="55">
        <f t="shared" si="187"/>
        <v>1.52E-2</v>
      </c>
      <c r="V244" s="56">
        <f t="shared" si="188"/>
        <v>3.2500000000000001E-2</v>
      </c>
    </row>
    <row r="245" spans="1:26">
      <c r="A245" s="143">
        <v>8</v>
      </c>
      <c r="B245" s="141" t="s">
        <v>264</v>
      </c>
      <c r="C245" s="142" t="s">
        <v>265</v>
      </c>
      <c r="D245" s="92">
        <v>85811457.140000001</v>
      </c>
      <c r="E245" s="93">
        <f t="shared" si="182"/>
        <v>6.0867838980187246E-3</v>
      </c>
      <c r="F245" s="89">
        <v>24.63</v>
      </c>
      <c r="G245" s="89">
        <v>24.73</v>
      </c>
      <c r="H245" s="94">
        <v>93</v>
      </c>
      <c r="I245" s="50">
        <v>0.08</v>
      </c>
      <c r="J245" s="50">
        <v>0.4128</v>
      </c>
      <c r="K245" s="92">
        <v>87909613.939999998</v>
      </c>
      <c r="L245" s="93">
        <f t="shared" si="183"/>
        <v>6.0886835789627763E-3</v>
      </c>
      <c r="M245" s="89">
        <v>25.16</v>
      </c>
      <c r="N245" s="89">
        <v>25.26</v>
      </c>
      <c r="O245" s="94">
        <v>96</v>
      </c>
      <c r="P245" s="50">
        <v>3.6999999999999998E-2</v>
      </c>
      <c r="Q245" s="50">
        <v>0.46510000000000001</v>
      </c>
      <c r="R245" s="55">
        <f t="shared" si="184"/>
        <v>2.4450776969990012E-2</v>
      </c>
      <c r="S245" s="55">
        <f t="shared" si="185"/>
        <v>2.1431459765467089E-2</v>
      </c>
      <c r="T245" s="55">
        <f t="shared" si="186"/>
        <v>3.2258064516129031E-2</v>
      </c>
      <c r="U245" s="55">
        <f t="shared" si="187"/>
        <v>-4.3000000000000003E-2</v>
      </c>
      <c r="V245" s="56">
        <f t="shared" si="188"/>
        <v>5.2300000000000013E-2</v>
      </c>
    </row>
    <row r="246" spans="1:26">
      <c r="A246" s="143">
        <v>9</v>
      </c>
      <c r="B246" s="141" t="s">
        <v>266</v>
      </c>
      <c r="C246" s="142" t="s">
        <v>265</v>
      </c>
      <c r="D246" s="95">
        <v>780810180.72000003</v>
      </c>
      <c r="E246" s="93">
        <f t="shared" si="182"/>
        <v>5.53844788774739E-2</v>
      </c>
      <c r="F246" s="89">
        <v>12.13</v>
      </c>
      <c r="G246" s="89">
        <v>12.23</v>
      </c>
      <c r="H246" s="94">
        <v>139</v>
      </c>
      <c r="I246" s="50">
        <v>2.0799999999999999E-2</v>
      </c>
      <c r="J246" s="50">
        <v>0.1239</v>
      </c>
      <c r="K246" s="95">
        <v>810643211.04999995</v>
      </c>
      <c r="L246" s="93">
        <f t="shared" si="183"/>
        <v>5.614573635696473E-2</v>
      </c>
      <c r="M246" s="89">
        <v>12.57</v>
      </c>
      <c r="N246" s="89">
        <v>12.67</v>
      </c>
      <c r="O246" s="94">
        <v>142</v>
      </c>
      <c r="P246" s="50">
        <v>2.0400000000000001E-2</v>
      </c>
      <c r="Q246" s="50">
        <v>0.14680000000000001</v>
      </c>
      <c r="R246" s="55">
        <f t="shared" si="184"/>
        <v>3.8207788610658627E-2</v>
      </c>
      <c r="S246" s="55">
        <f t="shared" si="185"/>
        <v>3.5977105478331932E-2</v>
      </c>
      <c r="T246" s="55">
        <f t="shared" si="186"/>
        <v>2.1582733812949641E-2</v>
      </c>
      <c r="U246" s="55">
        <f t="shared" si="187"/>
        <v>-3.9999999999999758E-4</v>
      </c>
      <c r="V246" s="56">
        <f t="shared" si="188"/>
        <v>2.2900000000000018E-2</v>
      </c>
    </row>
    <row r="247" spans="1:26" ht="15" customHeight="1">
      <c r="A247" s="143">
        <v>10</v>
      </c>
      <c r="B247" s="141" t="s">
        <v>267</v>
      </c>
      <c r="C247" s="142" t="s">
        <v>265</v>
      </c>
      <c r="D247" s="92">
        <v>96853446.670000002</v>
      </c>
      <c r="E247" s="93">
        <f t="shared" si="182"/>
        <v>6.8700150225484364E-3</v>
      </c>
      <c r="F247" s="89">
        <v>132.38999999999999</v>
      </c>
      <c r="G247" s="89">
        <v>134.38999999999999</v>
      </c>
      <c r="H247" s="94">
        <v>305</v>
      </c>
      <c r="I247" s="50">
        <v>-0.2601</v>
      </c>
      <c r="J247" s="50">
        <v>0.51219999999999999</v>
      </c>
      <c r="K247" s="92">
        <v>98775750.730000004</v>
      </c>
      <c r="L247" s="93">
        <f t="shared" si="183"/>
        <v>6.8412800888870738E-3</v>
      </c>
      <c r="M247" s="89">
        <v>135.04</v>
      </c>
      <c r="N247" s="89">
        <v>137.04</v>
      </c>
      <c r="O247" s="94">
        <v>307</v>
      </c>
      <c r="P247" s="50">
        <v>1.6000000000000001E-3</v>
      </c>
      <c r="Q247" s="50">
        <v>0.51459999999999995</v>
      </c>
      <c r="R247" s="55">
        <f t="shared" si="184"/>
        <v>1.9847554486622405E-2</v>
      </c>
      <c r="S247" s="55">
        <f t="shared" si="185"/>
        <v>1.9718729072103622E-2</v>
      </c>
      <c r="T247" s="55">
        <f t="shared" si="186"/>
        <v>6.5573770491803279E-3</v>
      </c>
      <c r="U247" s="55">
        <f t="shared" si="187"/>
        <v>0.26169999999999999</v>
      </c>
      <c r="V247" s="56">
        <f t="shared" si="188"/>
        <v>2.3999999999999577E-3</v>
      </c>
    </row>
    <row r="248" spans="1:26">
      <c r="A248" s="143">
        <v>11</v>
      </c>
      <c r="B248" s="141" t="s">
        <v>268</v>
      </c>
      <c r="C248" s="142" t="s">
        <v>265</v>
      </c>
      <c r="D248" s="92">
        <v>6046908627.7299995</v>
      </c>
      <c r="E248" s="93">
        <f t="shared" si="182"/>
        <v>0.42891971882039837</v>
      </c>
      <c r="F248" s="89">
        <v>42.86</v>
      </c>
      <c r="G248" s="89">
        <v>43.06</v>
      </c>
      <c r="H248" s="94">
        <v>310</v>
      </c>
      <c r="I248" s="50">
        <v>4.48E-2</v>
      </c>
      <c r="J248" s="50">
        <v>0.11700000000000001</v>
      </c>
      <c r="K248" s="92">
        <v>6230706594.4899998</v>
      </c>
      <c r="L248" s="93">
        <f t="shared" si="183"/>
        <v>0.43154325479234779</v>
      </c>
      <c r="M248" s="89">
        <v>43.85</v>
      </c>
      <c r="N248" s="89">
        <v>44.05</v>
      </c>
      <c r="O248" s="94">
        <v>318</v>
      </c>
      <c r="P248" s="50">
        <v>4.7600000000000003E-2</v>
      </c>
      <c r="Q248" s="50">
        <v>0.17019999999999999</v>
      </c>
      <c r="R248" s="55">
        <f t="shared" si="184"/>
        <v>3.0395360352748989E-2</v>
      </c>
      <c r="S248" s="55">
        <f t="shared" si="185"/>
        <v>2.2991175104505223E-2</v>
      </c>
      <c r="T248" s="55">
        <f t="shared" si="186"/>
        <v>2.5806451612903226E-2</v>
      </c>
      <c r="U248" s="55">
        <f t="shared" si="187"/>
        <v>2.8000000000000039E-3</v>
      </c>
      <c r="V248" s="56">
        <f t="shared" si="188"/>
        <v>5.3199999999999983E-2</v>
      </c>
    </row>
    <row r="249" spans="1:26">
      <c r="A249" s="143">
        <v>12</v>
      </c>
      <c r="B249" s="141" t="s">
        <v>269</v>
      </c>
      <c r="C249" s="142" t="s">
        <v>265</v>
      </c>
      <c r="D249" s="95">
        <v>60447762.237999998</v>
      </c>
      <c r="E249" s="93">
        <f t="shared" si="182"/>
        <v>4.287684630051752E-3</v>
      </c>
      <c r="F249" s="89">
        <v>35.18</v>
      </c>
      <c r="G249" s="89">
        <v>35.380000000000003</v>
      </c>
      <c r="H249" s="94">
        <v>81</v>
      </c>
      <c r="I249" s="50">
        <v>-0.1</v>
      </c>
      <c r="J249" s="50">
        <v>-0.129</v>
      </c>
      <c r="K249" s="95">
        <v>62709700.556999996</v>
      </c>
      <c r="L249" s="93">
        <f t="shared" si="183"/>
        <v>4.3433193129897938E-3</v>
      </c>
      <c r="M249" s="89">
        <v>35.049999999999997</v>
      </c>
      <c r="N249" s="89">
        <v>35.25</v>
      </c>
      <c r="O249" s="94">
        <v>89</v>
      </c>
      <c r="P249" s="50">
        <v>0</v>
      </c>
      <c r="Q249" s="50">
        <v>-0.129</v>
      </c>
      <c r="R249" s="55">
        <f t="shared" si="184"/>
        <v>3.741971969275066E-2</v>
      </c>
      <c r="S249" s="55">
        <f t="shared" si="185"/>
        <v>-3.6743923120407728E-3</v>
      </c>
      <c r="T249" s="55">
        <f t="shared" si="186"/>
        <v>9.8765432098765427E-2</v>
      </c>
      <c r="U249" s="55">
        <f t="shared" si="187"/>
        <v>0.1</v>
      </c>
      <c r="V249" s="56">
        <f t="shared" si="188"/>
        <v>0</v>
      </c>
    </row>
    <row r="250" spans="1:26">
      <c r="A250" s="127"/>
      <c r="B250" s="127"/>
      <c r="C250" s="128" t="s">
        <v>270</v>
      </c>
      <c r="D250" s="88">
        <f>SUM(D238:D249)</f>
        <v>14097996343.838001</v>
      </c>
      <c r="E250" s="90"/>
      <c r="F250" s="90"/>
      <c r="G250" s="91"/>
      <c r="H250" s="88">
        <f>SUM(H238:H249)</f>
        <v>2862</v>
      </c>
      <c r="I250" s="111"/>
      <c r="J250" s="111"/>
      <c r="K250" s="88">
        <f>SUM(K238:K249)</f>
        <v>14438197157.056999</v>
      </c>
      <c r="L250" s="90"/>
      <c r="M250" s="90"/>
      <c r="N250" s="91"/>
      <c r="O250" s="88">
        <f>SUM(O238:O249)</f>
        <v>2903</v>
      </c>
      <c r="P250" s="111"/>
      <c r="Q250" s="111"/>
      <c r="R250" s="55">
        <f t="shared" si="184"/>
        <v>2.4131146364475692E-2</v>
      </c>
      <c r="S250" s="55" t="e">
        <f t="shared" si="185"/>
        <v>#DIV/0!</v>
      </c>
      <c r="T250" s="55">
        <f t="shared" si="186"/>
        <v>1.43256464011181E-2</v>
      </c>
      <c r="U250" s="55">
        <f t="shared" si="187"/>
        <v>0</v>
      </c>
      <c r="V250" s="56">
        <f t="shared" si="188"/>
        <v>0</v>
      </c>
      <c r="Z250" s="63"/>
    </row>
    <row r="251" spans="1:26">
      <c r="A251" s="96"/>
      <c r="B251" s="96"/>
      <c r="C251" s="97" t="s">
        <v>271</v>
      </c>
      <c r="D251" s="98">
        <f>SUM(D222,D230,D235,D250)</f>
        <v>5901996991209.6826</v>
      </c>
      <c r="E251" s="99"/>
      <c r="F251" s="99"/>
      <c r="G251" s="100"/>
      <c r="H251" s="98">
        <f>SUM(H222,H230,H235,H250)</f>
        <v>905208</v>
      </c>
      <c r="I251" s="112"/>
      <c r="J251" s="112"/>
      <c r="K251" s="98">
        <f>SUM(K222,K230,K235,K250)</f>
        <v>5941924573152.0146</v>
      </c>
      <c r="L251" s="99"/>
      <c r="M251" s="99"/>
      <c r="N251" s="98"/>
      <c r="O251" s="98">
        <f>SUM(O222,O230,O235,O250)</f>
        <v>911024</v>
      </c>
      <c r="P251" s="113"/>
      <c r="Q251" s="98"/>
      <c r="R251" s="119"/>
      <c r="S251" s="120"/>
      <c r="T251" s="120"/>
      <c r="U251" s="121"/>
      <c r="V251" s="121"/>
      <c r="Z251" s="63"/>
    </row>
    <row r="252" spans="1:26">
      <c r="A252" s="101" t="s">
        <v>272</v>
      </c>
      <c r="B252" s="125" t="s">
        <v>321</v>
      </c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</row>
    <row r="253" spans="1:26">
      <c r="B253" s="124"/>
    </row>
    <row r="254" spans="1:26">
      <c r="B254" s="124"/>
      <c r="C254" s="103"/>
      <c r="D254" s="104"/>
      <c r="K254" s="104"/>
    </row>
    <row r="255" spans="1:26" ht="15">
      <c r="B255" s="105"/>
      <c r="C255" s="106"/>
      <c r="D255" s="107"/>
      <c r="F255" s="108"/>
      <c r="G255" s="108"/>
      <c r="I255" s="114"/>
      <c r="J255" s="115"/>
    </row>
    <row r="256" spans="1:26">
      <c r="C256" s="124"/>
    </row>
    <row r="258" spans="2:2">
      <c r="B258" s="103"/>
    </row>
  </sheetData>
  <sheetProtection algorithmName="SHA-512" hashValue="f/3JG16V5y42I98KM7TztYjyazUePZRYWtH5CtkDimxEWAh2HPLBJxnwWnPPU6y9vDQVXkUHvmWKdoIAZqoF9g==" saltValue="k83xkcpk5+97C3O9cUJEhw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6:V26"/>
    <mergeCell ref="A27:V27"/>
    <mergeCell ref="B70:V70"/>
    <mergeCell ref="A71:V71"/>
    <mergeCell ref="B111:V111"/>
    <mergeCell ref="A112:V112"/>
    <mergeCell ref="A113:V113"/>
    <mergeCell ref="B131:V131"/>
    <mergeCell ref="A132:V132"/>
    <mergeCell ref="B151:V151"/>
    <mergeCell ref="A152:V152"/>
    <mergeCell ref="B160:V160"/>
    <mergeCell ref="A161:V161"/>
    <mergeCell ref="B191:V191"/>
    <mergeCell ref="A192:V192"/>
    <mergeCell ref="B196:V196"/>
    <mergeCell ref="A197:V197"/>
    <mergeCell ref="A198:V198"/>
    <mergeCell ref="A224:V224"/>
    <mergeCell ref="A232:V232"/>
    <mergeCell ref="B236:V236"/>
    <mergeCell ref="A237:V237"/>
    <mergeCell ref="B201:V201"/>
    <mergeCell ref="A202:V202"/>
    <mergeCell ref="B216:V216"/>
    <mergeCell ref="A217:V217"/>
    <mergeCell ref="B223:U223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6 E136" formula="1"/>
    <ignoredError sqref="S159 S25 S69 S110 S150 S190 S195 S221 S250 T233:T234 R49:T49 R136 R125:T125 R45:T4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9"/>
  <sheetViews>
    <sheetView zoomScaleNormal="100" workbookViewId="0">
      <selection activeCell="G7" sqref="G7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7">
      <c r="A1" s="140"/>
      <c r="B1" s="140"/>
      <c r="C1" s="140"/>
      <c r="D1" s="140"/>
      <c r="E1" s="19"/>
      <c r="F1" s="15"/>
      <c r="G1" s="146"/>
    </row>
    <row r="2" spans="1:7" ht="27.6">
      <c r="A2" s="149" t="s">
        <v>273</v>
      </c>
      <c r="B2" s="150" t="s">
        <v>318</v>
      </c>
      <c r="C2" s="150" t="s">
        <v>323</v>
      </c>
      <c r="D2" s="151"/>
      <c r="E2" s="19"/>
      <c r="F2" s="15"/>
      <c r="G2" s="146"/>
    </row>
    <row r="3" spans="1:7">
      <c r="A3" s="152" t="s">
        <v>17</v>
      </c>
      <c r="B3" s="153">
        <f t="shared" ref="B3:C10" si="0">B13</f>
        <v>42.622857191780405</v>
      </c>
      <c r="C3" s="153">
        <f t="shared" si="0"/>
        <v>45.399164105915702</v>
      </c>
      <c r="D3" s="151"/>
      <c r="E3" s="19"/>
      <c r="F3" s="15"/>
      <c r="G3" s="146"/>
    </row>
    <row r="4" spans="1:7" ht="15.6" customHeight="1">
      <c r="A4" s="149" t="s">
        <v>54</v>
      </c>
      <c r="B4" s="154">
        <f t="shared" si="0"/>
        <v>3096.1272959019284</v>
      </c>
      <c r="C4" s="154">
        <f t="shared" si="0"/>
        <v>3113.1674255467333</v>
      </c>
      <c r="D4" s="151"/>
      <c r="E4" s="19"/>
      <c r="F4" s="15"/>
      <c r="G4" s="146"/>
    </row>
    <row r="5" spans="1:7" ht="16.2" customHeight="1">
      <c r="A5" s="149" t="s">
        <v>274</v>
      </c>
      <c r="B5" s="153">
        <f t="shared" si="0"/>
        <v>202.34128740003243</v>
      </c>
      <c r="C5" s="153">
        <f t="shared" si="0"/>
        <v>210.0706640520512</v>
      </c>
      <c r="D5" s="151"/>
      <c r="E5" s="19"/>
      <c r="F5" s="15"/>
      <c r="G5" s="146"/>
    </row>
    <row r="6" spans="1:7">
      <c r="A6" s="149" t="s">
        <v>154</v>
      </c>
      <c r="B6" s="154">
        <f t="shared" si="0"/>
        <v>1913.2204783341815</v>
      </c>
      <c r="C6" s="154">
        <f t="shared" si="0"/>
        <v>1920.9563961769661</v>
      </c>
      <c r="D6" s="151"/>
      <c r="E6" s="19"/>
      <c r="F6" s="15"/>
      <c r="G6" s="146"/>
    </row>
    <row r="7" spans="1:7">
      <c r="A7" s="149" t="s">
        <v>275</v>
      </c>
      <c r="B7" s="153">
        <f t="shared" si="0"/>
        <v>357.62960804217528</v>
      </c>
      <c r="C7" s="153">
        <f t="shared" si="0"/>
        <v>358.53577928737019</v>
      </c>
      <c r="D7" s="151"/>
      <c r="E7" s="19"/>
      <c r="F7" s="15"/>
      <c r="G7" s="146"/>
    </row>
    <row r="8" spans="1:7">
      <c r="A8" s="149" t="s">
        <v>191</v>
      </c>
      <c r="B8" s="155">
        <f t="shared" si="0"/>
        <v>61.694711710161478</v>
      </c>
      <c r="C8" s="155">
        <f t="shared" si="0"/>
        <v>63.650811988436374</v>
      </c>
      <c r="D8" s="151"/>
      <c r="E8" s="19"/>
      <c r="F8" s="15"/>
      <c r="G8" s="146"/>
    </row>
    <row r="9" spans="1:7">
      <c r="A9" s="149" t="s">
        <v>221</v>
      </c>
      <c r="B9" s="153">
        <f t="shared" si="0"/>
        <v>6.1616376344500008</v>
      </c>
      <c r="C9" s="153">
        <f t="shared" si="0"/>
        <v>6.4560386400900001</v>
      </c>
      <c r="D9" s="151"/>
      <c r="E9" s="19"/>
      <c r="F9" s="15"/>
      <c r="G9" s="146"/>
    </row>
    <row r="10" spans="1:7">
      <c r="A10" s="149" t="s">
        <v>276</v>
      </c>
      <c r="B10" s="153">
        <f t="shared" si="0"/>
        <v>59.275967620142566</v>
      </c>
      <c r="C10" s="153">
        <f t="shared" si="0"/>
        <v>60.234449857442542</v>
      </c>
      <c r="D10" s="151"/>
      <c r="E10" s="19"/>
      <c r="F10" s="15"/>
      <c r="G10" s="146"/>
    </row>
    <row r="11" spans="1:7">
      <c r="A11" s="149"/>
      <c r="B11" s="153"/>
      <c r="C11" s="153"/>
      <c r="D11" s="151"/>
      <c r="E11" s="19"/>
      <c r="F11" s="15"/>
      <c r="G11" s="146"/>
    </row>
    <row r="12" spans="1:7">
      <c r="A12" s="140"/>
      <c r="B12" s="140"/>
      <c r="C12" s="140"/>
      <c r="D12" s="140"/>
      <c r="E12" s="19"/>
      <c r="F12" s="15"/>
      <c r="G12" s="146"/>
    </row>
    <row r="13" spans="1:7">
      <c r="A13" s="156" t="s">
        <v>17</v>
      </c>
      <c r="B13" s="157">
        <f>'Weekly Valuation'!D25/1000000000</f>
        <v>42.622857191780405</v>
      </c>
      <c r="C13" s="158">
        <f>'Weekly Valuation'!K25/1000000000</f>
        <v>45.399164105915702</v>
      </c>
      <c r="D13" s="140"/>
      <c r="E13" s="19"/>
      <c r="F13" s="15"/>
      <c r="G13" s="146"/>
    </row>
    <row r="14" spans="1:7">
      <c r="A14" s="159" t="s">
        <v>54</v>
      </c>
      <c r="B14" s="157">
        <f>'Weekly Valuation'!D69/1000000000</f>
        <v>3096.1272959019284</v>
      </c>
      <c r="C14" s="160">
        <f>'Weekly Valuation'!K69/1000000000</f>
        <v>3113.1674255467333</v>
      </c>
      <c r="D14" s="140"/>
      <c r="E14" s="19"/>
      <c r="F14" s="15"/>
      <c r="G14" s="146"/>
    </row>
    <row r="15" spans="1:7">
      <c r="A15" s="159" t="s">
        <v>274</v>
      </c>
      <c r="B15" s="157">
        <f>'Weekly Valuation'!D110/1000000000</f>
        <v>202.34128740003243</v>
      </c>
      <c r="C15" s="158">
        <f>'Weekly Valuation'!K110/1000000000</f>
        <v>210.0706640520512</v>
      </c>
      <c r="D15" s="140"/>
      <c r="E15" s="19"/>
      <c r="F15" s="15"/>
      <c r="G15" s="146"/>
    </row>
    <row r="16" spans="1:7">
      <c r="A16" s="159" t="s">
        <v>154</v>
      </c>
      <c r="B16" s="157">
        <f>'Weekly Valuation'!D150/1000000000</f>
        <v>1913.2204783341815</v>
      </c>
      <c r="C16" s="160">
        <f>'Weekly Valuation'!K150/1000000000</f>
        <v>1920.9563961769661</v>
      </c>
      <c r="D16" s="140"/>
      <c r="E16" s="19"/>
      <c r="F16" s="15"/>
      <c r="G16" s="146"/>
    </row>
    <row r="17" spans="1:7">
      <c r="A17" s="159" t="s">
        <v>275</v>
      </c>
      <c r="B17" s="157">
        <f>'Weekly Valuation'!D159/1000000000</f>
        <v>357.62960804217528</v>
      </c>
      <c r="C17" s="158">
        <f>'Weekly Valuation'!K159/1000000000</f>
        <v>358.53577928737019</v>
      </c>
      <c r="D17" s="140"/>
      <c r="E17" s="19"/>
      <c r="F17" s="15"/>
      <c r="G17" s="146"/>
    </row>
    <row r="18" spans="1:7">
      <c r="A18" s="159" t="s">
        <v>191</v>
      </c>
      <c r="B18" s="157">
        <f>'Weekly Valuation'!D190/1000000000</f>
        <v>61.694711710161478</v>
      </c>
      <c r="C18" s="161">
        <f>'Weekly Valuation'!K190/1000000000</f>
        <v>63.650811988436374</v>
      </c>
      <c r="D18" s="140"/>
      <c r="E18" s="19"/>
      <c r="F18" s="15"/>
      <c r="G18" s="146"/>
    </row>
    <row r="19" spans="1:7">
      <c r="A19" s="159" t="s">
        <v>221</v>
      </c>
      <c r="B19" s="157">
        <f>'Weekly Valuation'!D195/1000000000</f>
        <v>6.1616376344500008</v>
      </c>
      <c r="C19" s="158">
        <f>'Weekly Valuation'!K195/1000000000</f>
        <v>6.4560386400900001</v>
      </c>
      <c r="D19" s="140"/>
      <c r="E19" s="19"/>
      <c r="F19" s="15"/>
      <c r="G19" s="146"/>
    </row>
    <row r="20" spans="1:7">
      <c r="A20" s="159" t="s">
        <v>276</v>
      </c>
      <c r="B20" s="157">
        <f>'Weekly Valuation'!D221/1000000000</f>
        <v>59.275967620142566</v>
      </c>
      <c r="C20" s="158">
        <f>'Weekly Valuation'!K221/1000000000</f>
        <v>60.234449857442542</v>
      </c>
      <c r="D20" s="140"/>
      <c r="E20" s="19"/>
      <c r="F20" s="15"/>
      <c r="G20" s="146"/>
    </row>
    <row r="21" spans="1:7">
      <c r="A21" s="137"/>
      <c r="B21" s="140"/>
      <c r="C21" s="162"/>
      <c r="D21" s="140"/>
      <c r="E21" s="19"/>
      <c r="F21" s="15"/>
      <c r="G21" s="146"/>
    </row>
    <row r="22" spans="1:7">
      <c r="A22" s="137"/>
      <c r="B22" s="140"/>
      <c r="C22" s="138"/>
      <c r="D22" s="140"/>
      <c r="E22" s="19"/>
      <c r="F22" s="15"/>
      <c r="G22" s="146"/>
    </row>
    <row r="23" spans="1:7">
      <c r="A23" s="186"/>
      <c r="B23" s="148"/>
      <c r="C23" s="187"/>
      <c r="D23" s="15"/>
      <c r="E23" s="15"/>
      <c r="F23" s="15"/>
      <c r="G23" s="146"/>
    </row>
    <row r="24" spans="1:7">
      <c r="A24" s="186"/>
      <c r="B24" s="148"/>
      <c r="C24" s="148"/>
      <c r="D24" s="15"/>
      <c r="E24" s="15"/>
      <c r="F24" s="15"/>
      <c r="G24" s="146"/>
    </row>
    <row r="25" spans="1:7">
      <c r="A25" s="186"/>
      <c r="B25" s="148"/>
      <c r="C25" s="148"/>
      <c r="D25" s="15"/>
      <c r="E25" s="15"/>
      <c r="F25" s="15"/>
      <c r="G25" s="146"/>
    </row>
    <row r="26" spans="1:7">
      <c r="A26" s="186"/>
      <c r="B26" s="148"/>
      <c r="C26" s="148"/>
      <c r="D26" s="15"/>
      <c r="E26" s="15"/>
      <c r="F26" s="15"/>
      <c r="G26" s="146"/>
    </row>
    <row r="27" spans="1:7">
      <c r="A27" s="186"/>
      <c r="B27" s="148"/>
      <c r="C27" s="148"/>
      <c r="D27" s="15"/>
      <c r="E27" s="15"/>
      <c r="F27" s="15"/>
      <c r="G27" s="146"/>
    </row>
    <row r="28" spans="1:7">
      <c r="A28" s="15"/>
      <c r="B28" s="15"/>
      <c r="C28" s="15"/>
      <c r="D28" s="15"/>
      <c r="E28" s="15"/>
      <c r="F28" s="15"/>
    </row>
    <row r="29" spans="1:7">
      <c r="A29" s="15"/>
      <c r="B29" s="15"/>
      <c r="C29" s="15"/>
      <c r="D29" s="15"/>
      <c r="E29" s="15"/>
      <c r="F29" s="15"/>
    </row>
  </sheetData>
  <sheetProtection algorithmName="SHA-512" hashValue="KAoYshKlyRQXZAKM05MWBR3SdslwuGZurKERZAO8dUDnpy12cD5Wfhh6oUlxYnmjBNRqcYnR5U49cbgi90X4NA==" saltValue="x1hFj6BSUidiTJEPPK83P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G12" sqref="G12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63" t="s">
        <v>273</v>
      </c>
      <c r="B1" s="164">
        <v>45828</v>
      </c>
      <c r="C1" s="1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37" t="s">
        <v>221</v>
      </c>
      <c r="B2" s="138">
        <f>'Weekly Valuation'!K195</f>
        <v>6456038640.0900002</v>
      </c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37" t="s">
        <v>17</v>
      </c>
      <c r="B3" s="138">
        <f>'Weekly Valuation'!K25</f>
        <v>45399164105.915703</v>
      </c>
      <c r="C3" s="19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37" t="s">
        <v>276</v>
      </c>
      <c r="B4" s="139">
        <f>'Weekly Valuation'!K221</f>
        <v>60234449857.442543</v>
      </c>
      <c r="C4" s="19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37" t="s">
        <v>191</v>
      </c>
      <c r="B5" s="138">
        <f>'Weekly Valuation'!K190</f>
        <v>63650811988.436371</v>
      </c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37" t="s">
        <v>275</v>
      </c>
      <c r="B6" s="138">
        <f>'Weekly Valuation'!K159</f>
        <v>358535779287.37018</v>
      </c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37" t="s">
        <v>274</v>
      </c>
      <c r="B7" s="138">
        <f>'Weekly Valuation'!K110</f>
        <v>210070664052.05121</v>
      </c>
      <c r="C7" s="19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37" t="s">
        <v>154</v>
      </c>
      <c r="B8" s="162">
        <f>'Weekly Valuation'!K150</f>
        <v>1920956396176.9661</v>
      </c>
      <c r="C8" s="1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37" t="s">
        <v>54</v>
      </c>
      <c r="B9" s="162">
        <f>'Weekly Valuation'!K69</f>
        <v>3113167425546.7334</v>
      </c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40"/>
      <c r="B10" s="140"/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37"/>
      <c r="B11" s="165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37"/>
      <c r="B12" s="19"/>
      <c r="C12" s="1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48"/>
      <c r="B13" s="148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48"/>
      <c r="B14" s="148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85"/>
      <c r="B15" s="18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48"/>
      <c r="B16" s="14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48"/>
      <c r="B17" s="148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4"/>
      <c r="B18" s="14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4"/>
      <c r="B19" s="13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34"/>
      <c r="B20" s="13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86"/>
      <c r="B21" s="13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20"/>
    </row>
    <row r="33" spans="1:17" ht="15" customHeight="1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20"/>
    </row>
  </sheetData>
  <sheetProtection algorithmName="SHA-512" hashValue="xTnF0VcRMyZectn9olGqjX26jQsGFUKaOTvBdiiqFfzTBuP1hGs0zDAc2c2DS0mGrjlWBNIAIfjfedudg3my5A==" saltValue="ehV0L5PVAuR3tL7IRhQGw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E8" sqref="E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9"/>
      <c r="M1" s="15"/>
    </row>
    <row r="2" spans="1:13">
      <c r="A2" s="166" t="s">
        <v>277</v>
      </c>
      <c r="B2" s="167">
        <v>45779</v>
      </c>
      <c r="C2" s="167">
        <v>45786</v>
      </c>
      <c r="D2" s="167">
        <v>45793</v>
      </c>
      <c r="E2" s="167">
        <v>45800</v>
      </c>
      <c r="F2" s="167">
        <v>45807</v>
      </c>
      <c r="G2" s="167">
        <v>45813</v>
      </c>
      <c r="H2" s="167">
        <v>45821</v>
      </c>
      <c r="I2" s="167">
        <v>45828</v>
      </c>
      <c r="J2" s="19"/>
      <c r="K2" s="15"/>
      <c r="L2" s="19"/>
      <c r="M2" s="15"/>
    </row>
    <row r="3" spans="1:13">
      <c r="A3" s="166" t="s">
        <v>278</v>
      </c>
      <c r="B3" s="168">
        <f t="shared" ref="B3:I3" si="0">B4</f>
        <v>5212.4190322973518</v>
      </c>
      <c r="C3" s="168">
        <f t="shared" si="0"/>
        <v>5297.7036669070822</v>
      </c>
      <c r="D3" s="168">
        <f t="shared" si="0"/>
        <v>5600.7611033252406</v>
      </c>
      <c r="E3" s="168">
        <f t="shared" si="0"/>
        <v>5614.7878514083422</v>
      </c>
      <c r="F3" s="168">
        <f t="shared" si="0"/>
        <v>5661.0011217265082</v>
      </c>
      <c r="G3" s="168">
        <f t="shared" si="0"/>
        <v>5706.8748281549615</v>
      </c>
      <c r="H3" s="168">
        <f t="shared" si="0"/>
        <v>5739.2216808320509</v>
      </c>
      <c r="I3" s="168">
        <f t="shared" si="0"/>
        <v>5778.470729655005</v>
      </c>
      <c r="J3" s="19"/>
      <c r="K3" s="15"/>
      <c r="L3" s="19"/>
      <c r="M3" s="15"/>
    </row>
    <row r="4" spans="1:13">
      <c r="A4" s="19"/>
      <c r="B4" s="169">
        <f>'NAV Trend'!C10/1000000000</f>
        <v>5212.4190322973518</v>
      </c>
      <c r="C4" s="169">
        <f>'NAV Trend'!D10/1000000000</f>
        <v>5297.7036669070822</v>
      </c>
      <c r="D4" s="169">
        <f>'NAV Trend'!E10/1000000000</f>
        <v>5600.7611033252406</v>
      </c>
      <c r="E4" s="169">
        <f>'NAV Trend'!F10/1000000000</f>
        <v>5614.7878514083422</v>
      </c>
      <c r="F4" s="169">
        <f>'NAV Trend'!G10/1000000000</f>
        <v>5661.0011217265082</v>
      </c>
      <c r="G4" s="169">
        <f>'NAV Trend'!H10/1000000000</f>
        <v>5706.8748281549615</v>
      </c>
      <c r="H4" s="170">
        <f>'NAV Trend'!I10/1000000000</f>
        <v>5739.2216808320509</v>
      </c>
      <c r="I4" s="170">
        <f>'NAV Trend'!J10/1000000000</f>
        <v>5778.470729655005</v>
      </c>
      <c r="J4" s="19"/>
      <c r="K4" s="15"/>
      <c r="L4" s="19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9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9"/>
      <c r="M6" s="13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9"/>
      <c r="M7" s="13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9"/>
      <c r="M8" s="13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3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TUYOnqSNR0S8LhNXFtTsR1psD4NJ8PQqWWWg/o84HaVAhUwWGnbtnftDM8gWYzBvZYJLUuuKLwmHOd0C3vCd0Q==" saltValue="qVThv44FqxbX7sUGTjgBB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F8" sqref="F8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  <c r="N1" s="15"/>
    </row>
    <row r="2" spans="1:14">
      <c r="A2" s="166" t="s">
        <v>277</v>
      </c>
      <c r="B2" s="167">
        <v>45779</v>
      </c>
      <c r="C2" s="167">
        <v>45786</v>
      </c>
      <c r="D2" s="167">
        <v>45793</v>
      </c>
      <c r="E2" s="167">
        <v>45800</v>
      </c>
      <c r="F2" s="167">
        <v>45807</v>
      </c>
      <c r="G2" s="167">
        <v>45813</v>
      </c>
      <c r="H2" s="167">
        <v>45821</v>
      </c>
      <c r="I2" s="167">
        <v>45828</v>
      </c>
      <c r="J2" s="19"/>
      <c r="K2" s="15"/>
      <c r="L2" s="15"/>
      <c r="M2" s="15"/>
      <c r="N2" s="15"/>
    </row>
    <row r="3" spans="1:14">
      <c r="A3" s="166" t="s">
        <v>279</v>
      </c>
      <c r="B3" s="168">
        <f t="shared" ref="B3:I3" si="0">B4</f>
        <v>13.564027253040001</v>
      </c>
      <c r="C3" s="168">
        <f t="shared" si="0"/>
        <v>13.89362105705</v>
      </c>
      <c r="D3" s="168">
        <f t="shared" si="0"/>
        <v>13.906596090597997</v>
      </c>
      <c r="E3" s="168">
        <f t="shared" si="0"/>
        <v>13.574054999743</v>
      </c>
      <c r="F3" s="168">
        <f t="shared" si="0"/>
        <v>13.663574619923001</v>
      </c>
      <c r="G3" s="168">
        <f t="shared" si="0"/>
        <v>13.910462089520001</v>
      </c>
      <c r="H3" s="168">
        <f t="shared" si="0"/>
        <v>14.097996343838002</v>
      </c>
      <c r="I3" s="168">
        <f t="shared" si="0"/>
        <v>14.438197157056999</v>
      </c>
      <c r="J3" s="19"/>
      <c r="K3" s="15"/>
      <c r="L3" s="15"/>
      <c r="M3" s="15"/>
      <c r="N3" s="15"/>
    </row>
    <row r="4" spans="1:14">
      <c r="A4" s="19"/>
      <c r="B4" s="169">
        <f>'NAV Trend'!C16/1000000000</f>
        <v>13.564027253040001</v>
      </c>
      <c r="C4" s="169">
        <f>'NAV Trend'!D16/1000000000</f>
        <v>13.89362105705</v>
      </c>
      <c r="D4" s="169">
        <f>'NAV Trend'!E16/1000000000</f>
        <v>13.906596090597997</v>
      </c>
      <c r="E4" s="169">
        <f>'NAV Trend'!F16/1000000000</f>
        <v>13.574054999743</v>
      </c>
      <c r="F4" s="169">
        <f>'NAV Trend'!G16/1000000000</f>
        <v>13.663574619923001</v>
      </c>
      <c r="G4" s="169">
        <f>'NAV Trend'!H16/1000000000</f>
        <v>13.910462089520001</v>
      </c>
      <c r="H4" s="169">
        <f>'NAV Trend'!I16/1000000000</f>
        <v>14.097996343838002</v>
      </c>
      <c r="I4" s="170">
        <f>'NAV Trend'!J16/1000000000</f>
        <v>14.438197157056999</v>
      </c>
      <c r="J4" s="19"/>
      <c r="K4" s="15"/>
      <c r="L4" s="15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  <c r="M6" s="15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5"/>
      <c r="M7" s="15"/>
      <c r="N7" s="15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TPncssAzU8e1bPaLOQszt8ZISiatFLyN2ZUh9Uy4/PjcUKVGwntcwMKiKspjY9GgPiz+7rEyFDQwGk3VaRKHXA==" saltValue="6MZqv1yiRCuwM23Fu4QOo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45772</v>
      </c>
      <c r="C1" s="2">
        <v>45779</v>
      </c>
      <c r="D1" s="2">
        <v>45786</v>
      </c>
      <c r="E1" s="2">
        <v>45793</v>
      </c>
      <c r="F1" s="2">
        <v>45800</v>
      </c>
      <c r="G1" s="2">
        <v>45807</v>
      </c>
      <c r="H1" s="2">
        <v>45813</v>
      </c>
      <c r="I1" s="2">
        <v>45821</v>
      </c>
      <c r="J1" s="2">
        <v>45828</v>
      </c>
    </row>
    <row r="2" spans="1:11">
      <c r="A2" s="3" t="s">
        <v>17</v>
      </c>
      <c r="B2" s="4">
        <v>37720290975.739998</v>
      </c>
      <c r="C2" s="4">
        <v>38729991583.780006</v>
      </c>
      <c r="D2" s="4">
        <v>40052509206.349998</v>
      </c>
      <c r="E2" s="4">
        <v>40696491951.950005</v>
      </c>
      <c r="F2" s="4">
        <v>41222274085.630005</v>
      </c>
      <c r="G2" s="4">
        <v>41941704345.110001</v>
      </c>
      <c r="H2" s="4">
        <v>42835043182.520004</v>
      </c>
      <c r="I2" s="4">
        <v>42622857191.780403</v>
      </c>
      <c r="J2" s="4">
        <v>45399164105.915703</v>
      </c>
    </row>
    <row r="3" spans="1:11">
      <c r="A3" s="3" t="s">
        <v>54</v>
      </c>
      <c r="B3" s="4">
        <v>2723282785142.8521</v>
      </c>
      <c r="C3" s="4">
        <v>2781211975883.1699</v>
      </c>
      <c r="D3" s="4">
        <v>2849135060100.6763</v>
      </c>
      <c r="E3" s="4">
        <v>2909623160997.8462</v>
      </c>
      <c r="F3" s="4">
        <v>2955969352323.3311</v>
      </c>
      <c r="G3" s="4">
        <v>2990664241362.4419</v>
      </c>
      <c r="H3" s="4">
        <v>3044846889135.2236</v>
      </c>
      <c r="I3" s="4">
        <v>3096275132899.1284</v>
      </c>
      <c r="J3" s="4">
        <v>3113167425546.7334</v>
      </c>
    </row>
    <row r="4" spans="1:11">
      <c r="A4" s="3" t="s">
        <v>274</v>
      </c>
      <c r="B4" s="5">
        <v>208855945686.08514</v>
      </c>
      <c r="C4" s="5">
        <v>207828394902.42545</v>
      </c>
      <c r="D4" s="5">
        <v>208791291417.70242</v>
      </c>
      <c r="E4" s="5">
        <v>208401438383.2999</v>
      </c>
      <c r="F4" s="5">
        <v>209025769943.79047</v>
      </c>
      <c r="G4" s="5">
        <v>209159742342.28909</v>
      </c>
      <c r="H4" s="5">
        <v>210586835111.91571</v>
      </c>
      <c r="I4" s="5">
        <v>202341287400.03244</v>
      </c>
      <c r="J4" s="5">
        <v>210070664052.05121</v>
      </c>
    </row>
    <row r="5" spans="1:11">
      <c r="A5" s="3" t="s">
        <v>154</v>
      </c>
      <c r="B5" s="4">
        <v>1938221468200.9041</v>
      </c>
      <c r="C5" s="4">
        <v>1957941795296.7214</v>
      </c>
      <c r="D5" s="4">
        <v>1970845618406.8262</v>
      </c>
      <c r="E5" s="4">
        <v>1962901357676.8562</v>
      </c>
      <c r="F5" s="4">
        <v>1929073604440.7039</v>
      </c>
      <c r="G5" s="4">
        <v>1938034504366.4832</v>
      </c>
      <c r="H5" s="4">
        <v>1924601424924.0278</v>
      </c>
      <c r="I5" s="4">
        <v>1913220478334.1814</v>
      </c>
      <c r="J5" s="4">
        <v>1920956396176.9661</v>
      </c>
    </row>
    <row r="6" spans="1:11">
      <c r="A6" s="3" t="s">
        <v>275</v>
      </c>
      <c r="B6" s="6">
        <v>102301113357.0766</v>
      </c>
      <c r="C6" s="6">
        <v>102351541673.75938</v>
      </c>
      <c r="D6" s="6">
        <v>102440757490.53162</v>
      </c>
      <c r="E6" s="6">
        <v>353913355615.99237</v>
      </c>
      <c r="F6" s="6">
        <v>354567498315.10614</v>
      </c>
      <c r="G6" s="6">
        <v>355725329056.43384</v>
      </c>
      <c r="H6" s="6">
        <v>356681164790.01733</v>
      </c>
      <c r="I6" s="6">
        <v>357629608042.17529</v>
      </c>
      <c r="J6" s="6">
        <v>358535779287.37018</v>
      </c>
    </row>
    <row r="7" spans="1:11">
      <c r="A7" s="3" t="s">
        <v>191</v>
      </c>
      <c r="B7" s="7">
        <v>58607779909.068443</v>
      </c>
      <c r="C7" s="7">
        <v>59306649006.764648</v>
      </c>
      <c r="D7" s="7">
        <v>60348931993.098541</v>
      </c>
      <c r="E7" s="7">
        <v>60537200481.56192</v>
      </c>
      <c r="F7" s="7">
        <v>60839325442.61261</v>
      </c>
      <c r="G7" s="7">
        <v>60841613029.135788</v>
      </c>
      <c r="H7" s="7">
        <v>61815946486.813843</v>
      </c>
      <c r="I7" s="7">
        <v>61694711710.161476</v>
      </c>
      <c r="J7" s="7">
        <v>63650811988.436371</v>
      </c>
    </row>
    <row r="8" spans="1:11">
      <c r="A8" s="3" t="s">
        <v>221</v>
      </c>
      <c r="B8" s="6">
        <v>6859652223.0999994</v>
      </c>
      <c r="C8" s="6">
        <v>6938267747.5299997</v>
      </c>
      <c r="D8" s="6">
        <v>7090375954.5700006</v>
      </c>
      <c r="E8" s="6">
        <v>5933942499.0900002</v>
      </c>
      <c r="F8" s="6">
        <v>5993726972.2399998</v>
      </c>
      <c r="G8" s="6">
        <v>5992665978.8000002</v>
      </c>
      <c r="H8" s="6">
        <v>6131520024.7600002</v>
      </c>
      <c r="I8" s="6">
        <v>6161637634.4500008</v>
      </c>
      <c r="J8" s="6">
        <v>6456038640.0900002</v>
      </c>
    </row>
    <row r="9" spans="1:11">
      <c r="A9" s="3" t="s">
        <v>276</v>
      </c>
      <c r="B9" s="6">
        <v>57662772566.107521</v>
      </c>
      <c r="C9" s="6">
        <v>58110416203.200249</v>
      </c>
      <c r="D9" s="6">
        <v>58999122337.327522</v>
      </c>
      <c r="E9" s="6">
        <v>58754155718.644669</v>
      </c>
      <c r="F9" s="6">
        <v>58096299884.927956</v>
      </c>
      <c r="G9" s="6">
        <v>58641321245.814735</v>
      </c>
      <c r="H9" s="6">
        <v>59376004499.683235</v>
      </c>
      <c r="I9" s="6">
        <v>59275967620.142563</v>
      </c>
      <c r="J9" s="6">
        <v>60234449857.442543</v>
      </c>
    </row>
    <row r="10" spans="1:11" ht="15.6">
      <c r="A10" s="8" t="s">
        <v>280</v>
      </c>
      <c r="B10" s="9">
        <f t="shared" ref="B10:J10" si="0">SUM(B2:B9)</f>
        <v>5133511808060.9326</v>
      </c>
      <c r="C10" s="9">
        <f t="shared" si="0"/>
        <v>5212419032297.3516</v>
      </c>
      <c r="D10" s="9">
        <f t="shared" si="0"/>
        <v>5297703666907.082</v>
      </c>
      <c r="E10" s="9">
        <f t="shared" si="0"/>
        <v>5600761103325.2402</v>
      </c>
      <c r="F10" s="9">
        <f t="shared" si="0"/>
        <v>5614787851408.3418</v>
      </c>
      <c r="G10" s="9">
        <f t="shared" si="0"/>
        <v>5661001121726.5078</v>
      </c>
      <c r="H10" s="9">
        <f t="shared" si="0"/>
        <v>5706874828154.9619</v>
      </c>
      <c r="I10" s="9">
        <f t="shared" si="0"/>
        <v>5739221680832.0508</v>
      </c>
      <c r="J10" s="9">
        <f t="shared" si="0"/>
        <v>5778470729655.0049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2" t="s">
        <v>282</v>
      </c>
      <c r="C12" s="13">
        <f>(B10+C10)/2</f>
        <v>5172965420179.1426</v>
      </c>
      <c r="D12" s="14">
        <f t="shared" ref="D12:J12" si="1">(C10+D10)/2</f>
        <v>5255061349602.2168</v>
      </c>
      <c r="E12" s="14">
        <f t="shared" si="1"/>
        <v>5449232385116.1611</v>
      </c>
      <c r="F12" s="14">
        <f t="shared" si="1"/>
        <v>5607774477366.791</v>
      </c>
      <c r="G12" s="14">
        <f t="shared" si="1"/>
        <v>5637894486567.4248</v>
      </c>
      <c r="H12" s="14">
        <f t="shared" si="1"/>
        <v>5683937974940.7344</v>
      </c>
      <c r="I12" s="14">
        <f t="shared" si="1"/>
        <v>5723048254493.5059</v>
      </c>
      <c r="J12" s="14">
        <f t="shared" si="1"/>
        <v>5758846205243.5273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45772</v>
      </c>
      <c r="C15" s="2">
        <v>45779</v>
      </c>
      <c r="D15" s="2">
        <v>45786</v>
      </c>
      <c r="E15" s="2">
        <v>45793</v>
      </c>
      <c r="F15" s="2">
        <v>45800</v>
      </c>
      <c r="G15" s="2">
        <v>45807</v>
      </c>
      <c r="H15" s="2">
        <v>45813</v>
      </c>
      <c r="I15" s="2">
        <v>45821</v>
      </c>
      <c r="J15" s="2">
        <v>45828</v>
      </c>
      <c r="K15" s="15"/>
    </row>
    <row r="16" spans="1:11">
      <c r="A16" s="16" t="s">
        <v>283</v>
      </c>
      <c r="B16" s="17">
        <v>13511956801.399998</v>
      </c>
      <c r="C16" s="17">
        <v>13564027253.040001</v>
      </c>
      <c r="D16" s="17">
        <v>13893621057.049999</v>
      </c>
      <c r="E16" s="17">
        <v>13906596090.597998</v>
      </c>
      <c r="F16" s="17">
        <v>13574054999.743</v>
      </c>
      <c r="G16" s="17">
        <v>13663574619.923</v>
      </c>
      <c r="H16" s="17">
        <v>13910462089.52</v>
      </c>
      <c r="I16" s="17">
        <v>14097996343.838001</v>
      </c>
      <c r="J16" s="17">
        <v>14438197157.056999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2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1CgRbWgPgBQzdeYdRbG0ZkAu67pBQuaA6Ir+DeSWVtmi3PMpTOrEYDBdv12AWuMGIsX1i9Fg6siE6oh6TIuYEA==" saltValue="aJmYqqO8BPmDMGV2JhBt5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2025-06-26T13:24:43Z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