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 concurrentCalc="0"/>
</workbook>
</file>

<file path=xl/calcChain.xml><?xml version="1.0" encoding="utf-8"?>
<calcChain xmlns="http://schemas.openxmlformats.org/spreadsheetml/2006/main">
  <c r="V233" i="1" l="1"/>
  <c r="N227" i="1"/>
  <c r="M227" i="1"/>
  <c r="K227" i="1"/>
  <c r="N124" i="1"/>
  <c r="N123" i="1"/>
  <c r="M124" i="1"/>
  <c r="M123" i="1"/>
  <c r="K124" i="1"/>
  <c r="K123" i="1"/>
  <c r="N149" i="1"/>
  <c r="M149" i="1"/>
  <c r="K149" i="1"/>
  <c r="M125" i="1"/>
  <c r="N125" i="1"/>
  <c r="K125" i="1"/>
  <c r="N126" i="1"/>
  <c r="M126" i="1"/>
  <c r="K126" i="1"/>
  <c r="N134" i="1"/>
  <c r="M134" i="1"/>
  <c r="K134" i="1"/>
  <c r="N133" i="1"/>
  <c r="M133" i="1"/>
  <c r="K133" i="1"/>
  <c r="N141" i="1"/>
  <c r="M141" i="1"/>
  <c r="N145" i="1"/>
  <c r="M145" i="1"/>
  <c r="K145" i="1"/>
  <c r="N119" i="1"/>
  <c r="M119" i="1"/>
  <c r="K119" i="1"/>
  <c r="N118" i="1"/>
  <c r="M118" i="1"/>
  <c r="K118" i="1"/>
  <c r="N143" i="1"/>
  <c r="M143" i="1"/>
  <c r="K143" i="1"/>
  <c r="N121" i="1"/>
  <c r="M121" i="1"/>
  <c r="K121" i="1"/>
  <c r="N120" i="1"/>
  <c r="M120" i="1"/>
  <c r="K120" i="1"/>
  <c r="N225" i="1"/>
  <c r="M225" i="1"/>
  <c r="K225" i="1"/>
  <c r="V226" i="1"/>
  <c r="U226" i="1"/>
  <c r="T226" i="1"/>
  <c r="S226" i="1"/>
  <c r="R226" i="1"/>
  <c r="K229" i="1"/>
  <c r="L226" i="1"/>
  <c r="E226" i="1"/>
  <c r="N117" i="1"/>
  <c r="M117" i="1"/>
  <c r="K117" i="1"/>
  <c r="N116" i="1"/>
  <c r="M116" i="1"/>
  <c r="K116" i="1"/>
  <c r="N114" i="1"/>
  <c r="M114" i="1"/>
  <c r="K114" i="1"/>
  <c r="N136" i="1"/>
  <c r="M136" i="1"/>
  <c r="K136" i="1"/>
  <c r="N146" i="1"/>
  <c r="M146" i="1"/>
  <c r="K146" i="1"/>
  <c r="N130" i="1"/>
  <c r="M130" i="1"/>
  <c r="K130" i="1"/>
  <c r="N142" i="1"/>
  <c r="M142" i="1"/>
  <c r="K142" i="1"/>
  <c r="N139" i="1"/>
  <c r="M139" i="1"/>
  <c r="K139" i="1"/>
  <c r="N127" i="1"/>
  <c r="K127" i="1"/>
  <c r="N140" i="1"/>
  <c r="M140" i="1"/>
  <c r="K140" i="1"/>
  <c r="K115" i="1"/>
  <c r="N128" i="1"/>
  <c r="M128" i="1"/>
  <c r="K128" i="1"/>
  <c r="N148" i="1"/>
  <c r="M148" i="1"/>
  <c r="K148" i="1"/>
  <c r="K150" i="1"/>
  <c r="L148" i="1"/>
  <c r="N138" i="1"/>
  <c r="M138" i="1"/>
  <c r="N129" i="1"/>
  <c r="M129" i="1"/>
  <c r="K129" i="1"/>
  <c r="G227" i="1"/>
  <c r="F227" i="1"/>
  <c r="D227" i="1"/>
  <c r="U142" i="1"/>
  <c r="V142" i="1"/>
  <c r="N115" i="1"/>
  <c r="M115" i="1"/>
  <c r="M127" i="1"/>
  <c r="R227" i="1"/>
  <c r="S227" i="1"/>
  <c r="T227" i="1"/>
  <c r="U227" i="1"/>
  <c r="V227" i="1"/>
  <c r="D221" i="1"/>
  <c r="E227" i="1"/>
  <c r="V53" i="1"/>
  <c r="U53" i="1"/>
  <c r="T53" i="1"/>
  <c r="S53" i="1"/>
  <c r="R53" i="1"/>
  <c r="R148" i="1"/>
  <c r="S148" i="1"/>
  <c r="V148" i="1"/>
  <c r="U148" i="1"/>
  <c r="T148" i="1"/>
  <c r="R166" i="1"/>
  <c r="S166" i="1"/>
  <c r="T166" i="1"/>
  <c r="U166" i="1"/>
  <c r="V166" i="1"/>
  <c r="R143" i="1"/>
  <c r="S143" i="1"/>
  <c r="V143" i="1"/>
  <c r="U143" i="1"/>
  <c r="T143" i="1"/>
  <c r="R59" i="1"/>
  <c r="V59" i="1"/>
  <c r="U59" i="1"/>
  <c r="S59" i="1"/>
  <c r="T59" i="1"/>
  <c r="R32" i="1"/>
  <c r="V32" i="1"/>
  <c r="U32" i="1"/>
  <c r="T32" i="1"/>
  <c r="S32" i="1"/>
  <c r="R125" i="1"/>
  <c r="S125" i="1"/>
  <c r="T137" i="1"/>
  <c r="V125" i="1"/>
  <c r="U125" i="1"/>
  <c r="T125" i="1"/>
  <c r="R46" i="1"/>
  <c r="S46" i="1"/>
  <c r="T46" i="1"/>
  <c r="U46" i="1"/>
  <c r="V46" i="1"/>
  <c r="O229" i="1"/>
  <c r="H229" i="1"/>
  <c r="D229" i="1"/>
  <c r="V225" i="1"/>
  <c r="U225" i="1"/>
  <c r="T225" i="1"/>
  <c r="S225" i="1"/>
  <c r="R225" i="1"/>
  <c r="L225" i="1"/>
  <c r="L227" i="1"/>
  <c r="R136" i="1"/>
  <c r="V136" i="1"/>
  <c r="U136" i="1"/>
  <c r="T136" i="1"/>
  <c r="S136" i="1"/>
  <c r="V83" i="1"/>
  <c r="U83" i="1"/>
  <c r="T83" i="1"/>
  <c r="S83" i="1"/>
  <c r="R83" i="1"/>
  <c r="R171" i="1"/>
  <c r="V23" i="1"/>
  <c r="U23" i="1"/>
  <c r="T23" i="1"/>
  <c r="S23" i="1"/>
  <c r="R23" i="1"/>
  <c r="O221" i="1"/>
  <c r="K221" i="1"/>
  <c r="L204" i="1"/>
  <c r="H221" i="1"/>
  <c r="V220" i="1"/>
  <c r="U220" i="1"/>
  <c r="T220" i="1"/>
  <c r="S220" i="1"/>
  <c r="R220" i="1"/>
  <c r="L220" i="1"/>
  <c r="L214" i="1"/>
  <c r="E220" i="1"/>
  <c r="E225" i="1"/>
  <c r="R31" i="1"/>
  <c r="B8" i="3"/>
  <c r="L143" i="1"/>
  <c r="L135" i="1"/>
  <c r="L125" i="1"/>
  <c r="R117" i="1"/>
  <c r="S117" i="1"/>
  <c r="T117" i="1"/>
  <c r="U117" i="1"/>
  <c r="V117" i="1"/>
  <c r="R54" i="1"/>
  <c r="R213" i="1"/>
  <c r="V205" i="1"/>
  <c r="U205" i="1"/>
  <c r="T205" i="1"/>
  <c r="S205" i="1"/>
  <c r="R205" i="1"/>
  <c r="R145" i="1"/>
  <c r="S145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R95" i="1"/>
  <c r="V34" i="1"/>
  <c r="U34" i="1"/>
  <c r="T34" i="1"/>
  <c r="S34" i="1"/>
  <c r="R34" i="1"/>
  <c r="V77" i="1"/>
  <c r="V50" i="1"/>
  <c r="U50" i="1"/>
  <c r="T50" i="1"/>
  <c r="S50" i="1"/>
  <c r="R50" i="1"/>
  <c r="J10" i="4"/>
  <c r="I4" i="5"/>
  <c r="I3" i="5"/>
  <c r="I10" i="4"/>
  <c r="H10" i="4"/>
  <c r="G4" i="5"/>
  <c r="G3" i="5"/>
  <c r="G10" i="4"/>
  <c r="F10" i="4"/>
  <c r="E4" i="5"/>
  <c r="E3" i="5"/>
  <c r="E10" i="4"/>
  <c r="D10" i="4"/>
  <c r="C10" i="4"/>
  <c r="B4" i="5"/>
  <c r="B3" i="5"/>
  <c r="B10" i="4"/>
  <c r="I4" i="6"/>
  <c r="I3" i="6"/>
  <c r="H4" i="6"/>
  <c r="H3" i="6"/>
  <c r="G4" i="6"/>
  <c r="G3" i="6"/>
  <c r="F4" i="6"/>
  <c r="F3" i="6"/>
  <c r="E4" i="6"/>
  <c r="E3" i="6"/>
  <c r="D4" i="6"/>
  <c r="D3" i="6"/>
  <c r="C4" i="6"/>
  <c r="C3" i="6"/>
  <c r="B4" i="6"/>
  <c r="B3" i="6"/>
  <c r="F4" i="5"/>
  <c r="F3" i="5"/>
  <c r="V249" i="1"/>
  <c r="U249" i="1"/>
  <c r="S249" i="1"/>
  <c r="O249" i="1"/>
  <c r="K249" i="1"/>
  <c r="H249" i="1"/>
  <c r="D249" i="1"/>
  <c r="E247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O234" i="1"/>
  <c r="K234" i="1"/>
  <c r="L233" i="1"/>
  <c r="H234" i="1"/>
  <c r="D234" i="1"/>
  <c r="E233" i="1"/>
  <c r="U233" i="1"/>
  <c r="T233" i="1"/>
  <c r="S233" i="1"/>
  <c r="R233" i="1"/>
  <c r="V232" i="1"/>
  <c r="U232" i="1"/>
  <c r="T232" i="1"/>
  <c r="S232" i="1"/>
  <c r="R232" i="1"/>
  <c r="L228" i="1"/>
  <c r="V228" i="1"/>
  <c r="U228" i="1"/>
  <c r="T228" i="1"/>
  <c r="S228" i="1"/>
  <c r="R228" i="1"/>
  <c r="V221" i="1"/>
  <c r="U221" i="1"/>
  <c r="S221" i="1"/>
  <c r="V219" i="1"/>
  <c r="U219" i="1"/>
  <c r="T219" i="1"/>
  <c r="S219" i="1"/>
  <c r="R219" i="1"/>
  <c r="V216" i="1"/>
  <c r="U216" i="1"/>
  <c r="T216" i="1"/>
  <c r="S216" i="1"/>
  <c r="R216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6" i="1"/>
  <c r="U196" i="1"/>
  <c r="S196" i="1"/>
  <c r="O196" i="1"/>
  <c r="K196" i="1"/>
  <c r="H196" i="1"/>
  <c r="D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6" i="1"/>
  <c r="V158" i="1"/>
  <c r="U158" i="1"/>
  <c r="S158" i="1"/>
  <c r="O158" i="1"/>
  <c r="K158" i="1"/>
  <c r="B6" i="3"/>
  <c r="H158" i="1"/>
  <c r="D158" i="1"/>
  <c r="E156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R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S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S133" i="1"/>
  <c r="R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V118" i="1"/>
  <c r="U118" i="1"/>
  <c r="T118" i="1"/>
  <c r="S118" i="1"/>
  <c r="R118" i="1"/>
  <c r="V116" i="1"/>
  <c r="U116" i="1"/>
  <c r="T116" i="1"/>
  <c r="S116" i="1"/>
  <c r="V115" i="1"/>
  <c r="U115" i="1"/>
  <c r="T115" i="1"/>
  <c r="S115" i="1"/>
  <c r="V114" i="1"/>
  <c r="U114" i="1"/>
  <c r="T114" i="1"/>
  <c r="R114" i="1"/>
  <c r="S114" i="1"/>
  <c r="V110" i="1"/>
  <c r="U110" i="1"/>
  <c r="S110" i="1"/>
  <c r="O110" i="1"/>
  <c r="K110" i="1"/>
  <c r="H110" i="1"/>
  <c r="D110" i="1"/>
  <c r="E136" i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0" i="1"/>
  <c r="U70" i="1"/>
  <c r="S70" i="1"/>
  <c r="O70" i="1"/>
  <c r="K70" i="1"/>
  <c r="H70" i="1"/>
  <c r="D70" i="1"/>
  <c r="B14" i="2"/>
  <c r="B4" i="2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/>
  <c r="H25" i="1"/>
  <c r="D25" i="1"/>
  <c r="E23" i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59" i="1"/>
  <c r="E53" i="1"/>
  <c r="L53" i="1"/>
  <c r="L168" i="1"/>
  <c r="L166" i="1"/>
  <c r="L79" i="1"/>
  <c r="L109" i="1"/>
  <c r="H12" i="4"/>
  <c r="B9" i="3"/>
  <c r="E59" i="1"/>
  <c r="L105" i="1"/>
  <c r="L45" i="1"/>
  <c r="L36" i="1"/>
  <c r="L32" i="1"/>
  <c r="L93" i="1"/>
  <c r="E12" i="4"/>
  <c r="E46" i="1"/>
  <c r="E32" i="1"/>
  <c r="L104" i="1"/>
  <c r="L35" i="1"/>
  <c r="L46" i="1"/>
  <c r="C12" i="4"/>
  <c r="L98" i="1"/>
  <c r="L81" i="1"/>
  <c r="L23" i="1"/>
  <c r="L15" i="1"/>
  <c r="L83" i="1"/>
  <c r="L136" i="1"/>
  <c r="F12" i="4"/>
  <c r="B15" i="2"/>
  <c r="B5" i="2"/>
  <c r="E83" i="1"/>
  <c r="L44" i="1"/>
  <c r="L88" i="1"/>
  <c r="L90" i="1"/>
  <c r="L62" i="1"/>
  <c r="B20" i="2"/>
  <c r="B10" i="2"/>
  <c r="E205" i="1"/>
  <c r="L209" i="1"/>
  <c r="L205" i="1"/>
  <c r="E189" i="1"/>
  <c r="E177" i="1"/>
  <c r="E164" i="1"/>
  <c r="E187" i="1"/>
  <c r="E175" i="1"/>
  <c r="E162" i="1"/>
  <c r="E182" i="1"/>
  <c r="E170" i="1"/>
  <c r="E180" i="1"/>
  <c r="E185" i="1"/>
  <c r="E173" i="1"/>
  <c r="E163" i="1"/>
  <c r="E172" i="1"/>
  <c r="E178" i="1"/>
  <c r="E165" i="1"/>
  <c r="E184" i="1"/>
  <c r="E183" i="1"/>
  <c r="E171" i="1"/>
  <c r="E168" i="1"/>
  <c r="E188" i="1"/>
  <c r="E176" i="1"/>
  <c r="E181" i="1"/>
  <c r="E169" i="1"/>
  <c r="E179" i="1"/>
  <c r="E167" i="1"/>
  <c r="E186" i="1"/>
  <c r="E174" i="1"/>
  <c r="E161" i="1"/>
  <c r="L182" i="1"/>
  <c r="L170" i="1"/>
  <c r="L180" i="1"/>
  <c r="L187" i="1"/>
  <c r="L175" i="1"/>
  <c r="L162" i="1"/>
  <c r="L185" i="1"/>
  <c r="L178" i="1"/>
  <c r="L165" i="1"/>
  <c r="L172" i="1"/>
  <c r="L173" i="1"/>
  <c r="L183" i="1"/>
  <c r="L171" i="1"/>
  <c r="L169" i="1"/>
  <c r="L188" i="1"/>
  <c r="L176" i="1"/>
  <c r="L163" i="1"/>
  <c r="L184" i="1"/>
  <c r="L177" i="1"/>
  <c r="L181" i="1"/>
  <c r="L164" i="1"/>
  <c r="L186" i="1"/>
  <c r="L174" i="1"/>
  <c r="L161" i="1"/>
  <c r="L179" i="1"/>
  <c r="L167" i="1"/>
  <c r="B2" i="3"/>
  <c r="L194" i="1"/>
  <c r="L34" i="1"/>
  <c r="L12" i="1"/>
  <c r="L106" i="1"/>
  <c r="L74" i="1"/>
  <c r="E14" i="1"/>
  <c r="E34" i="1"/>
  <c r="E50" i="1"/>
  <c r="L50" i="1"/>
  <c r="R229" i="1"/>
  <c r="B5" i="3"/>
  <c r="L21" i="1"/>
  <c r="L7" i="1"/>
  <c r="D4" i="5"/>
  <c r="D3" i="5"/>
  <c r="B4" i="3"/>
  <c r="L207" i="1"/>
  <c r="R249" i="1"/>
  <c r="E245" i="1"/>
  <c r="E243" i="1"/>
  <c r="E241" i="1"/>
  <c r="E8" i="1"/>
  <c r="L216" i="1"/>
  <c r="E201" i="1"/>
  <c r="T249" i="1"/>
  <c r="J12" i="4"/>
  <c r="E12" i="1"/>
  <c r="E10" i="1"/>
  <c r="E6" i="1"/>
  <c r="E18" i="1"/>
  <c r="E206" i="1"/>
  <c r="E232" i="1"/>
  <c r="E239" i="1"/>
  <c r="E88" i="1"/>
  <c r="E22" i="1"/>
  <c r="E49" i="1"/>
  <c r="E20" i="1"/>
  <c r="E16" i="1"/>
  <c r="E76" i="1"/>
  <c r="E108" i="1"/>
  <c r="E104" i="1"/>
  <c r="E79" i="1"/>
  <c r="E102" i="1"/>
  <c r="S149" i="1"/>
  <c r="E237" i="1"/>
  <c r="E248" i="1"/>
  <c r="E100" i="1"/>
  <c r="E98" i="1"/>
  <c r="E81" i="1"/>
  <c r="E73" i="1"/>
  <c r="E75" i="1"/>
  <c r="E154" i="1"/>
  <c r="T196" i="1"/>
  <c r="E94" i="1"/>
  <c r="E86" i="1"/>
  <c r="E106" i="1"/>
  <c r="E92" i="1"/>
  <c r="E74" i="1"/>
  <c r="E84" i="1"/>
  <c r="E90" i="1"/>
  <c r="L24" i="1"/>
  <c r="E97" i="1"/>
  <c r="E99" i="1"/>
  <c r="E101" i="1"/>
  <c r="E103" i="1"/>
  <c r="E105" i="1"/>
  <c r="E107" i="1"/>
  <c r="E109" i="1"/>
  <c r="E238" i="1"/>
  <c r="E240" i="1"/>
  <c r="E242" i="1"/>
  <c r="E244" i="1"/>
  <c r="E246" i="1"/>
  <c r="E78" i="1"/>
  <c r="E80" i="1"/>
  <c r="E82" i="1"/>
  <c r="E85" i="1"/>
  <c r="E87" i="1"/>
  <c r="E89" i="1"/>
  <c r="E91" i="1"/>
  <c r="E93" i="1"/>
  <c r="E95" i="1"/>
  <c r="T150" i="1"/>
  <c r="L11" i="1"/>
  <c r="L153" i="1"/>
  <c r="L157" i="1"/>
  <c r="L248" i="1"/>
  <c r="T70" i="1"/>
  <c r="L193" i="1"/>
  <c r="L195" i="1"/>
  <c r="E209" i="1"/>
  <c r="E211" i="1"/>
  <c r="E213" i="1"/>
  <c r="E215" i="1"/>
  <c r="T221" i="1"/>
  <c r="L6" i="1"/>
  <c r="L10" i="1"/>
  <c r="L14" i="1"/>
  <c r="L18" i="1"/>
  <c r="L22" i="1"/>
  <c r="E200" i="1"/>
  <c r="E204" i="1"/>
  <c r="E207" i="1"/>
  <c r="E219" i="1"/>
  <c r="H222" i="1"/>
  <c r="H250" i="1"/>
  <c r="R234" i="1"/>
  <c r="D150" i="1"/>
  <c r="E143" i="1"/>
  <c r="T110" i="1"/>
  <c r="L156" i="1"/>
  <c r="T158" i="1"/>
  <c r="T190" i="1"/>
  <c r="E210" i="1"/>
  <c r="E212" i="1"/>
  <c r="E214" i="1"/>
  <c r="E216" i="1"/>
  <c r="C4" i="5"/>
  <c r="C3" i="5"/>
  <c r="D12" i="4"/>
  <c r="G12" i="4"/>
  <c r="H4" i="5"/>
  <c r="H3" i="5"/>
  <c r="I12" i="4"/>
  <c r="E96" i="1"/>
  <c r="L68" i="1"/>
  <c r="L84" i="1"/>
  <c r="L108" i="1"/>
  <c r="L64" i="1"/>
  <c r="L60" i="1"/>
  <c r="L57" i="1"/>
  <c r="L66" i="1"/>
  <c r="L55" i="1"/>
  <c r="L52" i="1"/>
  <c r="E58" i="1"/>
  <c r="E61" i="1"/>
  <c r="E63" i="1"/>
  <c r="E65" i="1"/>
  <c r="E67" i="1"/>
  <c r="E69" i="1"/>
  <c r="E56" i="1"/>
  <c r="E54" i="1"/>
  <c r="E51" i="1"/>
  <c r="L210" i="1"/>
  <c r="L200" i="1"/>
  <c r="L208" i="1"/>
  <c r="L212" i="1"/>
  <c r="L240" i="1"/>
  <c r="L244" i="1"/>
  <c r="L238" i="1"/>
  <c r="L242" i="1"/>
  <c r="L246" i="1"/>
  <c r="L237" i="1"/>
  <c r="L239" i="1"/>
  <c r="L241" i="1"/>
  <c r="L243" i="1"/>
  <c r="L245" i="1"/>
  <c r="L247" i="1"/>
  <c r="L92" i="1"/>
  <c r="L100" i="1"/>
  <c r="L76" i="1"/>
  <c r="E77" i="1"/>
  <c r="L49" i="1"/>
  <c r="L86" i="1"/>
  <c r="L94" i="1"/>
  <c r="L102" i="1"/>
  <c r="R158" i="1"/>
  <c r="L154" i="1"/>
  <c r="L155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90" i="1"/>
  <c r="B7" i="3"/>
  <c r="C15" i="2"/>
  <c r="C5" i="2"/>
  <c r="R116" i="1"/>
  <c r="R119" i="1"/>
  <c r="R120" i="1"/>
  <c r="R127" i="1"/>
  <c r="E7" i="1"/>
  <c r="E9" i="1"/>
  <c r="E11" i="1"/>
  <c r="E13" i="1"/>
  <c r="E15" i="1"/>
  <c r="E17" i="1"/>
  <c r="E19" i="1"/>
  <c r="E21" i="1"/>
  <c r="E24" i="1"/>
  <c r="B3" i="3"/>
  <c r="C13" i="2"/>
  <c r="C3" i="2"/>
  <c r="O222" i="1"/>
  <c r="O250" i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4" i="1"/>
  <c r="E55" i="1"/>
  <c r="L56" i="1"/>
  <c r="E57" i="1"/>
  <c r="L58" i="1"/>
  <c r="E60" i="1"/>
  <c r="L61" i="1"/>
  <c r="E62" i="1"/>
  <c r="L63" i="1"/>
  <c r="E64" i="1"/>
  <c r="L65" i="1"/>
  <c r="E66" i="1"/>
  <c r="L67" i="1"/>
  <c r="E68" i="1"/>
  <c r="L69" i="1"/>
  <c r="R70" i="1"/>
  <c r="L73" i="1"/>
  <c r="L75" i="1"/>
  <c r="L77" i="1"/>
  <c r="L78" i="1"/>
  <c r="L80" i="1"/>
  <c r="L82" i="1"/>
  <c r="L85" i="1"/>
  <c r="L87" i="1"/>
  <c r="L89" i="1"/>
  <c r="L91" i="1"/>
  <c r="L95" i="1"/>
  <c r="L97" i="1"/>
  <c r="L99" i="1"/>
  <c r="L101" i="1"/>
  <c r="L103" i="1"/>
  <c r="L107" i="1"/>
  <c r="R110" i="1"/>
  <c r="R115" i="1"/>
  <c r="R130" i="1"/>
  <c r="R134" i="1"/>
  <c r="S138" i="1"/>
  <c r="B19" i="2"/>
  <c r="B9" i="2"/>
  <c r="E195" i="1"/>
  <c r="E193" i="1"/>
  <c r="B13" i="2"/>
  <c r="B3" i="2"/>
  <c r="R25" i="1"/>
  <c r="T25" i="1"/>
  <c r="C14" i="2"/>
  <c r="C4" i="2"/>
  <c r="L96" i="1"/>
  <c r="R140" i="1"/>
  <c r="R142" i="1"/>
  <c r="R146" i="1"/>
  <c r="B17" i="2"/>
  <c r="B7" i="2"/>
  <c r="E157" i="1"/>
  <c r="E155" i="1"/>
  <c r="E153" i="1"/>
  <c r="B18" i="2"/>
  <c r="B8" i="2"/>
  <c r="E194" i="1"/>
  <c r="R196" i="1"/>
  <c r="L201" i="1"/>
  <c r="L206" i="1"/>
  <c r="L211" i="1"/>
  <c r="L213" i="1"/>
  <c r="L215" i="1"/>
  <c r="L219" i="1"/>
  <c r="R221" i="1"/>
  <c r="E228" i="1"/>
  <c r="L232" i="1"/>
  <c r="C17" i="2"/>
  <c r="C7" i="2"/>
  <c r="C18" i="2"/>
  <c r="C8" i="2"/>
  <c r="C19" i="2"/>
  <c r="C9" i="2"/>
  <c r="C20" i="2"/>
  <c r="C10" i="2"/>
  <c r="E117" i="1"/>
  <c r="E125" i="1"/>
  <c r="L117" i="1"/>
  <c r="E130" i="1"/>
  <c r="E145" i="1"/>
  <c r="L127" i="1"/>
  <c r="L145" i="1"/>
  <c r="E133" i="1"/>
  <c r="E138" i="1"/>
  <c r="E139" i="1"/>
  <c r="E129" i="1"/>
  <c r="E114" i="1"/>
  <c r="E119" i="1"/>
  <c r="E134" i="1"/>
  <c r="D222" i="1"/>
  <c r="E70" i="1"/>
  <c r="E127" i="1"/>
  <c r="E146" i="1"/>
  <c r="E135" i="1"/>
  <c r="E116" i="1"/>
  <c r="E118" i="1"/>
  <c r="E149" i="1"/>
  <c r="E142" i="1"/>
  <c r="E121" i="1"/>
  <c r="E137" i="1"/>
  <c r="E122" i="1"/>
  <c r="E141" i="1"/>
  <c r="E140" i="1"/>
  <c r="E124" i="1"/>
  <c r="E144" i="1"/>
  <c r="E126" i="1"/>
  <c r="B16" i="2"/>
  <c r="B6" i="2"/>
  <c r="E128" i="1"/>
  <c r="E123" i="1"/>
  <c r="E115" i="1"/>
  <c r="L142" i="1"/>
  <c r="K222" i="1"/>
  <c r="L150" i="1"/>
  <c r="L134" i="1"/>
  <c r="L116" i="1"/>
  <c r="C16" i="2"/>
  <c r="C6" i="2"/>
  <c r="L147" i="1"/>
  <c r="L138" i="1"/>
  <c r="L149" i="1"/>
  <c r="L144" i="1"/>
  <c r="L141" i="1"/>
  <c r="R150" i="1"/>
  <c r="L139" i="1"/>
  <c r="L137" i="1"/>
  <c r="L133" i="1"/>
  <c r="L129" i="1"/>
  <c r="L124" i="1"/>
  <c r="L122" i="1"/>
  <c r="L114" i="1"/>
  <c r="L128" i="1"/>
  <c r="L126" i="1"/>
  <c r="L123" i="1"/>
  <c r="L121" i="1"/>
  <c r="L118" i="1"/>
  <c r="L115" i="1"/>
  <c r="L146" i="1"/>
  <c r="L140" i="1"/>
  <c r="L130" i="1"/>
  <c r="L119" i="1"/>
  <c r="L120" i="1"/>
  <c r="E196" i="1"/>
  <c r="E110" i="1"/>
  <c r="E190" i="1"/>
  <c r="E158" i="1"/>
  <c r="E221" i="1"/>
  <c r="D250" i="1"/>
  <c r="E25" i="1"/>
  <c r="E150" i="1"/>
  <c r="K250" i="1"/>
  <c r="R222" i="1"/>
  <c r="L196" i="1"/>
  <c r="L25" i="1"/>
  <c r="L190" i="1"/>
  <c r="L158" i="1"/>
  <c r="L70" i="1"/>
  <c r="L110" i="1"/>
  <c r="L221" i="1"/>
</calcChain>
</file>

<file path=xl/sharedStrings.xml><?xml version="1.0" encoding="utf-8"?>
<sst xmlns="http://schemas.openxmlformats.org/spreadsheetml/2006/main" count="514" uniqueCount="326">
  <si>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</si>
  <si>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</si>
  <si>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</si>
  <si>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</si>
  <si>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</si>
  <si>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</si>
  <si>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</si>
  <si>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</si>
  <si>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</si>
  <si>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</si>
  <si>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</si>
  <si>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</si>
  <si>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</si>
  <si>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</si>
  <si>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</si>
  <si>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</si>
  <si>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</si>
  <si>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</si>
  <si>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</si>
  <si>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</si>
  <si>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</si>
  <si>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</si>
  <si>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</si>
  <si>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</si>
  <si>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</si>
  <si>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</si>
  <si>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</si>
  <si>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</si>
  <si>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</si>
  <si>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</si>
  <si>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</si>
  <si>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</si>
  <si>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</si>
  <si>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</si>
  <si>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</si>
  <si>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</si>
  <si>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</si>
  <si>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</si>
  <si>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</si>
  <si>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</si>
  <si>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</si>
  <si>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</si>
  <si>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</si>
  <si>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</si>
  <si>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</si>
  <si>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</si>
  <si>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</si>
  <si>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</si>
  <si>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</si>
  <si>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</si>
  <si>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</si>
  <si>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</si>
  <si>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</si>
  <si>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</si>
  <si>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</si>
  <si>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</si>
  <si>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</si>
  <si>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</si>
  <si>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</si>
  <si>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</si>
  <si>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</si>
  <si>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</si>
  <si>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</si>
  <si>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</si>
  <si>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</si>
  <si>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</si>
  <si>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</si>
  <si>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</si>
  <si>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</si>
  <si>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</si>
  <si>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</si>
  <si>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</si>
  <si>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</si>
  <si>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</si>
  <si>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</si>
  <si>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</si>
  <si>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</si>
  <si>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</si>
  <si>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</si>
  <si>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</si>
  <si>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</si>
  <si>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</si>
  <si>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</si>
  <si>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</si>
  <si>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</si>
  <si>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</si>
  <si>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</si>
  <si>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</si>
  <si>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</si>
  <si>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</si>
  <si>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</si>
  <si>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</si>
  <si>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</si>
  <si>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</si>
  <si>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</si>
  <si>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</si>
  <si>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</si>
  <si>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</si>
  <si>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</si>
  <si>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</si>
  <si>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</si>
  <si>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</si>
  <si>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</si>
  <si>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</si>
  <si>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</si>
  <si>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</si>
  <si>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</si>
  <si>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</si>
  <si>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</si>
  <si>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</si>
  <si>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</si>
  <si>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</si>
  <si>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</si>
  <si>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</si>
  <si>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</si>
  <si>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</si>
  <si>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</si>
  <si>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</si>
  <si>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</si>
  <si>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</si>
  <si>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</si>
  <si>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</si>
  <si>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</si>
  <si>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</si>
  <si>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</si>
  <si>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</si>
  <si>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</si>
  <si>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</si>
  <si>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</si>
  <si>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</si>
  <si>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</si>
  <si>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</si>
  <si>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</si>
  <si>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</si>
  <si>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</si>
  <si>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</si>
  <si>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</si>
  <si>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</si>
  <si>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</si>
  <si>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</si>
  <si>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</si>
  <si>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</si>
  <si>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</si>
  <si>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</si>
  <si>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</si>
  <si>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</si>
  <si>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</si>
  <si>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</si>
  <si>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</si>
  <si>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</si>
  <si>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</si>
  <si>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</si>
  <si>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</si>
  <si>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</si>
  <si>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</si>
  <si>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</si>
  <si>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</si>
  <si>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</si>
  <si>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</si>
  <si>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</si>
  <si>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</si>
  <si>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</si>
  <si>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</si>
  <si>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</si>
  <si>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</si>
  <si>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</si>
  <si>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</si>
  <si>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</si>
  <si>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</si>
  <si>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</si>
  <si>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</si>
  <si>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</si>
  <si>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</si>
  <si>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</si>
  <si>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</si>
  <si>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</si>
  <si>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</si>
  <si>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</si>
  <si>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</si>
  <si>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</si>
  <si>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</si>
  <si>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</si>
  <si>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</si>
  <si>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</si>
  <si>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</si>
  <si>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</si>
  <si>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</si>
  <si>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</si>
  <si>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</si>
  <si>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</si>
  <si>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</si>
  <si>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</si>
  <si>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</si>
  <si>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</si>
  <si>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</si>
  <si>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</si>
  <si>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</si>
  <si>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</si>
  <si>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</si>
  <si>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</si>
  <si>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</si>
  <si>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</si>
  <si>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</si>
  <si>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</si>
  <si>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</si>
  <si>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</si>
  <si>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</si>
  <si>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</si>
  <si>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</si>
  <si>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</si>
  <si>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</si>
  <si>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</si>
  <si>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</si>
  <si>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</si>
  <si>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</si>
  <si>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</si>
  <si>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</si>
  <si>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</si>
  <si>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</si>
  <si>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</si>
  <si>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</si>
  <si>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</si>
  <si>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</si>
  <si>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</si>
  <si>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</si>
  <si>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</si>
  <si>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</si>
  <si>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</si>
  <si>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</si>
  <si>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</si>
  <si>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</si>
  <si>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</si>
  <si>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</si>
  <si>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</si>
  <si>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</si>
  <si>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</si>
  <si>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</si>
  <si>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</si>
  <si>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</si>
  <si>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</si>
  <si>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</si>
  <si>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</si>
  <si>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</si>
  <si>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</si>
  <si>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</si>
  <si>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</si>
  <si>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</si>
  <si>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</si>
  <si>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</si>
  <si>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</si>
  <si>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</si>
  <si>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</si>
  <si>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</si>
  <si>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</si>
  <si>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</si>
  <si>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</si>
  <si>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</si>
  <si>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</si>
  <si>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</si>
  <si>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</si>
  <si>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</si>
  <si>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</si>
  <si>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</si>
  <si>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</si>
  <si>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</si>
  <si>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</si>
  <si>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</si>
  <si>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</si>
  <si>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</si>
  <si>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</si>
  <si>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</si>
  <si>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</si>
  <si>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</si>
  <si>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</si>
  <si>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</si>
  <si>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</si>
  <si>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</si>
  <si>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</si>
  <si>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</si>
  <si>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</si>
  <si>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</si>
  <si>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</si>
  <si>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</si>
  <si>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</si>
  <si>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</si>
  <si>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</si>
  <si>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</si>
  <si>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</si>
  <si>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</si>
  <si>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</si>
  <si>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</si>
  <si>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</si>
  <si>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</si>
  <si>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</si>
  <si>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</si>
  <si>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</si>
  <si>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</si>
  <si>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</si>
  <si>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</si>
  <si>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</si>
  <si>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</si>
  <si>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</si>
  <si>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</si>
  <si>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</si>
  <si>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</si>
  <si>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</si>
  <si>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</si>
  <si>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</si>
  <si>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</si>
  <si>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</si>
  <si>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</si>
  <si>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</si>
  <si>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</si>
  <si>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</si>
  <si>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NAV, Unit Price and Yield as at Week Ended May 2, 2025</t>
  </si>
  <si>
    <t> 22.10%</t>
  </si>
  <si>
    <t>0.1%</t>
  </si>
  <si>
    <t>FBN Blended Dollar Fund</t>
  </si>
  <si>
    <t>ValuAlliance Money Market Fund</t>
  </si>
  <si>
    <t>Week Ended May 2, 2025</t>
  </si>
  <si>
    <t>WEEKLY VALUATION REPORT OF COLLECTIVE INVESTMENT SCHEMES AS AT WEEK ENDED FRIDAY, MAY 9, 2025</t>
  </si>
  <si>
    <t>NAV, Unit Price and Yield as at Week Ended May 9, 2025</t>
  </si>
  <si>
    <t>NFEM RATE NG₦/US$ as at 9th May, 2025 = N1606.1524</t>
  </si>
  <si>
    <t>ARM Specialized Dollar Fund</t>
  </si>
  <si>
    <t>0.9%</t>
  </si>
  <si>
    <t>Week Ended 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</si>
</sst>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0" fillId="0" borderId="0" xfId="0" applyFont="1" applyBorder="1"/>
    <xf numFmtId="0" fontId="42" fillId="0" borderId="0" xfId="0" applyFont="1" applyBorder="1" applyAlignment="1">
      <alignment horizontal="right"/>
    </xf>
    <xf numFmtId="16" fontId="42" fillId="2" borderId="0" xfId="0" applyNumberFormat="1" applyFont="1" applyFill="1" applyBorder="1" applyAlignment="1">
      <alignment horizontal="center" wrapText="1"/>
    </xf>
    <xf numFmtId="0" fontId="43" fillId="0" borderId="0" xfId="0" applyFont="1" applyBorder="1"/>
    <xf numFmtId="0" fontId="42" fillId="0" borderId="0" xfId="0" applyFont="1" applyBorder="1" applyAlignment="1">
      <alignment horizontal="right" wrapText="1"/>
    </xf>
    <xf numFmtId="4" fontId="44" fillId="2" borderId="0" xfId="0" applyNumberFormat="1" applyFont="1" applyFill="1" applyBorder="1"/>
    <xf numFmtId="4" fontId="44" fillId="2" borderId="0" xfId="0" applyNumberFormat="1" applyFont="1" applyFill="1" applyBorder="1" applyAlignment="1">
      <alignment horizontal="right"/>
    </xf>
    <xf numFmtId="164" fontId="44" fillId="2" borderId="0" xfId="1" applyFont="1" applyFill="1" applyBorder="1" applyAlignment="1">
      <alignment horizontal="right" vertical="top" wrapText="1"/>
    </xf>
    <xf numFmtId="0" fontId="45" fillId="0" borderId="0" xfId="0" applyFont="1" applyBorder="1" applyAlignment="1">
      <alignment horizontal="right" wrapText="1"/>
    </xf>
    <xf numFmtId="164" fontId="46" fillId="0" borderId="0" xfId="1" applyFont="1" applyBorder="1"/>
    <xf numFmtId="4" fontId="46" fillId="2" borderId="0" xfId="0" applyNumberFormat="1" applyFont="1" applyFill="1" applyBorder="1"/>
    <xf numFmtId="0" fontId="45" fillId="0" borderId="0" xfId="0" applyFont="1" applyBorder="1" applyAlignment="1">
      <alignment horizontal="right"/>
    </xf>
    <xf numFmtId="4" fontId="46" fillId="2" borderId="0" xfId="0" applyNumberFormat="1" applyFont="1" applyFill="1" applyBorder="1" applyAlignment="1">
      <alignment horizontal="right"/>
    </xf>
    <xf numFmtId="164" fontId="46" fillId="2" borderId="0" xfId="1" applyFont="1" applyFill="1" applyBorder="1" applyAlignment="1">
      <alignment horizontal="right" vertical="top" wrapText="1"/>
    </xf>
    <xf numFmtId="0" fontId="47" fillId="0" borderId="0" xfId="0" applyFont="1" applyBorder="1" applyAlignment="1">
      <alignment horizontal="right"/>
    </xf>
    <xf numFmtId="4" fontId="48" fillId="2" borderId="0" xfId="0" applyNumberFormat="1" applyFont="1" applyFill="1" applyBorder="1" applyAlignment="1">
      <alignment horizontal="right"/>
    </xf>
    <xf numFmtId="4" fontId="48" fillId="2" borderId="0" xfId="0" applyNumberFormat="1" applyFont="1" applyFill="1" applyBorder="1"/>
    <xf numFmtId="0" fontId="47" fillId="0" borderId="0" xfId="0" applyFont="1" applyAlignment="1">
      <alignment horizontal="right"/>
    </xf>
    <xf numFmtId="4" fontId="48" fillId="2" borderId="0" xfId="0" applyNumberFormat="1" applyFont="1" applyFill="1"/>
    <xf numFmtId="164" fontId="48" fillId="2" borderId="0" xfId="1" applyFont="1" applyFill="1" applyBorder="1" applyAlignment="1">
      <alignment horizontal="right" vertical="top" wrapText="1"/>
    </xf>
    <xf numFmtId="0" fontId="49" fillId="0" borderId="0" xfId="0" applyFont="1" applyBorder="1" applyAlignment="1">
      <alignment horizontal="right"/>
    </xf>
    <xf numFmtId="16" fontId="47" fillId="2" borderId="0" xfId="0" applyNumberFormat="1" applyFont="1" applyFill="1" applyBorder="1"/>
    <xf numFmtId="164" fontId="10" fillId="0" borderId="0" xfId="1" applyFont="1" applyBorder="1"/>
    <xf numFmtId="0" fontId="41" fillId="0" borderId="0" xfId="0" applyFont="1"/>
    <xf numFmtId="16" fontId="50" fillId="2" borderId="0" xfId="0" applyNumberFormat="1" applyFont="1" applyFill="1"/>
    <xf numFmtId="164" fontId="51" fillId="0" borderId="0" xfId="1" applyFont="1"/>
    <xf numFmtId="43" fontId="51" fillId="0" borderId="0" xfId="0" applyNumberFormat="1" applyFont="1"/>
    <xf numFmtId="4" fontId="51" fillId="0" borderId="0" xfId="0" applyNumberFormat="1" applyFont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4" fontId="46" fillId="0" borderId="0" xfId="1" applyFont="1"/>
    <xf numFmtId="4" fontId="16" fillId="0" borderId="1" xfId="0" applyNumberFormat="1" applyFont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49" fontId="16" fillId="2" borderId="1" xfId="0" applyNumberFormat="1" applyFont="1" applyFill="1" applyBorder="1" applyAlignment="1">
      <alignment wrapText="1"/>
    </xf>
    <xf numFmtId="4" fontId="48" fillId="2" borderId="0" xfId="0" applyNumberFormat="1" applyFont="1" applyFill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2,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38.729991583780006</c:v>
                </c:pt>
                <c:pt idx="1">
                  <c:v>2781.21197588317</c:v>
                </c:pt>
                <c:pt idx="2">
                  <c:v>207.82839490242546</c:v>
                </c:pt>
                <c:pt idx="3">
                  <c:v>1957.9417952967215</c:v>
                </c:pt>
                <c:pt idx="4">
                  <c:v>102.35154167375939</c:v>
                </c:pt>
                <c:pt idx="5" formatCode="_-* #,##0.00_-;\-* #,##0.00_-;_-* &quot;-&quot;??_-;_-@_-">
                  <c:v>59.306649006764651</c:v>
                </c:pt>
                <c:pt idx="6">
                  <c:v>6.9382677475299994</c:v>
                </c:pt>
                <c:pt idx="7">
                  <c:v>58.110416203200252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9,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40.052509206349995</c:v>
                </c:pt>
                <c:pt idx="1">
                  <c:v>2849.1350601006761</c:v>
                </c:pt>
                <c:pt idx="2">
                  <c:v>208.79129141770241</c:v>
                </c:pt>
                <c:pt idx="3">
                  <c:v>1970.8456184068261</c:v>
                </c:pt>
                <c:pt idx="4">
                  <c:v>102.44075749053161</c:v>
                </c:pt>
                <c:pt idx="5" formatCode="_-* #,##0.00_-;\-* #,##0.00_-;_-* &quot;-&quot;??_-;_-@_-">
                  <c:v>60.348931993098539</c:v>
                </c:pt>
                <c:pt idx="6">
                  <c:v>7.0903759545700007</c:v>
                </c:pt>
                <c:pt idx="7">
                  <c:v>58.99912233732752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9TH MAY,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956203935692616"/>
          <c:y val="4.039749557222198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9-May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7090375954.5700006</c:v>
                </c:pt>
                <c:pt idx="1">
                  <c:v>40052509206.349998</c:v>
                </c:pt>
                <c:pt idx="2" formatCode="_-* #,##0.00_-;\-* #,##0.00_-;_-* &quot;-&quot;??_-;_-@_-">
                  <c:v>58999122337.327522</c:v>
                </c:pt>
                <c:pt idx="3">
                  <c:v>60348931993.098541</c:v>
                </c:pt>
                <c:pt idx="4">
                  <c:v>102440757490.53162</c:v>
                </c:pt>
                <c:pt idx="5">
                  <c:v>208791291417.70242</c:v>
                </c:pt>
                <c:pt idx="6">
                  <c:v>1970845618406.8262</c:v>
                </c:pt>
                <c:pt idx="7">
                  <c:v>2849135060100.6763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45737</c:v>
                </c:pt>
                <c:pt idx="1">
                  <c:v>45744</c:v>
                </c:pt>
                <c:pt idx="2">
                  <c:v>45751</c:v>
                </c:pt>
                <c:pt idx="3">
                  <c:v>45758</c:v>
                </c:pt>
                <c:pt idx="4">
                  <c:v>45764</c:v>
                </c:pt>
                <c:pt idx="5">
                  <c:v>45772</c:v>
                </c:pt>
                <c:pt idx="6">
                  <c:v>45779</c:v>
                </c:pt>
                <c:pt idx="7">
                  <c:v>45786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4719.0196974991832</c:v>
                </c:pt>
                <c:pt idx="1">
                  <c:v>4783.453626583896</c:v>
                </c:pt>
                <c:pt idx="2">
                  <c:v>4920.9783287926193</c:v>
                </c:pt>
                <c:pt idx="3">
                  <c:v>5027.3059345650499</c:v>
                </c:pt>
                <c:pt idx="4">
                  <c:v>5068.1363340060261</c:v>
                </c:pt>
                <c:pt idx="5">
                  <c:v>5133.5118080609327</c:v>
                </c:pt>
                <c:pt idx="6">
                  <c:v>5212.4190322973518</c:v>
                </c:pt>
                <c:pt idx="7">
                  <c:v>5297.7036669070822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45737</c:v>
                </c:pt>
                <c:pt idx="1">
                  <c:v>45744</c:v>
                </c:pt>
                <c:pt idx="2">
                  <c:v>45751</c:v>
                </c:pt>
                <c:pt idx="3">
                  <c:v>45758</c:v>
                </c:pt>
                <c:pt idx="4">
                  <c:v>45764</c:v>
                </c:pt>
                <c:pt idx="5">
                  <c:v>45772</c:v>
                </c:pt>
                <c:pt idx="6">
                  <c:v>45779</c:v>
                </c:pt>
                <c:pt idx="7">
                  <c:v>45786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13.115951569109791</c:v>
                </c:pt>
                <c:pt idx="1">
                  <c:v>13.246875880158331</c:v>
                </c:pt>
                <c:pt idx="2">
                  <c:v>13.252536997856778</c:v>
                </c:pt>
                <c:pt idx="3">
                  <c:v>13.325340046259999</c:v>
                </c:pt>
                <c:pt idx="4">
                  <c:v>13.257768084610001</c:v>
                </c:pt>
                <c:pt idx="5">
                  <c:v>13.511956801399998</c:v>
                </c:pt>
                <c:pt idx="6">
                  <c:v>13.564027253040001</c:v>
                </c:pt>
                <c:pt idx="7">
                  <c:v>13.89362105705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7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5" t="s">
        <v>320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25" ht="15" customHeight="1">
      <c r="A2" s="134"/>
      <c r="B2" s="23"/>
      <c r="C2" s="125"/>
      <c r="D2" s="176" t="s">
        <v>314</v>
      </c>
      <c r="E2" s="176"/>
      <c r="F2" s="176"/>
      <c r="G2" s="176"/>
      <c r="H2" s="176"/>
      <c r="I2" s="176"/>
      <c r="J2" s="176"/>
      <c r="K2" s="176" t="s">
        <v>321</v>
      </c>
      <c r="L2" s="176"/>
      <c r="M2" s="176"/>
      <c r="N2" s="176"/>
      <c r="O2" s="176"/>
      <c r="P2" s="176"/>
      <c r="Q2" s="176"/>
      <c r="R2" s="176" t="s">
        <v>0</v>
      </c>
      <c r="S2" s="176"/>
      <c r="T2" s="176"/>
      <c r="U2" s="176" t="s">
        <v>1</v>
      </c>
      <c r="V2" s="176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288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5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5" ht="15" customHeight="1">
      <c r="A5" s="178" t="s">
        <v>17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</row>
    <row r="6" spans="1:25">
      <c r="A6" s="169">
        <v>1</v>
      </c>
      <c r="B6" s="165" t="s">
        <v>18</v>
      </c>
      <c r="C6" s="166" t="s">
        <v>19</v>
      </c>
      <c r="D6" s="29">
        <v>1542628120.71</v>
      </c>
      <c r="E6" s="30">
        <f t="shared" ref="E6:E22" si="0">(D6/$D$25)</f>
        <v>3.9830324191344454E-2</v>
      </c>
      <c r="F6" s="31">
        <v>430.42090000000002</v>
      </c>
      <c r="G6" s="31">
        <v>434.18169999999998</v>
      </c>
      <c r="H6" s="32">
        <v>1816</v>
      </c>
      <c r="I6" s="50">
        <v>4.8999999999999998E-3</v>
      </c>
      <c r="J6" s="50">
        <v>8.2799999999999999E-2</v>
      </c>
      <c r="K6" s="29">
        <v>1614114901.4300001</v>
      </c>
      <c r="L6" s="30">
        <f t="shared" ref="L6:L22" si="1">(K6/$K$25)</f>
        <v>4.0299969550324583E-2</v>
      </c>
      <c r="M6" s="31">
        <v>441.67919999999998</v>
      </c>
      <c r="N6" s="31">
        <v>445.40440000000001</v>
      </c>
      <c r="O6" s="32">
        <v>1690</v>
      </c>
      <c r="P6" s="50">
        <v>2.6200000000000001E-2</v>
      </c>
      <c r="Q6" s="50">
        <v>0.1111</v>
      </c>
      <c r="R6" s="56">
        <f>((K6-D6)/D6)</f>
        <v>4.6340903397442269E-2</v>
      </c>
      <c r="S6" s="56">
        <f>((N6-G6)/G6)</f>
        <v>2.5847934171338939E-2</v>
      </c>
      <c r="T6" s="56">
        <f>((O6-H6)/H6)</f>
        <v>-6.9383259911894271E-2</v>
      </c>
      <c r="U6" s="57">
        <f>P6-I6</f>
        <v>2.1299999999999999E-2</v>
      </c>
      <c r="V6" s="58">
        <f>Q6-J6</f>
        <v>2.8300000000000006E-2</v>
      </c>
    </row>
    <row r="7" spans="1:25">
      <c r="A7" s="169">
        <v>2</v>
      </c>
      <c r="B7" s="165" t="s">
        <v>20</v>
      </c>
      <c r="C7" s="166" t="s">
        <v>21</v>
      </c>
      <c r="D7" s="33">
        <v>654779901.37</v>
      </c>
      <c r="E7" s="30">
        <f t="shared" si="0"/>
        <v>1.6906275333254131E-2</v>
      </c>
      <c r="F7" s="33">
        <v>284.78050000000002</v>
      </c>
      <c r="G7" s="33">
        <v>288.10120000000001</v>
      </c>
      <c r="H7" s="32">
        <v>469</v>
      </c>
      <c r="I7" s="50">
        <v>-4.2310000000000004E-3</v>
      </c>
      <c r="J7" s="50">
        <v>0.10589999999999999</v>
      </c>
      <c r="K7" s="33">
        <v>654779901.37</v>
      </c>
      <c r="L7" s="30">
        <f t="shared" si="1"/>
        <v>1.6348036973079079E-2</v>
      </c>
      <c r="M7" s="33">
        <v>290.91910000000001</v>
      </c>
      <c r="N7" s="33">
        <v>294.33</v>
      </c>
      <c r="O7" s="32">
        <v>469</v>
      </c>
      <c r="P7" s="50">
        <v>-3.49E-3</v>
      </c>
      <c r="Q7" s="50">
        <v>0.12970000000000001</v>
      </c>
      <c r="R7" s="56">
        <f t="shared" ref="R7:R25" si="2">((K7-D7)/D7)</f>
        <v>0</v>
      </c>
      <c r="S7" s="56">
        <f t="shared" ref="S7:S25" si="3">((N7-G7)/G7)</f>
        <v>2.1620180686508693E-2</v>
      </c>
      <c r="T7" s="56">
        <f t="shared" ref="T7:T25" si="4">((O7-H7)/H7)</f>
        <v>0</v>
      </c>
      <c r="U7" s="57">
        <f t="shared" ref="U7:U25" si="5">P7-I7</f>
        <v>7.4100000000000034E-4</v>
      </c>
      <c r="V7" s="58">
        <f t="shared" ref="V7:V25" si="6">Q7-J7</f>
        <v>2.3800000000000016E-2</v>
      </c>
    </row>
    <row r="8" spans="1:25">
      <c r="A8" s="169">
        <v>3</v>
      </c>
      <c r="B8" s="165" t="s">
        <v>22</v>
      </c>
      <c r="C8" s="166" t="s">
        <v>23</v>
      </c>
      <c r="D8" s="33">
        <v>4087847003.4899998</v>
      </c>
      <c r="E8" s="30">
        <f t="shared" si="0"/>
        <v>0.10554732485926945</v>
      </c>
      <c r="F8" s="33">
        <v>36.760399999999997</v>
      </c>
      <c r="G8" s="33">
        <v>37.868699999999997</v>
      </c>
      <c r="H8" s="34">
        <v>6700</v>
      </c>
      <c r="I8" s="51">
        <v>0.64129999999999998</v>
      </c>
      <c r="J8" s="51">
        <v>0.1101</v>
      </c>
      <c r="K8" s="33">
        <v>4176801859.7199998</v>
      </c>
      <c r="L8" s="30">
        <f t="shared" si="1"/>
        <v>0.10428315085582208</v>
      </c>
      <c r="M8" s="33">
        <v>37.527099999999997</v>
      </c>
      <c r="N8" s="33">
        <v>38.6586</v>
      </c>
      <c r="O8" s="34">
        <v>6709</v>
      </c>
      <c r="P8" s="51">
        <v>0.10876</v>
      </c>
      <c r="Q8" s="51">
        <v>0.16539999999999999</v>
      </c>
      <c r="R8" s="56">
        <f t="shared" si="2"/>
        <v>2.1760808600237436E-2</v>
      </c>
      <c r="S8" s="56">
        <f t="shared" si="3"/>
        <v>2.0858915146281836E-2</v>
      </c>
      <c r="T8" s="56">
        <f t="shared" si="4"/>
        <v>1.3432835820895521E-3</v>
      </c>
      <c r="U8" s="57">
        <f t="shared" si="5"/>
        <v>-0.53254000000000001</v>
      </c>
      <c r="V8" s="58">
        <f t="shared" si="6"/>
        <v>5.5299999999999988E-2</v>
      </c>
      <c r="X8" s="59"/>
      <c r="Y8" s="59"/>
    </row>
    <row r="9" spans="1:25">
      <c r="A9" s="169">
        <v>4</v>
      </c>
      <c r="B9" s="165" t="s">
        <v>24</v>
      </c>
      <c r="C9" s="166" t="s">
        <v>25</v>
      </c>
      <c r="D9" s="33">
        <v>592112773.35000002</v>
      </c>
      <c r="E9" s="30">
        <f t="shared" si="0"/>
        <v>1.5288223651408561E-2</v>
      </c>
      <c r="F9" s="33">
        <v>224.62860000000001</v>
      </c>
      <c r="G9" s="33">
        <v>224.62860000000001</v>
      </c>
      <c r="H9" s="32">
        <v>1956</v>
      </c>
      <c r="I9" s="50">
        <v>6.0000000000000001E-3</v>
      </c>
      <c r="J9" s="50">
        <v>2.58E-2</v>
      </c>
      <c r="K9" s="33">
        <v>613528250.12</v>
      </c>
      <c r="L9" s="30">
        <f t="shared" si="1"/>
        <v>1.5318097724142839E-2</v>
      </c>
      <c r="M9" s="33">
        <v>226.8544</v>
      </c>
      <c r="N9" s="33">
        <v>226.8544</v>
      </c>
      <c r="O9" s="32">
        <v>1949</v>
      </c>
      <c r="P9" s="50">
        <v>9.9000000000000008E-3</v>
      </c>
      <c r="Q9" s="50">
        <v>3.5999999999999997E-2</v>
      </c>
      <c r="R9" s="56">
        <f t="shared" si="2"/>
        <v>3.6167902017782035E-2</v>
      </c>
      <c r="S9" s="56">
        <f t="shared" si="3"/>
        <v>9.9088005712540273E-3</v>
      </c>
      <c r="T9" s="56">
        <f t="shared" si="4"/>
        <v>-3.5787321063394683E-3</v>
      </c>
      <c r="U9" s="57">
        <f t="shared" si="5"/>
        <v>3.9000000000000007E-3</v>
      </c>
      <c r="V9" s="58">
        <f t="shared" si="6"/>
        <v>1.0199999999999997E-2</v>
      </c>
    </row>
    <row r="10" spans="1:25">
      <c r="A10" s="169">
        <v>5</v>
      </c>
      <c r="B10" s="165" t="s">
        <v>26</v>
      </c>
      <c r="C10" s="166" t="s">
        <v>27</v>
      </c>
      <c r="D10" s="33">
        <v>985484533.94000006</v>
      </c>
      <c r="E10" s="30">
        <f t="shared" si="0"/>
        <v>2.5444997368724392E-2</v>
      </c>
      <c r="F10" s="33">
        <v>1.3041</v>
      </c>
      <c r="G10" s="33">
        <v>1.3191999999999999</v>
      </c>
      <c r="H10" s="32">
        <v>510</v>
      </c>
      <c r="I10" s="50">
        <v>-2.0000000000000001E-4</v>
      </c>
      <c r="J10" s="50">
        <v>5.2200000000000003E-2</v>
      </c>
      <c r="K10" s="33">
        <v>1087313881.9000001</v>
      </c>
      <c r="L10" s="30">
        <f t="shared" si="1"/>
        <v>2.7147210086094064E-2</v>
      </c>
      <c r="M10" s="33">
        <v>1.3399000000000001</v>
      </c>
      <c r="N10" s="33">
        <v>1.3546</v>
      </c>
      <c r="O10" s="32">
        <v>514</v>
      </c>
      <c r="P10" s="50">
        <v>2.7099999999999999E-2</v>
      </c>
      <c r="Q10" s="50">
        <v>8.0699999999999994E-2</v>
      </c>
      <c r="R10" s="56">
        <f t="shared" si="2"/>
        <v>0.10332921974217384</v>
      </c>
      <c r="S10" s="56">
        <f t="shared" si="3"/>
        <v>2.6834445118253562E-2</v>
      </c>
      <c r="T10" s="56">
        <f t="shared" si="4"/>
        <v>7.8431372549019607E-3</v>
      </c>
      <c r="U10" s="57">
        <f t="shared" si="5"/>
        <v>2.7299999999999998E-2</v>
      </c>
      <c r="V10" s="58">
        <f t="shared" si="6"/>
        <v>2.8499999999999991E-2</v>
      </c>
    </row>
    <row r="11" spans="1:25">
      <c r="A11" s="169">
        <v>6</v>
      </c>
      <c r="B11" s="165" t="s">
        <v>28</v>
      </c>
      <c r="C11" s="166" t="s">
        <v>29</v>
      </c>
      <c r="D11" s="35">
        <v>113153878.26000001</v>
      </c>
      <c r="E11" s="30">
        <f t="shared" si="0"/>
        <v>2.9216086457242731E-3</v>
      </c>
      <c r="F11" s="33">
        <v>166.05019999999999</v>
      </c>
      <c r="G11" s="33">
        <v>166.87029999999999</v>
      </c>
      <c r="H11" s="34">
        <v>71</v>
      </c>
      <c r="I11" s="51">
        <v>7.1599999999999995E-4</v>
      </c>
      <c r="J11" s="51">
        <v>4.8300000000000003E-2</v>
      </c>
      <c r="K11" s="35">
        <v>113903444.55</v>
      </c>
      <c r="L11" s="30">
        <f t="shared" si="1"/>
        <v>2.8438529022781307E-3</v>
      </c>
      <c r="M11" s="33">
        <v>167.4982</v>
      </c>
      <c r="N11" s="33">
        <v>168.33099999999999</v>
      </c>
      <c r="O11" s="34">
        <v>73</v>
      </c>
      <c r="P11" s="51">
        <v>1.554E-2</v>
      </c>
      <c r="Q11" s="51">
        <v>5.96E-2</v>
      </c>
      <c r="R11" s="56">
        <f t="shared" si="2"/>
        <v>6.6243093168903248E-3</v>
      </c>
      <c r="S11" s="56">
        <f t="shared" si="3"/>
        <v>8.7535049676305664E-3</v>
      </c>
      <c r="T11" s="56">
        <f t="shared" si="4"/>
        <v>2.8169014084507043E-2</v>
      </c>
      <c r="U11" s="57">
        <f t="shared" si="5"/>
        <v>1.4824E-2</v>
      </c>
      <c r="V11" s="58">
        <f t="shared" si="6"/>
        <v>1.1299999999999998E-2</v>
      </c>
    </row>
    <row r="12" spans="1:25">
      <c r="A12" s="169">
        <v>7</v>
      </c>
      <c r="B12" s="165" t="s">
        <v>30</v>
      </c>
      <c r="C12" s="166" t="s">
        <v>31</v>
      </c>
      <c r="D12" s="33">
        <v>1501953297.9400001</v>
      </c>
      <c r="E12" s="30">
        <f t="shared" si="0"/>
        <v>3.8780109071054204E-2</v>
      </c>
      <c r="F12" s="33">
        <v>365.78</v>
      </c>
      <c r="G12" s="33">
        <v>370.51</v>
      </c>
      <c r="H12" s="34">
        <v>1680</v>
      </c>
      <c r="I12" s="51">
        <v>6.6E-3</v>
      </c>
      <c r="J12" s="51">
        <v>0.12959999999999999</v>
      </c>
      <c r="K12" s="33">
        <v>1534039821.22</v>
      </c>
      <c r="L12" s="30">
        <f t="shared" si="1"/>
        <v>3.8300717024160637E-2</v>
      </c>
      <c r="M12" s="33">
        <v>372.91</v>
      </c>
      <c r="N12" s="33">
        <v>377.76</v>
      </c>
      <c r="O12" s="34">
        <v>1680</v>
      </c>
      <c r="P12" s="51">
        <v>1.95E-2</v>
      </c>
      <c r="Q12" s="51">
        <v>0.15160000000000001</v>
      </c>
      <c r="R12" s="56">
        <f t="shared" si="2"/>
        <v>2.1363196394993209E-2</v>
      </c>
      <c r="S12" s="56">
        <f t="shared" si="3"/>
        <v>1.9567623006126692E-2</v>
      </c>
      <c r="T12" s="56">
        <f t="shared" si="4"/>
        <v>0</v>
      </c>
      <c r="U12" s="57">
        <f t="shared" si="5"/>
        <v>1.29E-2</v>
      </c>
      <c r="V12" s="58">
        <f t="shared" si="6"/>
        <v>2.200000000000002E-2</v>
      </c>
    </row>
    <row r="13" spans="1:25">
      <c r="A13" s="169">
        <v>8</v>
      </c>
      <c r="B13" s="165" t="s">
        <v>32</v>
      </c>
      <c r="C13" s="166" t="s">
        <v>33</v>
      </c>
      <c r="D13" s="29">
        <v>444816547.43000001</v>
      </c>
      <c r="E13" s="30">
        <f t="shared" si="0"/>
        <v>1.1485066978849738E-2</v>
      </c>
      <c r="F13" s="33">
        <v>221.62</v>
      </c>
      <c r="G13" s="33">
        <v>230.41</v>
      </c>
      <c r="H13" s="32">
        <v>2469</v>
      </c>
      <c r="I13" s="50">
        <v>-4.2000000000000003E-2</v>
      </c>
      <c r="J13" s="50">
        <v>0.74080000000000001</v>
      </c>
      <c r="K13" s="29">
        <v>444816547.43000001</v>
      </c>
      <c r="L13" s="30">
        <f t="shared" si="1"/>
        <v>1.1105834721572899E-2</v>
      </c>
      <c r="M13" s="33">
        <v>221.62</v>
      </c>
      <c r="N13" s="33">
        <v>230.41</v>
      </c>
      <c r="O13" s="32">
        <v>2469</v>
      </c>
      <c r="P13" s="50">
        <v>-4.2000000000000003E-2</v>
      </c>
      <c r="Q13" s="50">
        <v>0.74080000000000001</v>
      </c>
      <c r="R13" s="56">
        <f t="shared" si="2"/>
        <v>0</v>
      </c>
      <c r="S13" s="56">
        <f t="shared" si="3"/>
        <v>0</v>
      </c>
      <c r="T13" s="56">
        <f t="shared" si="4"/>
        <v>0</v>
      </c>
      <c r="U13" s="57">
        <f t="shared" si="5"/>
        <v>0</v>
      </c>
      <c r="V13" s="58">
        <f t="shared" si="6"/>
        <v>0</v>
      </c>
    </row>
    <row r="14" spans="1:25">
      <c r="A14" s="169">
        <v>9</v>
      </c>
      <c r="B14" s="165" t="s">
        <v>34</v>
      </c>
      <c r="C14" s="166" t="s">
        <v>35</v>
      </c>
      <c r="D14" s="35">
        <v>68628651.870000005</v>
      </c>
      <c r="E14" s="30">
        <f t="shared" si="0"/>
        <v>1.7719769373443772E-3</v>
      </c>
      <c r="F14" s="33">
        <v>240.83</v>
      </c>
      <c r="G14" s="33">
        <v>248.24</v>
      </c>
      <c r="H14" s="32">
        <v>18</v>
      </c>
      <c r="I14" s="50">
        <v>6.1199999999999997E-2</v>
      </c>
      <c r="J14" s="50">
        <v>8.9499999999999996E-2</v>
      </c>
      <c r="K14" s="35">
        <v>69344568.469999999</v>
      </c>
      <c r="L14" s="30">
        <f t="shared" si="1"/>
        <v>1.7313414276428399E-3</v>
      </c>
      <c r="M14" s="33">
        <v>243.33</v>
      </c>
      <c r="N14" s="33">
        <v>250.84</v>
      </c>
      <c r="O14" s="32">
        <v>18</v>
      </c>
      <c r="P14" s="50">
        <v>1.04E-2</v>
      </c>
      <c r="Q14" s="50">
        <v>0.1009</v>
      </c>
      <c r="R14" s="56">
        <f t="shared" si="2"/>
        <v>1.0431745058261102E-2</v>
      </c>
      <c r="S14" s="56">
        <f t="shared" si="3"/>
        <v>1.0473735095069265E-2</v>
      </c>
      <c r="T14" s="56">
        <f t="shared" si="4"/>
        <v>0</v>
      </c>
      <c r="U14" s="57">
        <f t="shared" si="5"/>
        <v>-5.0799999999999998E-2</v>
      </c>
      <c r="V14" s="58">
        <f t="shared" si="6"/>
        <v>1.1400000000000007E-2</v>
      </c>
    </row>
    <row r="15" spans="1:25" ht="14.25" customHeight="1">
      <c r="A15" s="169">
        <v>10</v>
      </c>
      <c r="B15" s="165" t="s">
        <v>36</v>
      </c>
      <c r="C15" s="166" t="s">
        <v>37</v>
      </c>
      <c r="D15" s="29">
        <v>845711861.13999999</v>
      </c>
      <c r="E15" s="30">
        <f t="shared" si="0"/>
        <v>2.1836097209331214E-2</v>
      </c>
      <c r="F15" s="33">
        <v>2.6693410000000002</v>
      </c>
      <c r="G15" s="33">
        <v>2.7010299999999998</v>
      </c>
      <c r="H15" s="32">
        <v>516</v>
      </c>
      <c r="I15" s="50">
        <v>3.9473125711893653E-2</v>
      </c>
      <c r="J15" s="50">
        <v>0.27435100662778389</v>
      </c>
      <c r="K15" s="29">
        <v>882305305.58000004</v>
      </c>
      <c r="L15" s="30">
        <f t="shared" si="1"/>
        <v>2.2028714881117056E-2</v>
      </c>
      <c r="M15" s="33">
        <v>2.7739250000000002</v>
      </c>
      <c r="N15" s="33">
        <v>2.7974869999999998</v>
      </c>
      <c r="O15" s="32">
        <v>524</v>
      </c>
      <c r="P15" s="50">
        <v>3.9179707650689899E-2</v>
      </c>
      <c r="Q15" s="50">
        <v>0.32427970651182281</v>
      </c>
      <c r="R15" s="56">
        <f t="shared" si="2"/>
        <v>4.326939956910731E-2</v>
      </c>
      <c r="S15" s="56">
        <f t="shared" si="3"/>
        <v>3.5711191656516227E-2</v>
      </c>
      <c r="T15" s="56">
        <f t="shared" si="4"/>
        <v>1.5503875968992248E-2</v>
      </c>
      <c r="U15" s="57">
        <f t="shared" si="5"/>
        <v>-2.9341806120375402E-4</v>
      </c>
      <c r="V15" s="58">
        <f t="shared" si="6"/>
        <v>4.9928699884038918E-2</v>
      </c>
    </row>
    <row r="16" spans="1:25" ht="14.25" customHeight="1">
      <c r="A16" s="169">
        <v>11</v>
      </c>
      <c r="B16" s="165" t="s">
        <v>38</v>
      </c>
      <c r="C16" s="166" t="s">
        <v>39</v>
      </c>
      <c r="D16" s="29">
        <v>39793658.850000001</v>
      </c>
      <c r="E16" s="30">
        <f t="shared" si="0"/>
        <v>1.027463658594376E-3</v>
      </c>
      <c r="F16" s="33">
        <v>16.75</v>
      </c>
      <c r="G16" s="33">
        <v>17.29</v>
      </c>
      <c r="H16" s="32">
        <v>29</v>
      </c>
      <c r="I16" s="50">
        <v>8.0000000000000004E-4</v>
      </c>
      <c r="J16" s="50">
        <v>0.64</v>
      </c>
      <c r="K16" s="29">
        <v>39829659.380000003</v>
      </c>
      <c r="L16" s="30">
        <f t="shared" si="1"/>
        <v>9.9443605829532735E-4</v>
      </c>
      <c r="M16" s="33">
        <v>16.77</v>
      </c>
      <c r="N16" s="33">
        <v>17.329999999999998</v>
      </c>
      <c r="O16" s="32">
        <v>29</v>
      </c>
      <c r="P16" s="50">
        <v>7.0000000000000001E-3</v>
      </c>
      <c r="Q16" s="50">
        <v>0.67</v>
      </c>
      <c r="R16" s="56">
        <f t="shared" ref="R16" si="7">((K16-D16)/D16)</f>
        <v>9.0468006814108754E-4</v>
      </c>
      <c r="S16" s="56">
        <f t="shared" ref="S16" si="8">((N16-G16)/G16)</f>
        <v>2.3134759976864748E-3</v>
      </c>
      <c r="T16" s="56">
        <f t="shared" ref="T16" si="9">((O16-H16)/H16)</f>
        <v>0</v>
      </c>
      <c r="U16" s="57">
        <f t="shared" ref="U16" si="10">P16-I16</f>
        <v>6.1999999999999998E-3</v>
      </c>
      <c r="V16" s="58">
        <f t="shared" ref="V16" si="11">Q16-J16</f>
        <v>3.0000000000000027E-2</v>
      </c>
    </row>
    <row r="17" spans="1:22">
      <c r="A17" s="169">
        <v>12</v>
      </c>
      <c r="B17" s="165" t="s">
        <v>40</v>
      </c>
      <c r="C17" s="166" t="s">
        <v>41</v>
      </c>
      <c r="D17" s="128">
        <v>1928055551.8399999</v>
      </c>
      <c r="E17" s="30">
        <f t="shared" si="0"/>
        <v>4.9781977041468382E-2</v>
      </c>
      <c r="F17" s="33">
        <v>3.93</v>
      </c>
      <c r="G17" s="33">
        <v>4.01</v>
      </c>
      <c r="H17" s="32">
        <v>3649</v>
      </c>
      <c r="I17" s="50">
        <v>2.9999999999999997E-4</v>
      </c>
      <c r="J17" s="50">
        <v>7.9500000000000001E-2</v>
      </c>
      <c r="K17" s="128">
        <v>1959506314.24</v>
      </c>
      <c r="L17" s="30">
        <f t="shared" si="1"/>
        <v>4.8923434587946769E-2</v>
      </c>
      <c r="M17" s="33">
        <v>3.99</v>
      </c>
      <c r="N17" s="33">
        <v>4.08</v>
      </c>
      <c r="O17" s="32">
        <v>3649</v>
      </c>
      <c r="P17" s="50">
        <v>5.7999999999999996E-3</v>
      </c>
      <c r="Q17" s="50">
        <v>9.7100000000000006E-2</v>
      </c>
      <c r="R17" s="56">
        <f t="shared" si="2"/>
        <v>1.6312166093962237E-2</v>
      </c>
      <c r="S17" s="56">
        <f t="shared" si="3"/>
        <v>1.7456359102244461E-2</v>
      </c>
      <c r="T17" s="56">
        <f t="shared" si="4"/>
        <v>0</v>
      </c>
      <c r="U17" s="57">
        <f t="shared" si="5"/>
        <v>5.4999999999999997E-3</v>
      </c>
      <c r="V17" s="58">
        <f t="shared" si="6"/>
        <v>1.7600000000000005E-2</v>
      </c>
    </row>
    <row r="18" spans="1:22">
      <c r="A18" s="169">
        <v>13</v>
      </c>
      <c r="B18" s="165" t="s">
        <v>42</v>
      </c>
      <c r="C18" s="166" t="s">
        <v>43</v>
      </c>
      <c r="D18" s="33">
        <v>994384185.58000004</v>
      </c>
      <c r="E18" s="30">
        <f t="shared" si="0"/>
        <v>2.5674784447834605E-2</v>
      </c>
      <c r="F18" s="33">
        <v>26.415174</v>
      </c>
      <c r="G18" s="33">
        <v>26.489685000000001</v>
      </c>
      <c r="H18" s="32">
        <v>476</v>
      </c>
      <c r="I18" s="50">
        <v>2.454489309721164E-2</v>
      </c>
      <c r="J18" s="50">
        <v>8.7384463846217564E-2</v>
      </c>
      <c r="K18" s="33">
        <v>1011773831.24</v>
      </c>
      <c r="L18" s="30">
        <f t="shared" si="1"/>
        <v>2.5261184662048377E-2</v>
      </c>
      <c r="M18" s="33">
        <v>26.755025</v>
      </c>
      <c r="N18" s="33">
        <v>26.838374000000002</v>
      </c>
      <c r="O18" s="32">
        <v>479</v>
      </c>
      <c r="P18" s="50">
        <v>1.2865749057719533E-2</v>
      </c>
      <c r="Q18" s="50">
        <v>0.10137447948732592</v>
      </c>
      <c r="R18" s="56">
        <f t="shared" si="2"/>
        <v>1.7487854203812596E-2</v>
      </c>
      <c r="S18" s="56">
        <f t="shared" si="3"/>
        <v>1.3163199184890279E-2</v>
      </c>
      <c r="T18" s="56">
        <f t="shared" si="4"/>
        <v>6.3025210084033615E-3</v>
      </c>
      <c r="U18" s="57">
        <f t="shared" si="5"/>
        <v>-1.1679144039492106E-2</v>
      </c>
      <c r="V18" s="58">
        <f t="shared" si="6"/>
        <v>1.3990015641108355E-2</v>
      </c>
    </row>
    <row r="19" spans="1:22">
      <c r="A19" s="169">
        <v>14</v>
      </c>
      <c r="B19" s="165" t="s">
        <v>44</v>
      </c>
      <c r="C19" s="166" t="s">
        <v>45</v>
      </c>
      <c r="D19" s="33">
        <v>137329236.84</v>
      </c>
      <c r="E19" s="30">
        <f t="shared" si="0"/>
        <v>3.545811171761603E-3</v>
      </c>
      <c r="F19" s="33">
        <v>1.4741169999999999</v>
      </c>
      <c r="G19" s="33">
        <v>1.535487</v>
      </c>
      <c r="H19" s="32">
        <v>23</v>
      </c>
      <c r="I19" s="50">
        <v>1.2E-2</v>
      </c>
      <c r="J19" s="50">
        <v>5.9299999999999999E-2</v>
      </c>
      <c r="K19" s="33">
        <v>139502492.09999999</v>
      </c>
      <c r="L19" s="30">
        <f t="shared" si="1"/>
        <v>3.4829900763841035E-3</v>
      </c>
      <c r="M19" s="33">
        <v>1.4974449999999999</v>
      </c>
      <c r="N19" s="33">
        <v>1.5594650000000001</v>
      </c>
      <c r="O19" s="32">
        <v>23</v>
      </c>
      <c r="P19" s="50">
        <v>2.2700000000000001E-2</v>
      </c>
      <c r="Q19" s="50">
        <v>7.5999999999999998E-2</v>
      </c>
      <c r="R19" s="56">
        <f t="shared" si="2"/>
        <v>1.582514626897704E-2</v>
      </c>
      <c r="S19" s="56">
        <f t="shared" si="3"/>
        <v>1.5615892547445895E-2</v>
      </c>
      <c r="T19" s="56">
        <f t="shared" si="4"/>
        <v>0</v>
      </c>
      <c r="U19" s="57">
        <f t="shared" si="5"/>
        <v>1.0700000000000001E-2</v>
      </c>
      <c r="V19" s="58">
        <f t="shared" si="6"/>
        <v>1.67E-2</v>
      </c>
    </row>
    <row r="20" spans="1:22">
      <c r="A20" s="169">
        <v>15</v>
      </c>
      <c r="B20" s="165" t="s">
        <v>46</v>
      </c>
      <c r="C20" s="166" t="s">
        <v>47</v>
      </c>
      <c r="D20" s="29">
        <v>2723985401.73</v>
      </c>
      <c r="E20" s="30">
        <f t="shared" si="0"/>
        <v>7.0332713495109458E-2</v>
      </c>
      <c r="F20" s="33">
        <v>35.33</v>
      </c>
      <c r="G20" s="33">
        <v>36.090000000000003</v>
      </c>
      <c r="H20" s="32">
        <v>8944</v>
      </c>
      <c r="I20" s="50">
        <v>0.01</v>
      </c>
      <c r="J20" s="50">
        <v>0.13539999999999999</v>
      </c>
      <c r="K20" s="29">
        <v>3156448004.73</v>
      </c>
      <c r="L20" s="30">
        <f t="shared" si="1"/>
        <v>7.8807746812266405E-2</v>
      </c>
      <c r="M20" s="33">
        <v>37.03</v>
      </c>
      <c r="N20" s="33">
        <v>37.75</v>
      </c>
      <c r="O20" s="32">
        <v>8944</v>
      </c>
      <c r="P20" s="50">
        <v>4.6300000000000001E-2</v>
      </c>
      <c r="Q20" s="50">
        <v>0.18890000000000001</v>
      </c>
      <c r="R20" s="56">
        <f t="shared" si="2"/>
        <v>0.1587609840806575</v>
      </c>
      <c r="S20" s="56">
        <f t="shared" si="3"/>
        <v>4.5996120809088291E-2</v>
      </c>
      <c r="T20" s="56">
        <f t="shared" si="4"/>
        <v>0</v>
      </c>
      <c r="U20" s="57">
        <f t="shared" si="5"/>
        <v>3.6299999999999999E-2</v>
      </c>
      <c r="V20" s="58">
        <f t="shared" si="6"/>
        <v>5.350000000000002E-2</v>
      </c>
    </row>
    <row r="21" spans="1:22" ht="12.75" customHeight="1">
      <c r="A21" s="169">
        <v>16</v>
      </c>
      <c r="B21" s="165" t="s">
        <v>48</v>
      </c>
      <c r="C21" s="166" t="s">
        <v>49</v>
      </c>
      <c r="D21" s="33">
        <v>961312912.00999999</v>
      </c>
      <c r="E21" s="30">
        <f t="shared" si="0"/>
        <v>2.48208913221813E-2</v>
      </c>
      <c r="F21" s="33">
        <v>9283.7999999999993</v>
      </c>
      <c r="G21" s="33">
        <v>9405.57</v>
      </c>
      <c r="H21" s="32">
        <v>22</v>
      </c>
      <c r="I21" s="50">
        <v>2.92E-2</v>
      </c>
      <c r="J21" s="50">
        <v>0.15959999999999999</v>
      </c>
      <c r="K21" s="33">
        <v>984948653.38999999</v>
      </c>
      <c r="L21" s="30">
        <f t="shared" si="1"/>
        <v>2.4591434417143693E-2</v>
      </c>
      <c r="M21" s="33">
        <v>9511.81</v>
      </c>
      <c r="N21" s="33">
        <v>9636.99</v>
      </c>
      <c r="O21" s="32">
        <v>22</v>
      </c>
      <c r="P21" s="50">
        <v>2.46E-2</v>
      </c>
      <c r="Q21" s="50">
        <v>0.18820000000000001</v>
      </c>
      <c r="R21" s="56">
        <f t="shared" si="2"/>
        <v>2.458693843046407E-2</v>
      </c>
      <c r="S21" s="56">
        <f t="shared" si="3"/>
        <v>2.4604569420035159E-2</v>
      </c>
      <c r="T21" s="56">
        <f t="shared" si="4"/>
        <v>0</v>
      </c>
      <c r="U21" s="57">
        <f t="shared" si="5"/>
        <v>-4.5999999999999999E-3</v>
      </c>
      <c r="V21" s="58">
        <f t="shared" si="6"/>
        <v>2.8600000000000014E-2</v>
      </c>
    </row>
    <row r="22" spans="1:22">
      <c r="A22" s="169">
        <v>17</v>
      </c>
      <c r="B22" s="165" t="s">
        <v>50</v>
      </c>
      <c r="C22" s="166" t="s">
        <v>49</v>
      </c>
      <c r="D22" s="33">
        <v>14542595941.889999</v>
      </c>
      <c r="E22" s="30">
        <f t="shared" si="0"/>
        <v>0.37548667962996385</v>
      </c>
      <c r="F22" s="33">
        <v>28924.799999999999</v>
      </c>
      <c r="G22" s="33">
        <v>29351.09</v>
      </c>
      <c r="H22" s="32">
        <v>17676</v>
      </c>
      <c r="I22" s="50">
        <v>4.4200000000000003E-2</v>
      </c>
      <c r="J22" s="50">
        <v>0.14199999999999999</v>
      </c>
      <c r="K22" s="33">
        <v>14818963360.700001</v>
      </c>
      <c r="L22" s="30">
        <f t="shared" si="1"/>
        <v>0.36998838910074017</v>
      </c>
      <c r="M22" s="33">
        <v>29439.54</v>
      </c>
      <c r="N22" s="33">
        <v>29873.47</v>
      </c>
      <c r="O22" s="32">
        <v>17706</v>
      </c>
      <c r="P22" s="50">
        <v>1.78E-2</v>
      </c>
      <c r="Q22" s="50">
        <v>0.1623</v>
      </c>
      <c r="R22" s="56">
        <f t="shared" si="2"/>
        <v>1.9003994879203377E-2</v>
      </c>
      <c r="S22" s="56">
        <f t="shared" si="3"/>
        <v>1.7797635454083683E-2</v>
      </c>
      <c r="T22" s="56">
        <f t="shared" si="4"/>
        <v>1.6972165648336728E-3</v>
      </c>
      <c r="U22" s="57">
        <f t="shared" si="5"/>
        <v>-2.6400000000000003E-2</v>
      </c>
      <c r="V22" s="58">
        <f t="shared" si="6"/>
        <v>2.0300000000000012E-2</v>
      </c>
    </row>
    <row r="23" spans="1:22">
      <c r="A23" s="169">
        <v>18</v>
      </c>
      <c r="B23" s="166" t="s">
        <v>51</v>
      </c>
      <c r="C23" s="166" t="s">
        <v>52</v>
      </c>
      <c r="D23" s="33">
        <v>4181414723.4899998</v>
      </c>
      <c r="E23" s="30">
        <f t="shared" ref="E23" si="12">(D23/$D$25)</f>
        <v>0.10796322313793537</v>
      </c>
      <c r="F23" s="33">
        <v>1.65</v>
      </c>
      <c r="G23" s="31">
        <v>1.6662999999999999</v>
      </c>
      <c r="H23" s="32">
        <v>4832</v>
      </c>
      <c r="I23" s="50">
        <v>1.5599999999999999E-2</v>
      </c>
      <c r="J23" s="50">
        <v>0.1061</v>
      </c>
      <c r="K23" s="33">
        <v>4264990117.6399999</v>
      </c>
      <c r="L23" s="30">
        <f t="shared" ref="L23" si="13">(K23/$K$25)</f>
        <v>0.10648496691347918</v>
      </c>
      <c r="M23" s="33">
        <v>1.6834</v>
      </c>
      <c r="N23" s="31">
        <v>1.7000999999999999</v>
      </c>
      <c r="O23" s="32">
        <v>4840</v>
      </c>
      <c r="P23" s="50">
        <v>2.0199999999999999E-2</v>
      </c>
      <c r="Q23" s="50">
        <v>0.1285</v>
      </c>
      <c r="R23" s="56">
        <f t="shared" ref="R23" si="14">((K23-D23)/D23)</f>
        <v>1.9987348702939528E-2</v>
      </c>
      <c r="S23" s="56">
        <f t="shared" ref="S23" si="15">((N23-G23)/G23)</f>
        <v>2.0284462581768022E-2</v>
      </c>
      <c r="T23" s="56">
        <f t="shared" ref="T23" si="16">((O23-H23)/H23)</f>
        <v>1.6556291390728477E-3</v>
      </c>
      <c r="U23" s="57">
        <f t="shared" ref="U23" si="17">P23-I23</f>
        <v>4.5999999999999999E-3</v>
      </c>
      <c r="V23" s="58">
        <f t="shared" ref="V23" si="18">Q23-J23</f>
        <v>2.2400000000000003E-2</v>
      </c>
    </row>
    <row r="24" spans="1:22">
      <c r="A24" s="169">
        <v>19</v>
      </c>
      <c r="B24" s="166" t="s">
        <v>296</v>
      </c>
      <c r="C24" s="166" t="s">
        <v>297</v>
      </c>
      <c r="D24" s="33">
        <v>2384003402.0500002</v>
      </c>
      <c r="E24" s="30">
        <f>(D24/$D$25)</f>
        <v>6.1554451848846073E-2</v>
      </c>
      <c r="F24" s="33">
        <v>139.94</v>
      </c>
      <c r="G24" s="31">
        <v>144.88</v>
      </c>
      <c r="H24" s="32">
        <v>35</v>
      </c>
      <c r="I24" s="50">
        <v>3.4200000000000001E-2</v>
      </c>
      <c r="J24" s="50">
        <v>0.16289999999999999</v>
      </c>
      <c r="K24" s="33">
        <v>2485598291.1399999</v>
      </c>
      <c r="L24" s="30">
        <f>(K24/$K$25)</f>
        <v>6.2058491225461816E-2</v>
      </c>
      <c r="M24" s="33">
        <v>145.69999999999999</v>
      </c>
      <c r="N24" s="31">
        <v>150.88</v>
      </c>
      <c r="O24" s="32">
        <v>35</v>
      </c>
      <c r="P24" s="50">
        <v>4.1300000000000003E-2</v>
      </c>
      <c r="Q24" s="50">
        <v>0.21099999999999999</v>
      </c>
      <c r="R24" s="56">
        <f t="shared" si="2"/>
        <v>4.2615245012921715E-2</v>
      </c>
      <c r="S24" s="56">
        <f t="shared" si="3"/>
        <v>4.1413583655438985E-2</v>
      </c>
      <c r="T24" s="56">
        <f t="shared" si="4"/>
        <v>0</v>
      </c>
      <c r="U24" s="57">
        <f t="shared" si="5"/>
        <v>7.1000000000000021E-3</v>
      </c>
      <c r="V24" s="58">
        <f t="shared" si="6"/>
        <v>4.8100000000000004E-2</v>
      </c>
    </row>
    <row r="25" spans="1:22">
      <c r="A25" s="36"/>
      <c r="B25" s="37"/>
      <c r="C25" s="38" t="s">
        <v>53</v>
      </c>
      <c r="D25" s="39">
        <f>SUM(D6:D24)</f>
        <v>38729991583.780006</v>
      </c>
      <c r="E25" s="40">
        <f>(D25/$D$222)</f>
        <v>7.4303296307913925E-3</v>
      </c>
      <c r="F25" s="41"/>
      <c r="G25" s="42"/>
      <c r="H25" s="43">
        <f>SUM(H6:H24)</f>
        <v>51891</v>
      </c>
      <c r="I25" s="52"/>
      <c r="J25" s="32">
        <v>0</v>
      </c>
      <c r="K25" s="39">
        <f>SUM(K6:K24)</f>
        <v>40052509206.349998</v>
      </c>
      <c r="L25" s="40">
        <f>(K25/$K$222)</f>
        <v>7.5603528858256335E-3</v>
      </c>
      <c r="M25" s="41"/>
      <c r="N25" s="42"/>
      <c r="O25" s="43">
        <f>SUM(O6:O24)</f>
        <v>51822</v>
      </c>
      <c r="P25" s="52"/>
      <c r="Q25" s="43"/>
      <c r="R25" s="56">
        <f t="shared" si="2"/>
        <v>3.4147118769936889E-2</v>
      </c>
      <c r="S25" s="56" t="e">
        <f t="shared" si="3"/>
        <v>#DIV/0!</v>
      </c>
      <c r="T25" s="56">
        <f t="shared" si="4"/>
        <v>-1.3297103543967162E-3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</row>
    <row r="27" spans="1:22" ht="15" customHeight="1">
      <c r="A27" s="178" t="s">
        <v>54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</row>
    <row r="28" spans="1:22">
      <c r="A28" s="164">
        <v>20</v>
      </c>
      <c r="B28" s="165" t="s">
        <v>55</v>
      </c>
      <c r="C28" s="166" t="s">
        <v>19</v>
      </c>
      <c r="D28" s="44">
        <v>3119877736.1199999</v>
      </c>
      <c r="E28" s="30">
        <f>(D28/$K$70)</f>
        <v>1.0950262694846614E-3</v>
      </c>
      <c r="F28" s="31">
        <v>100</v>
      </c>
      <c r="G28" s="31">
        <v>100</v>
      </c>
      <c r="H28" s="32">
        <v>1166</v>
      </c>
      <c r="I28" s="50">
        <v>0.16800000000000001</v>
      </c>
      <c r="J28" s="50">
        <v>0.16800000000000001</v>
      </c>
      <c r="K28" s="44">
        <v>3214917307.7199998</v>
      </c>
      <c r="L28" s="30">
        <f t="shared" ref="L28:L69" si="19">(K28/$K$70)</f>
        <v>1.1283836111322847E-3</v>
      </c>
      <c r="M28" s="31">
        <v>100</v>
      </c>
      <c r="N28" s="31">
        <v>100</v>
      </c>
      <c r="O28" s="32">
        <v>850</v>
      </c>
      <c r="P28" s="50">
        <v>0.1739</v>
      </c>
      <c r="Q28" s="50">
        <v>0.1739</v>
      </c>
      <c r="R28" s="56">
        <f>((K28-D28)/D28)</f>
        <v>3.0462594895848315E-2</v>
      </c>
      <c r="S28" s="56">
        <f>((N28-G28)/G28)</f>
        <v>0</v>
      </c>
      <c r="T28" s="56">
        <f>((O28-H28)/H28)</f>
        <v>-0.27101200686106347</v>
      </c>
      <c r="U28" s="57">
        <f>P28-I28</f>
        <v>5.8999999999999886E-3</v>
      </c>
      <c r="V28" s="58">
        <f>Q28-J28</f>
        <v>5.8999999999999886E-3</v>
      </c>
    </row>
    <row r="29" spans="1:22">
      <c r="A29" s="164">
        <v>21</v>
      </c>
      <c r="B29" s="165" t="s">
        <v>56</v>
      </c>
      <c r="C29" s="166" t="s">
        <v>57</v>
      </c>
      <c r="D29" s="44">
        <v>19862421424.950001</v>
      </c>
      <c r="E29" s="30">
        <f t="shared" ref="E29:E69" si="20">(D29/$K$70)</f>
        <v>6.9713864053352909E-3</v>
      </c>
      <c r="F29" s="31">
        <v>100</v>
      </c>
      <c r="G29" s="31">
        <v>100</v>
      </c>
      <c r="H29" s="32">
        <v>2709</v>
      </c>
      <c r="I29" s="50">
        <v>0.208872</v>
      </c>
      <c r="J29" s="50">
        <v>0.208872</v>
      </c>
      <c r="K29" s="44">
        <v>20387094682.060001</v>
      </c>
      <c r="L29" s="30">
        <f t="shared" si="19"/>
        <v>7.155538172816423E-3</v>
      </c>
      <c r="M29" s="31">
        <v>100</v>
      </c>
      <c r="N29" s="31">
        <v>100</v>
      </c>
      <c r="O29" s="32">
        <v>2740</v>
      </c>
      <c r="P29" s="50">
        <v>0.21733</v>
      </c>
      <c r="Q29" s="50">
        <v>0.21733</v>
      </c>
      <c r="R29" s="56">
        <f t="shared" ref="R29:R70" si="21">((K29-D29)/D29)</f>
        <v>2.6415372319657716E-2</v>
      </c>
      <c r="S29" s="56">
        <f t="shared" ref="S29:S70" si="22">((N29-G29)/G29)</f>
        <v>0</v>
      </c>
      <c r="T29" s="56">
        <f t="shared" ref="T29:T70" si="23">((O29-H29)/H29)</f>
        <v>1.1443337024732374E-2</v>
      </c>
      <c r="U29" s="57">
        <f t="shared" ref="U29:U70" si="24">P29-I29</f>
        <v>8.4579999999999933E-3</v>
      </c>
      <c r="V29" s="58">
        <f t="shared" ref="V29:V70" si="25">Q29-J29</f>
        <v>8.4579999999999933E-3</v>
      </c>
    </row>
    <row r="30" spans="1:22">
      <c r="A30" s="164">
        <v>22</v>
      </c>
      <c r="B30" s="165" t="s">
        <v>58</v>
      </c>
      <c r="C30" s="166" t="s">
        <v>21</v>
      </c>
      <c r="D30" s="44">
        <v>1908134460.24</v>
      </c>
      <c r="E30" s="30">
        <f t="shared" si="20"/>
        <v>6.6972411626305096E-4</v>
      </c>
      <c r="F30" s="31">
        <v>100</v>
      </c>
      <c r="G30" s="31">
        <v>100</v>
      </c>
      <c r="H30" s="32">
        <v>1961</v>
      </c>
      <c r="I30" s="50">
        <v>0.20069999999999999</v>
      </c>
      <c r="J30" s="50">
        <v>0.20069999999999999</v>
      </c>
      <c r="K30" s="44">
        <v>1908134460.24</v>
      </c>
      <c r="L30" s="30">
        <f t="shared" si="19"/>
        <v>6.6972411626305096E-4</v>
      </c>
      <c r="M30" s="31">
        <v>100</v>
      </c>
      <c r="N30" s="31">
        <v>100</v>
      </c>
      <c r="O30" s="32">
        <v>1970</v>
      </c>
      <c r="P30" s="50">
        <v>0.20019999999999999</v>
      </c>
      <c r="Q30" s="50">
        <v>0.20019999999999999</v>
      </c>
      <c r="R30" s="56">
        <f t="shared" si="21"/>
        <v>0</v>
      </c>
      <c r="S30" s="56">
        <f t="shared" si="22"/>
        <v>0</v>
      </c>
      <c r="T30" s="56">
        <f t="shared" si="23"/>
        <v>4.5894951555328911E-3</v>
      </c>
      <c r="U30" s="57">
        <f t="shared" si="24"/>
        <v>-5.0000000000000044E-4</v>
      </c>
      <c r="V30" s="58">
        <f t="shared" si="25"/>
        <v>-5.0000000000000044E-4</v>
      </c>
    </row>
    <row r="31" spans="1:22">
      <c r="A31" s="164">
        <v>23</v>
      </c>
      <c r="B31" s="165" t="s">
        <v>59</v>
      </c>
      <c r="C31" s="166" t="s">
        <v>23</v>
      </c>
      <c r="D31" s="44">
        <v>197593041777.03</v>
      </c>
      <c r="E31" s="30">
        <f t="shared" si="20"/>
        <v>6.9351939311030036E-2</v>
      </c>
      <c r="F31" s="31">
        <v>1</v>
      </c>
      <c r="G31" s="31">
        <v>1</v>
      </c>
      <c r="H31" s="32">
        <v>69123</v>
      </c>
      <c r="I31" s="50">
        <v>0.2208</v>
      </c>
      <c r="J31" s="50">
        <v>0.2208</v>
      </c>
      <c r="K31" s="44">
        <v>201647608716.87</v>
      </c>
      <c r="L31" s="30">
        <f t="shared" si="19"/>
        <v>7.0775026267004923E-2</v>
      </c>
      <c r="M31" s="31">
        <v>1</v>
      </c>
      <c r="N31" s="31">
        <v>1</v>
      </c>
      <c r="O31" s="32">
        <v>69132</v>
      </c>
      <c r="P31" s="50">
        <v>0.2195</v>
      </c>
      <c r="Q31" s="50">
        <v>0.2195</v>
      </c>
      <c r="R31" s="56">
        <f t="shared" si="21"/>
        <v>2.0519786037887372E-2</v>
      </c>
      <c r="S31" s="56">
        <f t="shared" si="22"/>
        <v>0</v>
      </c>
      <c r="T31" s="56">
        <f t="shared" si="23"/>
        <v>1.3020268217525281E-4</v>
      </c>
      <c r="U31" s="57">
        <f t="shared" si="24"/>
        <v>-1.2999999999999956E-3</v>
      </c>
      <c r="V31" s="58">
        <f t="shared" si="25"/>
        <v>-1.2999999999999956E-3</v>
      </c>
    </row>
    <row r="32" spans="1:22">
      <c r="A32" s="164">
        <v>24</v>
      </c>
      <c r="B32" s="165" t="s">
        <v>305</v>
      </c>
      <c r="C32" s="166" t="s">
        <v>117</v>
      </c>
      <c r="D32" s="44">
        <v>907277631</v>
      </c>
      <c r="E32" s="30">
        <f t="shared" si="20"/>
        <v>3.1843967093927121E-4</v>
      </c>
      <c r="F32" s="31">
        <v>1</v>
      </c>
      <c r="G32" s="31">
        <v>1</v>
      </c>
      <c r="H32" s="32">
        <v>260</v>
      </c>
      <c r="I32" s="50">
        <v>0.18629999999999999</v>
      </c>
      <c r="J32" s="50">
        <v>0.18629999999999999</v>
      </c>
      <c r="K32" s="44">
        <v>1056063410.59</v>
      </c>
      <c r="L32" s="30">
        <f t="shared" si="19"/>
        <v>3.7066105618477883E-4</v>
      </c>
      <c r="M32" s="31">
        <v>1</v>
      </c>
      <c r="N32" s="31">
        <v>1</v>
      </c>
      <c r="O32" s="32">
        <v>260</v>
      </c>
      <c r="P32" s="50">
        <v>0.18890000000000001</v>
      </c>
      <c r="Q32" s="50">
        <v>0.18890000000000001</v>
      </c>
      <c r="R32" s="56">
        <f t="shared" si="21"/>
        <v>0.16399145587443678</v>
      </c>
      <c r="S32" s="56">
        <f t="shared" si="22"/>
        <v>0</v>
      </c>
      <c r="T32" s="56">
        <f t="shared" si="23"/>
        <v>0</v>
      </c>
      <c r="U32" s="57">
        <f t="shared" si="24"/>
        <v>2.600000000000019E-3</v>
      </c>
      <c r="V32" s="58">
        <f t="shared" si="25"/>
        <v>2.600000000000019E-3</v>
      </c>
    </row>
    <row r="33" spans="1:22">
      <c r="A33" s="164">
        <v>25</v>
      </c>
      <c r="B33" s="165" t="s">
        <v>60</v>
      </c>
      <c r="C33" s="166" t="s">
        <v>25</v>
      </c>
      <c r="D33" s="44">
        <v>115082614341.56</v>
      </c>
      <c r="E33" s="30">
        <f t="shared" si="20"/>
        <v>4.0392123193167775E-2</v>
      </c>
      <c r="F33" s="31">
        <v>1</v>
      </c>
      <c r="G33" s="31">
        <v>1</v>
      </c>
      <c r="H33" s="32">
        <v>33171</v>
      </c>
      <c r="I33" s="50">
        <v>0.20200000000000001</v>
      </c>
      <c r="J33" s="50">
        <v>0.20200000000000001</v>
      </c>
      <c r="K33" s="44">
        <v>116830629256.89</v>
      </c>
      <c r="L33" s="30">
        <f t="shared" si="19"/>
        <v>4.100564795715992E-2</v>
      </c>
      <c r="M33" s="31">
        <v>1</v>
      </c>
      <c r="N33" s="31">
        <v>1</v>
      </c>
      <c r="O33" s="32">
        <v>33305</v>
      </c>
      <c r="P33" s="50">
        <v>0.20419999999999999</v>
      </c>
      <c r="Q33" s="50">
        <v>0.20419999999999999</v>
      </c>
      <c r="R33" s="56">
        <f t="shared" si="21"/>
        <v>1.5189217983369517E-2</v>
      </c>
      <c r="S33" s="56">
        <f t="shared" si="22"/>
        <v>0</v>
      </c>
      <c r="T33" s="56">
        <f t="shared" si="23"/>
        <v>4.0396732085255195E-3</v>
      </c>
      <c r="U33" s="57">
        <f t="shared" si="24"/>
        <v>2.1999999999999797E-3</v>
      </c>
      <c r="V33" s="58">
        <f t="shared" si="25"/>
        <v>2.1999999999999797E-3</v>
      </c>
    </row>
    <row r="34" spans="1:22">
      <c r="A34" s="164">
        <v>26</v>
      </c>
      <c r="B34" s="165" t="s">
        <v>290</v>
      </c>
      <c r="C34" s="166" t="s">
        <v>27</v>
      </c>
      <c r="D34" s="33">
        <v>5209864704.3599997</v>
      </c>
      <c r="E34" s="30">
        <f t="shared" ref="E34" si="26">(D34/$D$25)</f>
        <v>0.13451757904698006</v>
      </c>
      <c r="F34" s="33">
        <v>1</v>
      </c>
      <c r="G34" s="33">
        <v>1</v>
      </c>
      <c r="H34" s="32">
        <v>733</v>
      </c>
      <c r="I34" s="50">
        <v>0.20030000000000001</v>
      </c>
      <c r="J34" s="50">
        <v>0.20030000000000001</v>
      </c>
      <c r="K34" s="33">
        <v>5545831813.3599997</v>
      </c>
      <c r="L34" s="30">
        <f t="shared" ref="L34" si="27">(K34/$K$25)</f>
        <v>0.13846402942666955</v>
      </c>
      <c r="M34" s="33">
        <v>1</v>
      </c>
      <c r="N34" s="33">
        <v>1</v>
      </c>
      <c r="O34" s="32">
        <v>753</v>
      </c>
      <c r="P34" s="50">
        <v>0.19400000000000001</v>
      </c>
      <c r="Q34" s="50">
        <v>0.19400000000000001</v>
      </c>
      <c r="R34" s="56">
        <f t="shared" si="21"/>
        <v>6.4486724332560474E-2</v>
      </c>
      <c r="S34" s="56">
        <f t="shared" si="22"/>
        <v>0</v>
      </c>
      <c r="T34" s="56">
        <f t="shared" si="23"/>
        <v>2.7285129604365622E-2</v>
      </c>
      <c r="U34" s="57">
        <f t="shared" si="24"/>
        <v>-6.3E-3</v>
      </c>
      <c r="V34" s="58">
        <f t="shared" si="25"/>
        <v>-6.3E-3</v>
      </c>
    </row>
    <row r="35" spans="1:22" ht="15" customHeight="1">
      <c r="A35" s="164">
        <v>27</v>
      </c>
      <c r="B35" s="165" t="s">
        <v>61</v>
      </c>
      <c r="C35" s="166" t="s">
        <v>47</v>
      </c>
      <c r="D35" s="44">
        <v>22409956039</v>
      </c>
      <c r="E35" s="30">
        <f t="shared" si="20"/>
        <v>7.8655295611743045E-3</v>
      </c>
      <c r="F35" s="31">
        <v>100</v>
      </c>
      <c r="G35" s="31">
        <v>100</v>
      </c>
      <c r="H35" s="32">
        <v>2083</v>
      </c>
      <c r="I35" s="50">
        <v>0.22320000000000001</v>
      </c>
      <c r="J35" s="50">
        <v>0.22320000000000001</v>
      </c>
      <c r="K35" s="44">
        <v>23502912766</v>
      </c>
      <c r="L35" s="30">
        <f t="shared" si="19"/>
        <v>8.2491395705086394E-3</v>
      </c>
      <c r="M35" s="31">
        <v>100</v>
      </c>
      <c r="N35" s="31">
        <v>100</v>
      </c>
      <c r="O35" s="32">
        <v>2083</v>
      </c>
      <c r="P35" s="50">
        <v>0.21890000000000001</v>
      </c>
      <c r="Q35" s="50">
        <v>0.21890000000000001</v>
      </c>
      <c r="R35" s="56">
        <f t="shared" si="21"/>
        <v>4.877103395909968E-2</v>
      </c>
      <c r="S35" s="56">
        <f t="shared" si="22"/>
        <v>0</v>
      </c>
      <c r="T35" s="56">
        <f t="shared" si="23"/>
        <v>0</v>
      </c>
      <c r="U35" s="57">
        <f t="shared" si="24"/>
        <v>-4.2999999999999983E-3</v>
      </c>
      <c r="V35" s="58">
        <f t="shared" si="25"/>
        <v>-4.2999999999999983E-3</v>
      </c>
    </row>
    <row r="36" spans="1:22" ht="15" customHeight="1">
      <c r="A36" s="164">
        <v>28</v>
      </c>
      <c r="B36" s="165" t="s">
        <v>62</v>
      </c>
      <c r="C36" s="166" t="s">
        <v>63</v>
      </c>
      <c r="D36" s="44">
        <v>917917530.51999998</v>
      </c>
      <c r="E36" s="30">
        <f t="shared" si="20"/>
        <v>3.2217410237041016E-4</v>
      </c>
      <c r="F36" s="31">
        <v>1</v>
      </c>
      <c r="G36" s="31">
        <v>1</v>
      </c>
      <c r="H36" s="32">
        <v>410</v>
      </c>
      <c r="I36" s="50">
        <v>0.20799999999999999</v>
      </c>
      <c r="J36" s="50">
        <v>0.20799999999999999</v>
      </c>
      <c r="K36" s="44">
        <v>927003595.26999998</v>
      </c>
      <c r="L36" s="30">
        <f t="shared" si="19"/>
        <v>3.2536316310580361E-4</v>
      </c>
      <c r="M36" s="31">
        <v>1</v>
      </c>
      <c r="N36" s="31">
        <v>1</v>
      </c>
      <c r="O36" s="32">
        <v>410</v>
      </c>
      <c r="P36" s="50">
        <v>0.20799999999999999</v>
      </c>
      <c r="Q36" s="50">
        <v>0.20799999999999999</v>
      </c>
      <c r="R36" s="56">
        <f t="shared" si="21"/>
        <v>9.8985632672825702E-3</v>
      </c>
      <c r="S36" s="56">
        <f t="shared" si="22"/>
        <v>0</v>
      </c>
      <c r="T36" s="56">
        <f t="shared" si="23"/>
        <v>0</v>
      </c>
      <c r="U36" s="57">
        <f t="shared" si="24"/>
        <v>0</v>
      </c>
      <c r="V36" s="58">
        <f t="shared" si="25"/>
        <v>0</v>
      </c>
    </row>
    <row r="37" spans="1:22">
      <c r="A37" s="164">
        <v>29</v>
      </c>
      <c r="B37" s="165" t="s">
        <v>64</v>
      </c>
      <c r="C37" s="166" t="s">
        <v>65</v>
      </c>
      <c r="D37" s="44">
        <v>52856104779.709999</v>
      </c>
      <c r="E37" s="30">
        <f t="shared" si="20"/>
        <v>1.8551631868881039E-2</v>
      </c>
      <c r="F37" s="31">
        <v>100</v>
      </c>
      <c r="G37" s="31">
        <v>100</v>
      </c>
      <c r="H37" s="32">
        <v>4124</v>
      </c>
      <c r="I37" s="50">
        <v>0.21113802836914999</v>
      </c>
      <c r="J37" s="50">
        <v>0.21113802836914999</v>
      </c>
      <c r="K37" s="44">
        <v>52846624530.589996</v>
      </c>
      <c r="L37" s="30">
        <f t="shared" si="19"/>
        <v>1.8548304455852163E-2</v>
      </c>
      <c r="M37" s="31">
        <v>100</v>
      </c>
      <c r="N37" s="31">
        <v>100</v>
      </c>
      <c r="O37" s="32">
        <v>4175</v>
      </c>
      <c r="P37" s="50">
        <v>0.211718411135773</v>
      </c>
      <c r="Q37" s="50">
        <v>0.211718411135773</v>
      </c>
      <c r="R37" s="56">
        <f t="shared" si="21"/>
        <v>-1.7935958692971929E-4</v>
      </c>
      <c r="S37" s="56">
        <f t="shared" si="22"/>
        <v>0</v>
      </c>
      <c r="T37" s="56">
        <f t="shared" si="23"/>
        <v>1.2366634335596509E-2</v>
      </c>
      <c r="U37" s="57">
        <f t="shared" si="24"/>
        <v>5.8038276662300547E-4</v>
      </c>
      <c r="V37" s="58">
        <f t="shared" si="25"/>
        <v>5.8038276662300547E-4</v>
      </c>
    </row>
    <row r="38" spans="1:22">
      <c r="A38" s="164">
        <v>30</v>
      </c>
      <c r="B38" s="165" t="s">
        <v>66</v>
      </c>
      <c r="C38" s="166" t="s">
        <v>67</v>
      </c>
      <c r="D38" s="44">
        <v>22699483432.099998</v>
      </c>
      <c r="E38" s="30">
        <f t="shared" si="20"/>
        <v>7.9671489603928766E-3</v>
      </c>
      <c r="F38" s="31">
        <v>100</v>
      </c>
      <c r="G38" s="31">
        <v>100</v>
      </c>
      <c r="H38" s="32">
        <v>6887</v>
      </c>
      <c r="I38" s="50">
        <v>0.21</v>
      </c>
      <c r="J38" s="50">
        <v>0.21</v>
      </c>
      <c r="K38" s="44">
        <v>22922029431.130001</v>
      </c>
      <c r="L38" s="30">
        <f t="shared" si="19"/>
        <v>8.0452589812713311E-3</v>
      </c>
      <c r="M38" s="31">
        <v>100</v>
      </c>
      <c r="N38" s="31">
        <v>100</v>
      </c>
      <c r="O38" s="32">
        <v>6907</v>
      </c>
      <c r="P38" s="50">
        <v>0.21490000000000001</v>
      </c>
      <c r="Q38" s="50">
        <v>0.21490000000000001</v>
      </c>
      <c r="R38" s="56">
        <f t="shared" si="21"/>
        <v>9.8040116065061574E-3</v>
      </c>
      <c r="S38" s="56">
        <f t="shared" si="22"/>
        <v>0</v>
      </c>
      <c r="T38" s="56">
        <f t="shared" si="23"/>
        <v>2.9040220705677361E-3</v>
      </c>
      <c r="U38" s="57">
        <f t="shared" si="24"/>
        <v>4.9000000000000155E-3</v>
      </c>
      <c r="V38" s="58">
        <f t="shared" si="25"/>
        <v>4.9000000000000155E-3</v>
      </c>
    </row>
    <row r="39" spans="1:22">
      <c r="A39" s="164">
        <v>31</v>
      </c>
      <c r="B39" s="165" t="s">
        <v>68</v>
      </c>
      <c r="C39" s="166" t="s">
        <v>69</v>
      </c>
      <c r="D39" s="44">
        <v>44514190.369999997</v>
      </c>
      <c r="E39" s="30">
        <f t="shared" si="20"/>
        <v>1.5623755782369633E-5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1.5623755782369633E-5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64">
        <v>32</v>
      </c>
      <c r="B40" s="165" t="s">
        <v>70</v>
      </c>
      <c r="C40" s="166" t="s">
        <v>300</v>
      </c>
      <c r="D40" s="44">
        <v>24698993066.880001</v>
      </c>
      <c r="E40" s="30">
        <f t="shared" si="20"/>
        <v>8.6689442746203972E-3</v>
      </c>
      <c r="F40" s="31">
        <v>1</v>
      </c>
      <c r="G40" s="31">
        <v>1</v>
      </c>
      <c r="H40" s="32">
        <v>5740</v>
      </c>
      <c r="I40" s="50">
        <v>0.22770000000000001</v>
      </c>
      <c r="J40" s="50">
        <v>0.22770000000000001</v>
      </c>
      <c r="K40" s="44">
        <v>24805780896.419998</v>
      </c>
      <c r="L40" s="30">
        <f t="shared" si="19"/>
        <v>8.7064250634518777E-3</v>
      </c>
      <c r="M40" s="31">
        <v>1</v>
      </c>
      <c r="N40" s="31">
        <v>1</v>
      </c>
      <c r="O40" s="32">
        <v>5836</v>
      </c>
      <c r="P40" s="50">
        <v>0.19620000000000001</v>
      </c>
      <c r="Q40" s="50">
        <v>0.19620000000000001</v>
      </c>
      <c r="R40" s="56">
        <f t="shared" si="21"/>
        <v>4.3235701654248306E-3</v>
      </c>
      <c r="S40" s="56">
        <f t="shared" si="22"/>
        <v>0</v>
      </c>
      <c r="T40" s="56">
        <f t="shared" si="23"/>
        <v>1.6724738675958188E-2</v>
      </c>
      <c r="U40" s="57">
        <f t="shared" si="24"/>
        <v>-3.15E-2</v>
      </c>
      <c r="V40" s="58">
        <f t="shared" si="25"/>
        <v>-3.15E-2</v>
      </c>
    </row>
    <row r="41" spans="1:22">
      <c r="A41" s="164">
        <v>33</v>
      </c>
      <c r="B41" s="165" t="s">
        <v>71</v>
      </c>
      <c r="C41" s="166" t="s">
        <v>72</v>
      </c>
      <c r="D41" s="44">
        <v>49662021276.389999</v>
      </c>
      <c r="E41" s="30">
        <f t="shared" si="20"/>
        <v>1.7430560583756655E-2</v>
      </c>
      <c r="F41" s="45">
        <v>100</v>
      </c>
      <c r="G41" s="45">
        <v>100</v>
      </c>
      <c r="H41" s="32">
        <v>3385</v>
      </c>
      <c r="I41" s="50">
        <v>0.20899999999999999</v>
      </c>
      <c r="J41" s="50">
        <v>0.20899999999999999</v>
      </c>
      <c r="K41" s="44">
        <v>53065982788.769997</v>
      </c>
      <c r="L41" s="30">
        <f t="shared" si="19"/>
        <v>1.8625295631613501E-2</v>
      </c>
      <c r="M41" s="45">
        <v>100</v>
      </c>
      <c r="N41" s="45">
        <v>100</v>
      </c>
      <c r="O41" s="32">
        <v>3461</v>
      </c>
      <c r="P41" s="50">
        <v>0.20660000000000001</v>
      </c>
      <c r="Q41" s="50">
        <v>0.20660000000000001</v>
      </c>
      <c r="R41" s="56">
        <f t="shared" si="21"/>
        <v>6.8542548710120402E-2</v>
      </c>
      <c r="S41" s="56">
        <f t="shared" si="22"/>
        <v>0</v>
      </c>
      <c r="T41" s="56">
        <f t="shared" si="23"/>
        <v>2.2451994091580503E-2</v>
      </c>
      <c r="U41" s="57">
        <f t="shared" si="24"/>
        <v>-2.3999999999999855E-3</v>
      </c>
      <c r="V41" s="58">
        <f t="shared" si="25"/>
        <v>-2.3999999999999855E-3</v>
      </c>
    </row>
    <row r="42" spans="1:22">
      <c r="A42" s="164">
        <v>34</v>
      </c>
      <c r="B42" s="165" t="s">
        <v>73</v>
      </c>
      <c r="C42" s="166" t="s">
        <v>72</v>
      </c>
      <c r="D42" s="44">
        <v>6555404524.2399998</v>
      </c>
      <c r="E42" s="30">
        <f t="shared" si="20"/>
        <v>2.3008402149978665E-3</v>
      </c>
      <c r="F42" s="45">
        <v>1000000</v>
      </c>
      <c r="G42" s="45">
        <v>1000000</v>
      </c>
      <c r="H42" s="32">
        <v>19</v>
      </c>
      <c r="I42" s="50">
        <v>0.20399999999999999</v>
      </c>
      <c r="J42" s="50">
        <v>0.20399999999999999</v>
      </c>
      <c r="K42" s="44">
        <v>6642861377.5799999</v>
      </c>
      <c r="L42" s="30">
        <f t="shared" si="19"/>
        <v>2.3315361460419042E-3</v>
      </c>
      <c r="M42" s="45">
        <v>1000000</v>
      </c>
      <c r="N42" s="45">
        <v>1000000</v>
      </c>
      <c r="O42" s="32">
        <v>23</v>
      </c>
      <c r="P42" s="50">
        <v>0.21210000000000001</v>
      </c>
      <c r="Q42" s="50">
        <v>0.21210000000000001</v>
      </c>
      <c r="R42" s="56">
        <f t="shared" si="21"/>
        <v>1.3341183296409835E-2</v>
      </c>
      <c r="S42" s="56">
        <f t="shared" si="22"/>
        <v>0</v>
      </c>
      <c r="T42" s="56">
        <f t="shared" si="23"/>
        <v>0.21052631578947367</v>
      </c>
      <c r="U42" s="57">
        <f t="shared" si="24"/>
        <v>8.1000000000000238E-3</v>
      </c>
      <c r="V42" s="58">
        <f t="shared" si="25"/>
        <v>8.1000000000000238E-3</v>
      </c>
    </row>
    <row r="43" spans="1:22">
      <c r="A43" s="164">
        <v>35</v>
      </c>
      <c r="B43" s="165" t="s">
        <v>74</v>
      </c>
      <c r="C43" s="166" t="s">
        <v>75</v>
      </c>
      <c r="D43" s="44">
        <v>4529418260.7700005</v>
      </c>
      <c r="E43" s="30">
        <f t="shared" si="20"/>
        <v>1.5897520353457552E-3</v>
      </c>
      <c r="F43" s="31">
        <v>1</v>
      </c>
      <c r="G43" s="31">
        <v>1</v>
      </c>
      <c r="H43" s="32">
        <v>889</v>
      </c>
      <c r="I43" s="50">
        <v>0.21740000000000001</v>
      </c>
      <c r="J43" s="50">
        <v>0.21740000000000001</v>
      </c>
      <c r="K43" s="44">
        <v>4904892721.5900002</v>
      </c>
      <c r="L43" s="30">
        <f t="shared" si="19"/>
        <v>1.7215374554468057E-3</v>
      </c>
      <c r="M43" s="31">
        <v>1</v>
      </c>
      <c r="N43" s="31">
        <v>1</v>
      </c>
      <c r="O43" s="32">
        <v>903</v>
      </c>
      <c r="P43" s="50">
        <v>0.2167</v>
      </c>
      <c r="Q43" s="50">
        <v>0.2167</v>
      </c>
      <c r="R43" s="56">
        <f t="shared" si="21"/>
        <v>8.2896839992023408E-2</v>
      </c>
      <c r="S43" s="56">
        <f t="shared" si="22"/>
        <v>0</v>
      </c>
      <c r="T43" s="56">
        <f t="shared" si="23"/>
        <v>1.5748031496062992E-2</v>
      </c>
      <c r="U43" s="57">
        <f t="shared" si="24"/>
        <v>-7.0000000000000617E-4</v>
      </c>
      <c r="V43" s="58">
        <f t="shared" si="25"/>
        <v>-7.0000000000000617E-4</v>
      </c>
    </row>
    <row r="44" spans="1:22">
      <c r="A44" s="164">
        <v>36</v>
      </c>
      <c r="B44" s="165" t="s">
        <v>76</v>
      </c>
      <c r="C44" s="166" t="s">
        <v>31</v>
      </c>
      <c r="D44" s="44">
        <v>502701831796.48999</v>
      </c>
      <c r="E44" s="30">
        <f t="shared" si="20"/>
        <v>0.17644015506191085</v>
      </c>
      <c r="F44" s="31">
        <v>100</v>
      </c>
      <c r="G44" s="31">
        <v>100</v>
      </c>
      <c r="H44" s="32">
        <v>15968</v>
      </c>
      <c r="I44" s="50">
        <v>0.20880000000000001</v>
      </c>
      <c r="J44" s="50">
        <v>0.20880000000000001</v>
      </c>
      <c r="K44" s="44">
        <v>510205993705.67999</v>
      </c>
      <c r="L44" s="30">
        <f t="shared" si="19"/>
        <v>0.17907399366587118</v>
      </c>
      <c r="M44" s="31">
        <v>100</v>
      </c>
      <c r="N44" s="31">
        <v>100</v>
      </c>
      <c r="O44" s="32">
        <v>16083</v>
      </c>
      <c r="P44" s="50">
        <v>0.2099</v>
      </c>
      <c r="Q44" s="50">
        <v>0.2099</v>
      </c>
      <c r="R44" s="56">
        <f t="shared" si="21"/>
        <v>1.4927659766769918E-2</v>
      </c>
      <c r="S44" s="56">
        <f t="shared" si="22"/>
        <v>0</v>
      </c>
      <c r="T44" s="56">
        <f t="shared" si="23"/>
        <v>7.2019038076152307E-3</v>
      </c>
      <c r="U44" s="57">
        <f t="shared" si="24"/>
        <v>1.0999999999999899E-3</v>
      </c>
      <c r="V44" s="58">
        <f t="shared" si="25"/>
        <v>1.0999999999999899E-3</v>
      </c>
    </row>
    <row r="45" spans="1:22">
      <c r="A45" s="164">
        <v>37</v>
      </c>
      <c r="B45" s="165" t="s">
        <v>77</v>
      </c>
      <c r="C45" s="166" t="s">
        <v>78</v>
      </c>
      <c r="D45" s="44">
        <v>2052614710.55</v>
      </c>
      <c r="E45" s="30">
        <f t="shared" si="20"/>
        <v>7.2043433085880785E-4</v>
      </c>
      <c r="F45" s="31">
        <v>1</v>
      </c>
      <c r="G45" s="31">
        <v>1</v>
      </c>
      <c r="H45" s="46">
        <v>1209</v>
      </c>
      <c r="I45" s="53">
        <v>0.2046</v>
      </c>
      <c r="J45" s="53">
        <v>0.2046</v>
      </c>
      <c r="K45" s="44">
        <v>2146299404.6099999</v>
      </c>
      <c r="L45" s="30">
        <f t="shared" si="19"/>
        <v>7.5331613255784325E-4</v>
      </c>
      <c r="M45" s="31">
        <v>1</v>
      </c>
      <c r="N45" s="31">
        <v>1</v>
      </c>
      <c r="O45" s="46">
        <v>1247</v>
      </c>
      <c r="P45" s="53">
        <v>0.1807</v>
      </c>
      <c r="Q45" s="53">
        <v>0.1807</v>
      </c>
      <c r="R45" s="56">
        <f t="shared" si="21"/>
        <v>4.5641636288817712E-2</v>
      </c>
      <c r="S45" s="56">
        <f t="shared" si="22"/>
        <v>0</v>
      </c>
      <c r="T45" s="56">
        <f t="shared" si="23"/>
        <v>3.1430934656741107E-2</v>
      </c>
      <c r="U45" s="57">
        <f t="shared" si="24"/>
        <v>-2.3900000000000005E-2</v>
      </c>
      <c r="V45" s="58">
        <f t="shared" si="25"/>
        <v>-2.3900000000000005E-2</v>
      </c>
    </row>
    <row r="46" spans="1:22">
      <c r="A46" s="164">
        <v>38</v>
      </c>
      <c r="B46" s="165" t="s">
        <v>302</v>
      </c>
      <c r="C46" s="166" t="s">
        <v>303</v>
      </c>
      <c r="D46" s="44">
        <v>1023037167.21</v>
      </c>
      <c r="E46" s="30">
        <f t="shared" si="20"/>
        <v>3.5906938268270454E-4</v>
      </c>
      <c r="F46" s="31">
        <v>1</v>
      </c>
      <c r="G46" s="31">
        <v>1</v>
      </c>
      <c r="H46" s="46">
        <v>179</v>
      </c>
      <c r="I46" s="53">
        <v>0.20979999999999999</v>
      </c>
      <c r="J46" s="53">
        <v>0.20979999999999999</v>
      </c>
      <c r="K46" s="44">
        <v>1191851747.21</v>
      </c>
      <c r="L46" s="30">
        <f t="shared" si="19"/>
        <v>4.183205506473551E-4</v>
      </c>
      <c r="M46" s="31">
        <v>1</v>
      </c>
      <c r="N46" s="31">
        <v>1</v>
      </c>
      <c r="O46" s="46">
        <v>199</v>
      </c>
      <c r="P46" s="53">
        <v>0.2026</v>
      </c>
      <c r="Q46" s="53">
        <v>0.2026</v>
      </c>
      <c r="R46" s="56">
        <f t="shared" si="21"/>
        <v>0.16501314459609193</v>
      </c>
      <c r="S46" s="56">
        <f t="shared" si="22"/>
        <v>0</v>
      </c>
      <c r="T46" s="56">
        <f t="shared" si="23"/>
        <v>0.11173184357541899</v>
      </c>
      <c r="U46" s="57">
        <f t="shared" si="24"/>
        <v>-7.1999999999999842E-3</v>
      </c>
      <c r="V46" s="58">
        <f t="shared" si="25"/>
        <v>-7.1999999999999842E-3</v>
      </c>
    </row>
    <row r="47" spans="1:22">
      <c r="A47" s="164">
        <v>39</v>
      </c>
      <c r="B47" s="165" t="s">
        <v>79</v>
      </c>
      <c r="C47" s="166" t="s">
        <v>80</v>
      </c>
      <c r="D47" s="44">
        <v>918043855.23000002</v>
      </c>
      <c r="E47" s="30">
        <f t="shared" si="20"/>
        <v>3.2221844028607061E-4</v>
      </c>
      <c r="F47" s="31">
        <v>10</v>
      </c>
      <c r="G47" s="31">
        <v>10</v>
      </c>
      <c r="H47" s="32">
        <v>457</v>
      </c>
      <c r="I47" s="50">
        <v>0.18310000000000001</v>
      </c>
      <c r="J47" s="50">
        <v>0.18310000000000001</v>
      </c>
      <c r="K47" s="44">
        <v>920874563.38999999</v>
      </c>
      <c r="L47" s="30">
        <f t="shared" si="19"/>
        <v>3.2321197274426866E-4</v>
      </c>
      <c r="M47" s="31">
        <v>10</v>
      </c>
      <c r="N47" s="31">
        <v>10</v>
      </c>
      <c r="O47" s="32">
        <v>458</v>
      </c>
      <c r="P47" s="50">
        <v>0.18820000000000001</v>
      </c>
      <c r="Q47" s="50">
        <v>0.18820000000000001</v>
      </c>
      <c r="R47" s="56">
        <f t="shared" si="21"/>
        <v>3.08341278455677E-3</v>
      </c>
      <c r="S47" s="56">
        <f t="shared" si="22"/>
        <v>0</v>
      </c>
      <c r="T47" s="56">
        <f t="shared" si="23"/>
        <v>2.1881838074398249E-3</v>
      </c>
      <c r="U47" s="57">
        <f t="shared" si="24"/>
        <v>5.0999999999999934E-3</v>
      </c>
      <c r="V47" s="58">
        <f t="shared" si="25"/>
        <v>5.0999999999999934E-3</v>
      </c>
    </row>
    <row r="48" spans="1:22">
      <c r="A48" s="164">
        <v>40</v>
      </c>
      <c r="B48" s="165" t="s">
        <v>81</v>
      </c>
      <c r="C48" s="166" t="s">
        <v>82</v>
      </c>
      <c r="D48" s="44">
        <v>6840624692.3599997</v>
      </c>
      <c r="E48" s="30">
        <f t="shared" si="20"/>
        <v>2.400947848403607E-3</v>
      </c>
      <c r="F48" s="31">
        <v>100</v>
      </c>
      <c r="G48" s="31">
        <v>100</v>
      </c>
      <c r="H48" s="32">
        <v>1517</v>
      </c>
      <c r="I48" s="50">
        <v>0.1981</v>
      </c>
      <c r="J48" s="50">
        <v>0.1981</v>
      </c>
      <c r="K48" s="44">
        <v>8291145025.1700001</v>
      </c>
      <c r="L48" s="30">
        <f t="shared" si="19"/>
        <v>2.9100568594586126E-3</v>
      </c>
      <c r="M48" s="31">
        <v>100</v>
      </c>
      <c r="N48" s="31">
        <v>100</v>
      </c>
      <c r="O48" s="32">
        <v>894</v>
      </c>
      <c r="P48" s="50">
        <v>0.1229</v>
      </c>
      <c r="Q48" s="50">
        <v>0.1229</v>
      </c>
      <c r="R48" s="56">
        <f t="shared" si="21"/>
        <v>0.212045010221073</v>
      </c>
      <c r="S48" s="56">
        <f t="shared" si="22"/>
        <v>0</v>
      </c>
      <c r="T48" s="56">
        <f t="shared" si="23"/>
        <v>-0.41067897165458139</v>
      </c>
      <c r="U48" s="57">
        <f t="shared" si="24"/>
        <v>-7.5200000000000003E-2</v>
      </c>
      <c r="V48" s="58">
        <f t="shared" si="25"/>
        <v>-7.5200000000000003E-2</v>
      </c>
    </row>
    <row r="49" spans="1:22">
      <c r="A49" s="164">
        <v>41</v>
      </c>
      <c r="B49" s="165" t="s">
        <v>83</v>
      </c>
      <c r="C49" s="165" t="s">
        <v>84</v>
      </c>
      <c r="D49" s="132">
        <v>107247412.72013694</v>
      </c>
      <c r="E49" s="30">
        <f>(D49/$D$190)</f>
        <v>1.8083539454050769E-3</v>
      </c>
      <c r="F49" s="33">
        <v>1</v>
      </c>
      <c r="G49" s="33">
        <v>1</v>
      </c>
      <c r="H49" s="32">
        <v>81</v>
      </c>
      <c r="I49" s="50">
        <v>0.16485722638431904</v>
      </c>
      <c r="J49" s="50">
        <v>0.16485722638431904</v>
      </c>
      <c r="K49" s="132">
        <v>95803172.780722708</v>
      </c>
      <c r="L49" s="54">
        <f>(K49/$K$190)</f>
        <v>1.5874874602864336E-3</v>
      </c>
      <c r="M49" s="33">
        <v>1</v>
      </c>
      <c r="N49" s="33">
        <v>1</v>
      </c>
      <c r="O49" s="32">
        <v>86</v>
      </c>
      <c r="P49" s="50">
        <v>0.18090000000000001</v>
      </c>
      <c r="Q49" s="50">
        <v>0.18090000000000001</v>
      </c>
      <c r="R49" s="57">
        <f t="shared" si="21"/>
        <v>-0.10670877412472482</v>
      </c>
      <c r="S49" s="57">
        <f t="shared" si="22"/>
        <v>0</v>
      </c>
      <c r="T49" s="57">
        <f t="shared" si="23"/>
        <v>6.1728395061728392E-2</v>
      </c>
      <c r="U49" s="57">
        <f t="shared" si="24"/>
        <v>1.6042773615680961E-2</v>
      </c>
      <c r="V49" s="58">
        <f t="shared" si="25"/>
        <v>1.6042773615680961E-2</v>
      </c>
    </row>
    <row r="50" spans="1:22">
      <c r="A50" s="164">
        <v>42</v>
      </c>
      <c r="B50" s="165" t="s">
        <v>289</v>
      </c>
      <c r="C50" s="166" t="s">
        <v>37</v>
      </c>
      <c r="D50" s="44">
        <v>385229047.24000001</v>
      </c>
      <c r="E50" s="30">
        <f t="shared" ref="E50" si="28">(D50/$K$70)</f>
        <v>1.352091210538779E-4</v>
      </c>
      <c r="F50" s="31">
        <v>100</v>
      </c>
      <c r="G50" s="31">
        <v>100</v>
      </c>
      <c r="H50" s="32">
        <v>1818</v>
      </c>
      <c r="I50" s="50">
        <v>0.19690869</v>
      </c>
      <c r="J50" s="50">
        <v>0.19690869</v>
      </c>
      <c r="K50" s="44">
        <v>399301544.55000001</v>
      </c>
      <c r="L50" s="30">
        <f t="shared" ref="L50" si="29">(K50/$K$70)</f>
        <v>1.4014833839989685E-4</v>
      </c>
      <c r="M50" s="31">
        <v>100</v>
      </c>
      <c r="N50" s="31">
        <v>100</v>
      </c>
      <c r="O50" s="32">
        <v>1839</v>
      </c>
      <c r="P50" s="50">
        <v>0.19814996000000001</v>
      </c>
      <c r="Q50" s="50">
        <v>0.19814996000000001</v>
      </c>
      <c r="R50" s="56">
        <f t="shared" ref="R50" si="30">((K50-D50)/D50)</f>
        <v>3.6530208225011525E-2</v>
      </c>
      <c r="S50" s="56">
        <f t="shared" ref="S50" si="31">((N50-G50)/G50)</f>
        <v>0</v>
      </c>
      <c r="T50" s="56">
        <f t="shared" ref="T50" si="32">((O50-H50)/H50)</f>
        <v>1.155115511551155E-2</v>
      </c>
      <c r="U50" s="57">
        <f t="shared" ref="U50" si="33">P50-I50</f>
        <v>1.2412700000000165E-3</v>
      </c>
      <c r="V50" s="58">
        <f t="shared" ref="V50" si="34">Q50-J50</f>
        <v>1.2412700000000165E-3</v>
      </c>
    </row>
    <row r="51" spans="1:22">
      <c r="A51" s="164">
        <v>43</v>
      </c>
      <c r="B51" s="165" t="s">
        <v>85</v>
      </c>
      <c r="C51" s="166" t="s">
        <v>37</v>
      </c>
      <c r="D51" s="44">
        <v>80645013433.639999</v>
      </c>
      <c r="E51" s="30">
        <f t="shared" si="20"/>
        <v>2.830508618667953E-2</v>
      </c>
      <c r="F51" s="31">
        <v>100</v>
      </c>
      <c r="G51" s="31">
        <v>100</v>
      </c>
      <c r="H51" s="32">
        <v>11504</v>
      </c>
      <c r="I51" s="50">
        <v>0.19673719000000001</v>
      </c>
      <c r="J51" s="50">
        <v>0.19673719000000001</v>
      </c>
      <c r="K51" s="44">
        <v>81972585588.809998</v>
      </c>
      <c r="L51" s="30">
        <f t="shared" si="19"/>
        <v>2.8771042389936205E-2</v>
      </c>
      <c r="M51" s="31">
        <v>100</v>
      </c>
      <c r="N51" s="31">
        <v>100</v>
      </c>
      <c r="O51" s="32">
        <v>11580</v>
      </c>
      <c r="P51" s="50">
        <v>0.1973596</v>
      </c>
      <c r="Q51" s="50">
        <v>0.1973596</v>
      </c>
      <c r="R51" s="56">
        <f t="shared" si="21"/>
        <v>1.6461924905777484E-2</v>
      </c>
      <c r="S51" s="56">
        <f t="shared" si="22"/>
        <v>0</v>
      </c>
      <c r="T51" s="56">
        <f t="shared" si="23"/>
        <v>6.6063977746870653E-3</v>
      </c>
      <c r="U51" s="57">
        <f t="shared" si="24"/>
        <v>6.2240999999998992E-4</v>
      </c>
      <c r="V51" s="58">
        <f t="shared" si="25"/>
        <v>6.2240999999998992E-4</v>
      </c>
    </row>
    <row r="52" spans="1:22">
      <c r="A52" s="164">
        <v>44</v>
      </c>
      <c r="B52" s="165" t="s">
        <v>86</v>
      </c>
      <c r="C52" s="166" t="s">
        <v>41</v>
      </c>
      <c r="D52" s="44">
        <v>16948717194.209999</v>
      </c>
      <c r="E52" s="30">
        <f t="shared" si="20"/>
        <v>5.9487236781295668E-3</v>
      </c>
      <c r="F52" s="31">
        <v>1</v>
      </c>
      <c r="G52" s="31">
        <v>1</v>
      </c>
      <c r="H52" s="32">
        <v>1617</v>
      </c>
      <c r="I52" s="50">
        <v>0.2001</v>
      </c>
      <c r="J52" s="50">
        <v>0.18140000000000001</v>
      </c>
      <c r="K52" s="44">
        <v>17596090381.900002</v>
      </c>
      <c r="L52" s="30">
        <f t="shared" si="19"/>
        <v>6.1759411227343608E-3</v>
      </c>
      <c r="M52" s="31">
        <v>1</v>
      </c>
      <c r="N52" s="31">
        <v>1</v>
      </c>
      <c r="O52" s="32">
        <v>1645</v>
      </c>
      <c r="P52" s="50">
        <v>0.20150000000000001</v>
      </c>
      <c r="Q52" s="50">
        <v>0.20150000000000001</v>
      </c>
      <c r="R52" s="56">
        <f t="shared" si="21"/>
        <v>3.819599915863587E-2</v>
      </c>
      <c r="S52" s="56">
        <f t="shared" si="22"/>
        <v>0</v>
      </c>
      <c r="T52" s="56">
        <f t="shared" si="23"/>
        <v>1.7316017316017316E-2</v>
      </c>
      <c r="U52" s="57">
        <f t="shared" si="24"/>
        <v>1.4000000000000123E-3</v>
      </c>
      <c r="V52" s="58">
        <f t="shared" si="25"/>
        <v>2.0100000000000007E-2</v>
      </c>
    </row>
    <row r="53" spans="1:22">
      <c r="A53" s="164">
        <v>45</v>
      </c>
      <c r="B53" s="165" t="s">
        <v>313</v>
      </c>
      <c r="C53" s="166" t="s">
        <v>312</v>
      </c>
      <c r="D53" s="44">
        <v>1650925052.7721694</v>
      </c>
      <c r="E53" s="30">
        <f t="shared" si="20"/>
        <v>5.7944780361301399E-4</v>
      </c>
      <c r="F53" s="31">
        <v>100</v>
      </c>
      <c r="G53" s="31">
        <v>100</v>
      </c>
      <c r="H53" s="32">
        <v>120</v>
      </c>
      <c r="I53" s="50">
        <v>0.21049999999999999</v>
      </c>
      <c r="J53" s="50">
        <v>0.21049999999999999</v>
      </c>
      <c r="K53" s="44">
        <v>1650925052.7721694</v>
      </c>
      <c r="L53" s="30">
        <f t="shared" si="19"/>
        <v>5.7944780361301399E-4</v>
      </c>
      <c r="M53" s="31">
        <v>100</v>
      </c>
      <c r="N53" s="31">
        <v>100</v>
      </c>
      <c r="O53" s="32">
        <v>120</v>
      </c>
      <c r="P53" s="50">
        <v>0.21049999999999999</v>
      </c>
      <c r="Q53" s="50">
        <v>0.21049999999999999</v>
      </c>
      <c r="R53" s="56">
        <f t="shared" si="21"/>
        <v>0</v>
      </c>
      <c r="S53" s="56">
        <f t="shared" si="22"/>
        <v>0</v>
      </c>
      <c r="T53" s="56">
        <f t="shared" si="23"/>
        <v>0</v>
      </c>
      <c r="U53" s="57">
        <f t="shared" si="24"/>
        <v>0</v>
      </c>
      <c r="V53" s="58">
        <f t="shared" si="25"/>
        <v>0</v>
      </c>
    </row>
    <row r="54" spans="1:22">
      <c r="A54" s="164">
        <v>46</v>
      </c>
      <c r="B54" s="165" t="s">
        <v>87</v>
      </c>
      <c r="C54" s="166" t="s">
        <v>43</v>
      </c>
      <c r="D54" s="47">
        <v>38177605584.619995</v>
      </c>
      <c r="E54" s="30">
        <f t="shared" si="20"/>
        <v>1.3399717731623071E-2</v>
      </c>
      <c r="F54" s="31">
        <v>10</v>
      </c>
      <c r="G54" s="31">
        <v>10</v>
      </c>
      <c r="H54" s="32">
        <v>4472</v>
      </c>
      <c r="I54" s="50">
        <v>0.22320000000000001</v>
      </c>
      <c r="J54" s="50">
        <v>0.22320000000000001</v>
      </c>
      <c r="K54" s="47">
        <v>39779770680.629997</v>
      </c>
      <c r="L54" s="30">
        <f t="shared" si="19"/>
        <v>1.3962051584604189E-2</v>
      </c>
      <c r="M54" s="31">
        <v>10</v>
      </c>
      <c r="N54" s="31">
        <v>10</v>
      </c>
      <c r="O54" s="32">
        <v>4548</v>
      </c>
      <c r="P54" s="50">
        <v>0.2218</v>
      </c>
      <c r="Q54" s="50">
        <v>0.2218</v>
      </c>
      <c r="R54" s="56">
        <f t="shared" si="21"/>
        <v>4.1966096916655267E-2</v>
      </c>
      <c r="S54" s="56">
        <f t="shared" si="22"/>
        <v>0</v>
      </c>
      <c r="T54" s="56">
        <f t="shared" si="23"/>
        <v>1.6994633273703041E-2</v>
      </c>
      <c r="U54" s="57">
        <f t="shared" si="24"/>
        <v>-1.4000000000000123E-3</v>
      </c>
      <c r="V54" s="58">
        <f t="shared" si="25"/>
        <v>-1.4000000000000123E-3</v>
      </c>
    </row>
    <row r="55" spans="1:22">
      <c r="A55" s="164">
        <v>47</v>
      </c>
      <c r="B55" s="165" t="s">
        <v>88</v>
      </c>
      <c r="C55" s="166" t="s">
        <v>89</v>
      </c>
      <c r="D55" s="44">
        <v>18873528753</v>
      </c>
      <c r="E55" s="30">
        <f t="shared" si="20"/>
        <v>6.6243011843506953E-3</v>
      </c>
      <c r="F55" s="31">
        <v>100</v>
      </c>
      <c r="G55" s="31">
        <v>100</v>
      </c>
      <c r="H55" s="32">
        <v>3936</v>
      </c>
      <c r="I55" s="50">
        <v>0.21709999999999999</v>
      </c>
      <c r="J55" s="50">
        <v>0.21709999999999999</v>
      </c>
      <c r="K55" s="44">
        <v>19617131135</v>
      </c>
      <c r="L55" s="30">
        <f t="shared" si="19"/>
        <v>6.8852935087980053E-3</v>
      </c>
      <c r="M55" s="31">
        <v>100</v>
      </c>
      <c r="N55" s="31">
        <v>100</v>
      </c>
      <c r="O55" s="32">
        <v>4036</v>
      </c>
      <c r="P55" s="50">
        <v>0.21260000000000001</v>
      </c>
      <c r="Q55" s="50">
        <v>0.21260000000000001</v>
      </c>
      <c r="R55" s="56">
        <f t="shared" si="21"/>
        <v>3.9399223734554796E-2</v>
      </c>
      <c r="S55" s="56">
        <f t="shared" si="22"/>
        <v>0</v>
      </c>
      <c r="T55" s="56">
        <f t="shared" si="23"/>
        <v>2.540650406504065E-2</v>
      </c>
      <c r="U55" s="57">
        <f t="shared" si="24"/>
        <v>-4.4999999999999762E-3</v>
      </c>
      <c r="V55" s="58">
        <f t="shared" si="25"/>
        <v>-4.4999999999999762E-3</v>
      </c>
    </row>
    <row r="56" spans="1:22">
      <c r="A56" s="164">
        <v>48</v>
      </c>
      <c r="B56" s="165" t="s">
        <v>90</v>
      </c>
      <c r="C56" s="166" t="s">
        <v>91</v>
      </c>
      <c r="D56" s="44">
        <v>244267860.47999999</v>
      </c>
      <c r="E56" s="30">
        <f t="shared" si="20"/>
        <v>8.5734040446425387E-5</v>
      </c>
      <c r="F56" s="31">
        <v>1</v>
      </c>
      <c r="G56" s="31">
        <v>1</v>
      </c>
      <c r="H56" s="32">
        <v>92</v>
      </c>
      <c r="I56" s="50">
        <v>0.2374</v>
      </c>
      <c r="J56" s="50">
        <v>0.2374</v>
      </c>
      <c r="K56" s="44">
        <v>243083630.53999999</v>
      </c>
      <c r="L56" s="30">
        <f t="shared" si="19"/>
        <v>8.531839502596639E-5</v>
      </c>
      <c r="M56" s="31">
        <v>1</v>
      </c>
      <c r="N56" s="31">
        <v>1</v>
      </c>
      <c r="O56" s="32">
        <v>92</v>
      </c>
      <c r="P56" s="50">
        <v>0.20200000000000001</v>
      </c>
      <c r="Q56" s="50">
        <v>0.20200000000000001</v>
      </c>
      <c r="R56" s="56">
        <f t="shared" si="21"/>
        <v>-4.8480792261123493E-3</v>
      </c>
      <c r="S56" s="56">
        <f t="shared" si="22"/>
        <v>0</v>
      </c>
      <c r="T56" s="56">
        <f t="shared" si="23"/>
        <v>0</v>
      </c>
      <c r="U56" s="57">
        <f t="shared" si="24"/>
        <v>-3.5399999999999987E-2</v>
      </c>
      <c r="V56" s="58">
        <f t="shared" si="25"/>
        <v>-3.5399999999999987E-2</v>
      </c>
    </row>
    <row r="57" spans="1:22">
      <c r="A57" s="164">
        <v>49</v>
      </c>
      <c r="B57" s="165" t="s">
        <v>92</v>
      </c>
      <c r="C57" s="166" t="s">
        <v>45</v>
      </c>
      <c r="D57" s="47">
        <v>1224609651.25</v>
      </c>
      <c r="E57" s="30">
        <f t="shared" si="20"/>
        <v>4.2981804141174252E-4</v>
      </c>
      <c r="F57" s="31">
        <v>10</v>
      </c>
      <c r="G57" s="31">
        <v>10</v>
      </c>
      <c r="H57" s="32">
        <v>793</v>
      </c>
      <c r="I57" s="50">
        <v>0.17949999999999999</v>
      </c>
      <c r="J57" s="50">
        <v>0.17949999999999999</v>
      </c>
      <c r="K57" s="47">
        <v>1247481517.6800001</v>
      </c>
      <c r="L57" s="30">
        <f t="shared" si="19"/>
        <v>4.3784569399666137E-4</v>
      </c>
      <c r="M57" s="31">
        <v>10</v>
      </c>
      <c r="N57" s="31">
        <v>10</v>
      </c>
      <c r="O57" s="32">
        <v>797</v>
      </c>
      <c r="P57" s="50">
        <v>0.1288</v>
      </c>
      <c r="Q57" s="50">
        <v>0.1288</v>
      </c>
      <c r="R57" s="56">
        <f t="shared" si="21"/>
        <v>1.8676862791873302E-2</v>
      </c>
      <c r="S57" s="56">
        <f t="shared" si="22"/>
        <v>0</v>
      </c>
      <c r="T57" s="56">
        <f t="shared" si="23"/>
        <v>5.0441361916771753E-3</v>
      </c>
      <c r="U57" s="57">
        <f t="shared" si="24"/>
        <v>-5.0699999999999995E-2</v>
      </c>
      <c r="V57" s="58">
        <f t="shared" si="25"/>
        <v>-5.0699999999999995E-2</v>
      </c>
    </row>
    <row r="58" spans="1:22">
      <c r="A58" s="164">
        <v>50</v>
      </c>
      <c r="B58" s="165" t="s">
        <v>93</v>
      </c>
      <c r="C58" s="166" t="s">
        <v>94</v>
      </c>
      <c r="D58" s="47">
        <v>803465495.35000002</v>
      </c>
      <c r="E58" s="30">
        <f t="shared" si="20"/>
        <v>2.8200330219572284E-4</v>
      </c>
      <c r="F58" s="31">
        <v>1</v>
      </c>
      <c r="G58" s="31">
        <v>1</v>
      </c>
      <c r="H58" s="32">
        <v>79</v>
      </c>
      <c r="I58" s="50">
        <v>0.2223</v>
      </c>
      <c r="J58" s="50">
        <v>0.2223</v>
      </c>
      <c r="K58" s="47">
        <v>796639412.21000004</v>
      </c>
      <c r="L58" s="30">
        <f t="shared" si="19"/>
        <v>2.7960745819534795E-4</v>
      </c>
      <c r="M58" s="31">
        <v>1</v>
      </c>
      <c r="N58" s="31">
        <v>1</v>
      </c>
      <c r="O58" s="32">
        <v>79</v>
      </c>
      <c r="P58" s="50">
        <v>0.21010000000000001</v>
      </c>
      <c r="Q58" s="50">
        <v>0.21010000000000001</v>
      </c>
      <c r="R58" s="56">
        <f t="shared" si="21"/>
        <v>-8.4958012254483378E-3</v>
      </c>
      <c r="S58" s="56">
        <f t="shared" si="22"/>
        <v>0</v>
      </c>
      <c r="T58" s="56">
        <f t="shared" si="23"/>
        <v>0</v>
      </c>
      <c r="U58" s="57">
        <f t="shared" si="24"/>
        <v>-1.2199999999999989E-2</v>
      </c>
      <c r="V58" s="58">
        <f t="shared" si="25"/>
        <v>-1.2199999999999989E-2</v>
      </c>
    </row>
    <row r="59" spans="1:22">
      <c r="A59" s="164">
        <v>51</v>
      </c>
      <c r="B59" s="165" t="s">
        <v>308</v>
      </c>
      <c r="C59" s="166" t="s">
        <v>307</v>
      </c>
      <c r="D59" s="47">
        <v>514663155.89847672</v>
      </c>
      <c r="E59" s="30">
        <f t="shared" si="20"/>
        <v>1.8063838499824951E-4</v>
      </c>
      <c r="F59" s="31">
        <v>1</v>
      </c>
      <c r="G59" s="31">
        <v>1</v>
      </c>
      <c r="H59" s="32">
        <v>259</v>
      </c>
      <c r="I59" s="50">
        <v>0.18390000000000001</v>
      </c>
      <c r="J59" s="50">
        <v>0.18390000000000001</v>
      </c>
      <c r="K59" s="47">
        <v>519632150.38999999</v>
      </c>
      <c r="L59" s="30">
        <f t="shared" si="19"/>
        <v>1.8238242113086713E-4</v>
      </c>
      <c r="M59" s="31">
        <v>1</v>
      </c>
      <c r="N59" s="31">
        <v>1</v>
      </c>
      <c r="O59" s="32">
        <v>298</v>
      </c>
      <c r="P59" s="50">
        <v>0.18190000000000001</v>
      </c>
      <c r="Q59" s="50">
        <v>0.18190000000000001</v>
      </c>
      <c r="R59" s="56">
        <f t="shared" si="21"/>
        <v>9.6548479030883986E-3</v>
      </c>
      <c r="S59" s="56">
        <f t="shared" si="22"/>
        <v>0</v>
      </c>
      <c r="T59" s="56">
        <f t="shared" si="23"/>
        <v>0.15057915057915058</v>
      </c>
      <c r="U59" s="57">
        <f t="shared" si="24"/>
        <v>-2.0000000000000018E-3</v>
      </c>
      <c r="V59" s="58">
        <f t="shared" si="25"/>
        <v>-2.0000000000000018E-3</v>
      </c>
    </row>
    <row r="60" spans="1:22">
      <c r="A60" s="164">
        <v>52</v>
      </c>
      <c r="B60" s="165" t="s">
        <v>95</v>
      </c>
      <c r="C60" s="166" t="s">
        <v>96</v>
      </c>
      <c r="D60" s="47">
        <v>11233783593.450001</v>
      </c>
      <c r="E60" s="30">
        <f t="shared" si="20"/>
        <v>3.9428750678646473E-3</v>
      </c>
      <c r="F60" s="31">
        <v>100</v>
      </c>
      <c r="G60" s="31">
        <v>100</v>
      </c>
      <c r="H60" s="32">
        <v>116</v>
      </c>
      <c r="I60" s="50">
        <v>0.2104</v>
      </c>
      <c r="J60" s="50">
        <v>0.2104</v>
      </c>
      <c r="K60" s="47">
        <v>11248311846.453499</v>
      </c>
      <c r="L60" s="30">
        <f t="shared" si="19"/>
        <v>3.947974248035834E-3</v>
      </c>
      <c r="M60" s="31">
        <v>100</v>
      </c>
      <c r="N60" s="31">
        <v>100</v>
      </c>
      <c r="O60" s="32">
        <v>118</v>
      </c>
      <c r="P60" s="50">
        <v>0.19020000000000001</v>
      </c>
      <c r="Q60" s="50">
        <v>0.19020000000000001</v>
      </c>
      <c r="R60" s="56">
        <f t="shared" si="21"/>
        <v>1.2932644538362799E-3</v>
      </c>
      <c r="S60" s="56">
        <f t="shared" si="22"/>
        <v>0</v>
      </c>
      <c r="T60" s="56">
        <f t="shared" si="23"/>
        <v>1.7241379310344827E-2</v>
      </c>
      <c r="U60" s="57">
        <f t="shared" si="24"/>
        <v>-2.0199999999999996E-2</v>
      </c>
      <c r="V60" s="58">
        <f t="shared" si="25"/>
        <v>-2.0199999999999996E-2</v>
      </c>
    </row>
    <row r="61" spans="1:22">
      <c r="A61" s="164">
        <v>53</v>
      </c>
      <c r="B61" s="165" t="s">
        <v>97</v>
      </c>
      <c r="C61" s="166" t="s">
        <v>98</v>
      </c>
      <c r="D61" s="47">
        <v>51743000</v>
      </c>
      <c r="E61" s="30">
        <f t="shared" si="20"/>
        <v>1.8160950221212616E-5</v>
      </c>
      <c r="F61" s="31">
        <v>1000</v>
      </c>
      <c r="G61" s="31">
        <v>1000</v>
      </c>
      <c r="H61" s="32">
        <v>23</v>
      </c>
      <c r="I61" s="50">
        <v>0.182</v>
      </c>
      <c r="J61" s="50">
        <v>0.182</v>
      </c>
      <c r="K61" s="47">
        <v>51743000</v>
      </c>
      <c r="L61" s="30">
        <f t="shared" si="19"/>
        <v>1.8160950221212616E-5</v>
      </c>
      <c r="M61" s="31">
        <v>1000</v>
      </c>
      <c r="N61" s="31">
        <v>1000</v>
      </c>
      <c r="O61" s="32">
        <v>23</v>
      </c>
      <c r="P61" s="50">
        <v>0.18099999999999999</v>
      </c>
      <c r="Q61" s="50">
        <v>0.18099999999999999</v>
      </c>
      <c r="R61" s="56">
        <f t="shared" si="21"/>
        <v>0</v>
      </c>
      <c r="S61" s="56">
        <f t="shared" si="22"/>
        <v>0</v>
      </c>
      <c r="T61" s="56">
        <f t="shared" si="23"/>
        <v>0</v>
      </c>
      <c r="U61" s="57">
        <f t="shared" si="24"/>
        <v>-1.0000000000000009E-3</v>
      </c>
      <c r="V61" s="58">
        <f t="shared" si="25"/>
        <v>-1.0000000000000009E-3</v>
      </c>
    </row>
    <row r="62" spans="1:22">
      <c r="A62" s="164">
        <v>54</v>
      </c>
      <c r="B62" s="165" t="s">
        <v>99</v>
      </c>
      <c r="C62" s="166" t="s">
        <v>49</v>
      </c>
      <c r="D62" s="44">
        <v>1334998208027.8601</v>
      </c>
      <c r="E62" s="30">
        <f t="shared" si="20"/>
        <v>0.46856262685584549</v>
      </c>
      <c r="F62" s="31">
        <v>100</v>
      </c>
      <c r="G62" s="31">
        <v>100</v>
      </c>
      <c r="H62" s="32">
        <v>176544</v>
      </c>
      <c r="I62" s="50">
        <v>0.20830000000000001</v>
      </c>
      <c r="J62" s="50">
        <v>0.20830000000000001</v>
      </c>
      <c r="K62" s="44">
        <v>1371084383971.6299</v>
      </c>
      <c r="L62" s="30">
        <f t="shared" si="19"/>
        <v>0.48122828684828356</v>
      </c>
      <c r="M62" s="31">
        <v>100</v>
      </c>
      <c r="N62" s="31">
        <v>100</v>
      </c>
      <c r="O62" s="32">
        <v>178629</v>
      </c>
      <c r="P62" s="50">
        <v>0.20660000000000001</v>
      </c>
      <c r="Q62" s="50">
        <v>0.20660000000000001</v>
      </c>
      <c r="R62" s="56">
        <f t="shared" si="21"/>
        <v>2.7030879687155875E-2</v>
      </c>
      <c r="S62" s="56">
        <f t="shared" si="22"/>
        <v>0</v>
      </c>
      <c r="T62" s="56">
        <f t="shared" si="23"/>
        <v>1.1810087003806417E-2</v>
      </c>
      <c r="U62" s="57">
        <f t="shared" si="24"/>
        <v>-1.7000000000000071E-3</v>
      </c>
      <c r="V62" s="58">
        <f t="shared" si="25"/>
        <v>-1.7000000000000071E-3</v>
      </c>
    </row>
    <row r="63" spans="1:22">
      <c r="A63" s="164">
        <v>55</v>
      </c>
      <c r="B63" s="165" t="s">
        <v>100</v>
      </c>
      <c r="C63" s="165" t="s">
        <v>101</v>
      </c>
      <c r="D63" s="44">
        <v>3275727980.5500002</v>
      </c>
      <c r="E63" s="30">
        <f t="shared" si="20"/>
        <v>1.1497271668245343E-3</v>
      </c>
      <c r="F63" s="31">
        <v>100</v>
      </c>
      <c r="G63" s="31">
        <v>100</v>
      </c>
      <c r="H63" s="32">
        <v>558</v>
      </c>
      <c r="I63" s="50">
        <v>0.17469999999999999</v>
      </c>
      <c r="J63" s="50">
        <v>0.17469999999999999</v>
      </c>
      <c r="K63" s="44">
        <v>3274922594.3800001</v>
      </c>
      <c r="L63" s="30">
        <f t="shared" si="19"/>
        <v>1.1494444893968201E-3</v>
      </c>
      <c r="M63" s="31">
        <v>100</v>
      </c>
      <c r="N63" s="31">
        <v>100</v>
      </c>
      <c r="O63" s="32">
        <v>573</v>
      </c>
      <c r="P63" s="50">
        <v>0.2092</v>
      </c>
      <c r="Q63" s="50">
        <v>0.2092</v>
      </c>
      <c r="R63" s="56">
        <f t="shared" si="21"/>
        <v>-2.4586478937877208E-4</v>
      </c>
      <c r="S63" s="56">
        <f t="shared" si="22"/>
        <v>0</v>
      </c>
      <c r="T63" s="56">
        <f t="shared" si="23"/>
        <v>2.6881720430107527E-2</v>
      </c>
      <c r="U63" s="57">
        <f t="shared" si="24"/>
        <v>3.4500000000000003E-2</v>
      </c>
      <c r="V63" s="58">
        <f t="shared" si="25"/>
        <v>3.4500000000000003E-2</v>
      </c>
    </row>
    <row r="64" spans="1:22">
      <c r="A64" s="164">
        <v>56</v>
      </c>
      <c r="B64" s="165" t="s">
        <v>102</v>
      </c>
      <c r="C64" s="166" t="s">
        <v>103</v>
      </c>
      <c r="D64" s="44">
        <v>4285021702.7600002</v>
      </c>
      <c r="E64" s="30">
        <f t="shared" si="20"/>
        <v>1.5039728241624973E-3</v>
      </c>
      <c r="F64" s="31">
        <v>1</v>
      </c>
      <c r="G64" s="31">
        <v>1</v>
      </c>
      <c r="H64" s="32">
        <v>457</v>
      </c>
      <c r="I64" s="50">
        <v>0.221025</v>
      </c>
      <c r="J64" s="50">
        <v>0.221025</v>
      </c>
      <c r="K64" s="44">
        <v>4510413325.71</v>
      </c>
      <c r="L64" s="30">
        <f t="shared" si="19"/>
        <v>1.5830816126879647E-3</v>
      </c>
      <c r="M64" s="31">
        <v>1</v>
      </c>
      <c r="N64" s="31">
        <v>1</v>
      </c>
      <c r="O64" s="32">
        <v>481</v>
      </c>
      <c r="P64" s="50">
        <v>0.22390599999999999</v>
      </c>
      <c r="Q64" s="50">
        <v>0.22390599999999999</v>
      </c>
      <c r="R64" s="56">
        <f t="shared" si="21"/>
        <v>5.2599878970233487E-2</v>
      </c>
      <c r="S64" s="56">
        <f t="shared" si="22"/>
        <v>0</v>
      </c>
      <c r="T64" s="56">
        <f t="shared" si="23"/>
        <v>5.2516411378555797E-2</v>
      </c>
      <c r="U64" s="57">
        <f t="shared" si="24"/>
        <v>2.8809999999999947E-3</v>
      </c>
      <c r="V64" s="58">
        <f t="shared" si="25"/>
        <v>2.8809999999999947E-3</v>
      </c>
    </row>
    <row r="65" spans="1:22">
      <c r="A65" s="164">
        <v>57</v>
      </c>
      <c r="B65" s="165" t="s">
        <v>104</v>
      </c>
      <c r="C65" s="166" t="s">
        <v>52</v>
      </c>
      <c r="D65" s="44">
        <v>126746675082.07001</v>
      </c>
      <c r="E65" s="30">
        <f t="shared" si="20"/>
        <v>4.4486018531389428E-2</v>
      </c>
      <c r="F65" s="31">
        <v>1</v>
      </c>
      <c r="G65" s="31">
        <v>1</v>
      </c>
      <c r="H65" s="32">
        <v>53536</v>
      </c>
      <c r="I65" s="50">
        <v>0.19650000000000001</v>
      </c>
      <c r="J65" s="50">
        <v>0.19650000000000001</v>
      </c>
      <c r="K65" s="44">
        <v>128875628986.59</v>
      </c>
      <c r="L65" s="30">
        <f t="shared" si="19"/>
        <v>4.5233246675935423E-2</v>
      </c>
      <c r="M65" s="31">
        <v>1</v>
      </c>
      <c r="N65" s="31">
        <v>1</v>
      </c>
      <c r="O65" s="32">
        <v>54504</v>
      </c>
      <c r="P65" s="50">
        <v>0.19989999999999999</v>
      </c>
      <c r="Q65" s="50">
        <v>0.19989999999999999</v>
      </c>
      <c r="R65" s="56">
        <f t="shared" si="21"/>
        <v>1.6796921127449422E-2</v>
      </c>
      <c r="S65" s="56">
        <f t="shared" si="22"/>
        <v>0</v>
      </c>
      <c r="T65" s="56">
        <f t="shared" si="23"/>
        <v>1.8081291093843394E-2</v>
      </c>
      <c r="U65" s="57">
        <f t="shared" si="24"/>
        <v>3.3999999999999864E-3</v>
      </c>
      <c r="V65" s="58">
        <f t="shared" si="25"/>
        <v>3.3999999999999864E-3</v>
      </c>
    </row>
    <row r="66" spans="1:22">
      <c r="A66" s="164">
        <v>58</v>
      </c>
      <c r="B66" s="165" t="s">
        <v>318</v>
      </c>
      <c r="C66" s="166" t="s">
        <v>105</v>
      </c>
      <c r="D66" s="44">
        <v>1433882594.03</v>
      </c>
      <c r="E66" s="30">
        <f t="shared" si="20"/>
        <v>5.0326943573511486E-4</v>
      </c>
      <c r="F66" s="31">
        <v>1</v>
      </c>
      <c r="G66" s="31">
        <v>1</v>
      </c>
      <c r="H66" s="32">
        <v>152</v>
      </c>
      <c r="I66" s="50">
        <v>0.2006</v>
      </c>
      <c r="J66" s="50">
        <v>0.2006</v>
      </c>
      <c r="K66" s="44">
        <v>1466605108.6300001</v>
      </c>
      <c r="L66" s="30">
        <f t="shared" si="19"/>
        <v>5.1475450538247792E-4</v>
      </c>
      <c r="M66" s="31">
        <v>1</v>
      </c>
      <c r="N66" s="31">
        <v>1</v>
      </c>
      <c r="O66" s="32">
        <v>153</v>
      </c>
      <c r="P66" s="50">
        <v>0.2011</v>
      </c>
      <c r="Q66" s="50">
        <v>0.2011</v>
      </c>
      <c r="R66" s="56">
        <f t="shared" si="21"/>
        <v>2.2820916256491998E-2</v>
      </c>
      <c r="S66" s="56">
        <f t="shared" si="22"/>
        <v>0</v>
      </c>
      <c r="T66" s="56">
        <f t="shared" si="23"/>
        <v>6.5789473684210523E-3</v>
      </c>
      <c r="U66" s="57">
        <f t="shared" si="24"/>
        <v>5.0000000000000044E-4</v>
      </c>
      <c r="V66" s="58">
        <f t="shared" si="25"/>
        <v>5.0000000000000044E-4</v>
      </c>
    </row>
    <row r="67" spans="1:22">
      <c r="A67" s="164">
        <v>59</v>
      </c>
      <c r="B67" s="165" t="s">
        <v>106</v>
      </c>
      <c r="C67" s="166" t="s">
        <v>107</v>
      </c>
      <c r="D67" s="44">
        <v>4227711440.3000002</v>
      </c>
      <c r="E67" s="30">
        <f t="shared" si="20"/>
        <v>1.4838578554961907E-3</v>
      </c>
      <c r="F67" s="31">
        <v>1</v>
      </c>
      <c r="G67" s="31">
        <v>1</v>
      </c>
      <c r="H67" s="32">
        <v>397</v>
      </c>
      <c r="I67" s="50">
        <v>0.18790000000000001</v>
      </c>
      <c r="J67" s="50">
        <v>0.18790000000000001</v>
      </c>
      <c r="K67" s="44">
        <v>4488589793.21</v>
      </c>
      <c r="L67" s="30">
        <f t="shared" si="19"/>
        <v>1.5754219082374397E-3</v>
      </c>
      <c r="M67" s="31">
        <v>1</v>
      </c>
      <c r="N67" s="31">
        <v>1</v>
      </c>
      <c r="O67" s="32">
        <v>385</v>
      </c>
      <c r="P67" s="50">
        <v>0.20699999999999999</v>
      </c>
      <c r="Q67" s="50">
        <v>0.20699999999999999</v>
      </c>
      <c r="R67" s="56">
        <f t="shared" si="21"/>
        <v>6.170675472862637E-2</v>
      </c>
      <c r="S67" s="56">
        <f t="shared" si="22"/>
        <v>0</v>
      </c>
      <c r="T67" s="56">
        <f t="shared" si="23"/>
        <v>-3.0226700251889168E-2</v>
      </c>
      <c r="U67" s="57">
        <f t="shared" si="24"/>
        <v>1.9099999999999978E-2</v>
      </c>
      <c r="V67" s="58">
        <f t="shared" si="25"/>
        <v>1.9099999999999978E-2</v>
      </c>
    </row>
    <row r="68" spans="1:22">
      <c r="A68" s="164">
        <v>60</v>
      </c>
      <c r="B68" s="165" t="s">
        <v>108</v>
      </c>
      <c r="C68" s="166" t="s">
        <v>109</v>
      </c>
      <c r="D68" s="44">
        <v>6210888135.5799999</v>
      </c>
      <c r="E68" s="30">
        <f t="shared" si="20"/>
        <v>2.1799205739865958E-3</v>
      </c>
      <c r="F68" s="31">
        <v>1</v>
      </c>
      <c r="G68" s="31">
        <v>1</v>
      </c>
      <c r="H68" s="32">
        <v>3367</v>
      </c>
      <c r="I68" s="50">
        <v>0.22689999999999999</v>
      </c>
      <c r="J68" s="50">
        <v>0.22689999999999999</v>
      </c>
      <c r="K68" s="44">
        <v>6227279967.4499998</v>
      </c>
      <c r="L68" s="30">
        <f t="shared" si="19"/>
        <v>2.1856738399863552E-3</v>
      </c>
      <c r="M68" s="31">
        <v>1</v>
      </c>
      <c r="N68" s="31">
        <v>1</v>
      </c>
      <c r="O68" s="32">
        <v>3421</v>
      </c>
      <c r="P68" s="50">
        <v>0.22770000000000001</v>
      </c>
      <c r="Q68" s="50">
        <v>0.22770000000000001</v>
      </c>
      <c r="R68" s="56">
        <f t="shared" si="21"/>
        <v>2.6392090007380472E-3</v>
      </c>
      <c r="S68" s="56">
        <f t="shared" si="22"/>
        <v>0</v>
      </c>
      <c r="T68" s="56">
        <f t="shared" si="23"/>
        <v>1.6038016038016037E-2</v>
      </c>
      <c r="U68" s="57">
        <f t="shared" si="24"/>
        <v>8.0000000000002292E-4</v>
      </c>
      <c r="V68" s="58">
        <f t="shared" si="25"/>
        <v>8.0000000000002292E-4</v>
      </c>
    </row>
    <row r="69" spans="1:22">
      <c r="A69" s="164">
        <v>61</v>
      </c>
      <c r="B69" s="165" t="s">
        <v>110</v>
      </c>
      <c r="C69" s="166" t="s">
        <v>111</v>
      </c>
      <c r="D69" s="44">
        <v>87579864288.309998</v>
      </c>
      <c r="E69" s="30">
        <f t="shared" si="20"/>
        <v>3.0739105883318601E-2</v>
      </c>
      <c r="F69" s="31">
        <v>1</v>
      </c>
      <c r="G69" s="31">
        <v>1</v>
      </c>
      <c r="H69" s="32">
        <v>5235</v>
      </c>
      <c r="I69" s="50">
        <v>0.20649999999999999</v>
      </c>
      <c r="J69" s="50">
        <v>0.20649999999999999</v>
      </c>
      <c r="K69" s="44">
        <v>90979690847.850006</v>
      </c>
      <c r="L69" s="30">
        <f t="shared" si="19"/>
        <v>3.1932389630077829E-2</v>
      </c>
      <c r="M69" s="31">
        <v>1</v>
      </c>
      <c r="N69" s="31">
        <v>1</v>
      </c>
      <c r="O69" s="32">
        <v>5289</v>
      </c>
      <c r="P69" s="50">
        <v>0.20319999999999999</v>
      </c>
      <c r="Q69" s="50">
        <v>0.20319999999999999</v>
      </c>
      <c r="R69" s="56">
        <f t="shared" si="21"/>
        <v>3.8819728566236326E-2</v>
      </c>
      <c r="S69" s="56">
        <f t="shared" si="22"/>
        <v>0</v>
      </c>
      <c r="T69" s="56">
        <f t="shared" si="23"/>
        <v>1.0315186246418338E-2</v>
      </c>
      <c r="U69" s="57">
        <f t="shared" si="24"/>
        <v>-3.2999999999999974E-3</v>
      </c>
      <c r="V69" s="58">
        <f t="shared" si="25"/>
        <v>-3.2999999999999974E-3</v>
      </c>
    </row>
    <row r="70" spans="1:22">
      <c r="A70" s="36"/>
      <c r="B70" s="37"/>
      <c r="C70" s="38" t="s">
        <v>53</v>
      </c>
      <c r="D70" s="48">
        <f>SUM(D28:D69)</f>
        <v>2781211975883.1699</v>
      </c>
      <c r="E70" s="40">
        <f>(D70/$D$222)</f>
        <v>0.53357413489785421</v>
      </c>
      <c r="F70" s="41"/>
      <c r="G70" s="45"/>
      <c r="H70" s="43">
        <f>SUM(H28:H69)</f>
        <v>417146</v>
      </c>
      <c r="I70" s="55"/>
      <c r="J70" s="55"/>
      <c r="K70" s="48">
        <f>SUM(K28:K69)</f>
        <v>2849135060100.6763</v>
      </c>
      <c r="L70" s="40">
        <f>(K70/$K$222)</f>
        <v>0.53780566812338615</v>
      </c>
      <c r="M70" s="41"/>
      <c r="N70" s="45"/>
      <c r="O70" s="43">
        <f>SUM(O28:O69)</f>
        <v>420385</v>
      </c>
      <c r="P70" s="55"/>
      <c r="Q70" s="55"/>
      <c r="R70" s="56">
        <f t="shared" si="21"/>
        <v>2.4422116978673469E-2</v>
      </c>
      <c r="S70" s="56" t="e">
        <f t="shared" si="22"/>
        <v>#DIV/0!</v>
      </c>
      <c r="T70" s="56">
        <f t="shared" si="23"/>
        <v>7.7646675264775407E-3</v>
      </c>
      <c r="U70" s="57">
        <f t="shared" si="24"/>
        <v>0</v>
      </c>
      <c r="V70" s="58">
        <f t="shared" si="25"/>
        <v>0</v>
      </c>
    </row>
    <row r="71" spans="1:22" ht="3" customHeight="1">
      <c r="A71" s="36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</row>
    <row r="72" spans="1:22" ht="15" customHeight="1">
      <c r="A72" s="178" t="s">
        <v>112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</row>
    <row r="73" spans="1:22">
      <c r="A73" s="164">
        <v>62</v>
      </c>
      <c r="B73" s="165" t="s">
        <v>113</v>
      </c>
      <c r="C73" s="166" t="s">
        <v>21</v>
      </c>
      <c r="D73" s="29">
        <v>521977767.33999997</v>
      </c>
      <c r="E73" s="30">
        <f>(D73/$D$110)</f>
        <v>2.5115806123848783E-3</v>
      </c>
      <c r="F73" s="60">
        <v>1.4319999999999999</v>
      </c>
      <c r="G73" s="60">
        <v>1.4319999999999999</v>
      </c>
      <c r="H73" s="32">
        <v>475</v>
      </c>
      <c r="I73" s="50">
        <v>1.609E-3</v>
      </c>
      <c r="J73" s="50">
        <v>9.8400000000000001E-2</v>
      </c>
      <c r="K73" s="29">
        <v>528388863.87</v>
      </c>
      <c r="L73" s="30">
        <f t="shared" ref="L73:L95" si="35">(K73/$K$110)</f>
        <v>2.5307035570411745E-3</v>
      </c>
      <c r="M73" s="60">
        <v>1.4496</v>
      </c>
      <c r="N73" s="60">
        <v>1.4496</v>
      </c>
      <c r="O73" s="32">
        <v>475</v>
      </c>
      <c r="P73" s="50">
        <v>9.4710000000000003E-3</v>
      </c>
      <c r="Q73" s="50">
        <v>0.1119</v>
      </c>
      <c r="R73" s="56">
        <f>((K73-D73)/D73)</f>
        <v>1.2282317238665155E-2</v>
      </c>
      <c r="S73" s="56">
        <f>((N73-G73)/G73)</f>
        <v>1.2290502793296132E-2</v>
      </c>
      <c r="T73" s="56">
        <f>((O73-H73)/H73)</f>
        <v>0</v>
      </c>
      <c r="U73" s="57">
        <f>P73-I73</f>
        <v>7.8620000000000009E-3</v>
      </c>
      <c r="V73" s="58">
        <f>Q73-J73</f>
        <v>1.3499999999999998E-2</v>
      </c>
    </row>
    <row r="74" spans="1:22">
      <c r="A74" s="164">
        <v>63</v>
      </c>
      <c r="B74" s="165" t="s">
        <v>114</v>
      </c>
      <c r="C74" s="166" t="s">
        <v>23</v>
      </c>
      <c r="D74" s="29">
        <v>1280364218.4300001</v>
      </c>
      <c r="E74" s="30">
        <f>(D74/$D$110)</f>
        <v>6.1606799159043E-3</v>
      </c>
      <c r="F74" s="60">
        <v>1.2435</v>
      </c>
      <c r="G74" s="60">
        <v>1.2435</v>
      </c>
      <c r="H74" s="32">
        <v>959</v>
      </c>
      <c r="I74" s="50">
        <v>0.12189999999999999</v>
      </c>
      <c r="J74" s="50">
        <v>0.1578</v>
      </c>
      <c r="K74" s="29">
        <v>1284008986.1900001</v>
      </c>
      <c r="L74" s="30">
        <f t="shared" si="35"/>
        <v>6.1497248159706292E-3</v>
      </c>
      <c r="M74" s="60">
        <v>1.2464999999999999</v>
      </c>
      <c r="N74" s="60">
        <v>1.2464999999999999</v>
      </c>
      <c r="O74" s="32">
        <v>970</v>
      </c>
      <c r="P74" s="50">
        <v>0.1258</v>
      </c>
      <c r="Q74" s="50">
        <v>0.15640000000000001</v>
      </c>
      <c r="R74" s="56">
        <f t="shared" ref="R74:R110" si="36">((K74-D74)/D74)</f>
        <v>2.8466648064167663E-3</v>
      </c>
      <c r="S74" s="56">
        <f t="shared" ref="S74:S110" si="37">((N74-G74)/G74)</f>
        <v>2.4125452352230731E-3</v>
      </c>
      <c r="T74" s="56">
        <f t="shared" ref="T74:T110" si="38">((O74-H74)/H74)</f>
        <v>1.1470281543274244E-2</v>
      </c>
      <c r="U74" s="57">
        <f t="shared" ref="U74:U110" si="39">P74-I74</f>
        <v>3.9000000000000007E-3</v>
      </c>
      <c r="V74" s="58">
        <f t="shared" ref="V74:V110" si="40">Q74-J74</f>
        <v>-1.3999999999999846E-3</v>
      </c>
    </row>
    <row r="75" spans="1:22">
      <c r="A75" s="164">
        <v>64</v>
      </c>
      <c r="B75" s="165" t="s">
        <v>115</v>
      </c>
      <c r="C75" s="166" t="s">
        <v>23</v>
      </c>
      <c r="D75" s="29">
        <v>779637194.63999999</v>
      </c>
      <c r="E75" s="30">
        <f>(D75/$D$110)</f>
        <v>3.7513506997253017E-3</v>
      </c>
      <c r="F75" s="60">
        <v>1.1166</v>
      </c>
      <c r="G75" s="60">
        <v>1.1166</v>
      </c>
      <c r="H75" s="32">
        <v>287</v>
      </c>
      <c r="I75" s="50">
        <v>0.1217</v>
      </c>
      <c r="J75" s="50">
        <v>0.121</v>
      </c>
      <c r="K75" s="29">
        <v>781858355.61000001</v>
      </c>
      <c r="L75" s="30">
        <f t="shared" si="35"/>
        <v>3.7446885370608419E-3</v>
      </c>
      <c r="M75" s="60">
        <v>1.1192</v>
      </c>
      <c r="N75" s="60">
        <v>1.1192</v>
      </c>
      <c r="O75" s="32">
        <v>298</v>
      </c>
      <c r="P75" s="50">
        <v>0.12139999999999999</v>
      </c>
      <c r="Q75" s="50">
        <v>0.12130000000000001</v>
      </c>
      <c r="R75" s="56">
        <f t="shared" si="36"/>
        <v>2.8489674239126788E-3</v>
      </c>
      <c r="S75" s="56">
        <f t="shared" si="37"/>
        <v>2.3284972237147912E-3</v>
      </c>
      <c r="T75" s="56">
        <f t="shared" si="38"/>
        <v>3.8327526132404179E-2</v>
      </c>
      <c r="U75" s="57">
        <f t="shared" si="39"/>
        <v>-3.0000000000000859E-4</v>
      </c>
      <c r="V75" s="58">
        <f t="shared" si="40"/>
        <v>3.0000000000000859E-4</v>
      </c>
    </row>
    <row r="76" spans="1:22">
      <c r="A76" s="164">
        <v>65</v>
      </c>
      <c r="B76" s="165" t="s">
        <v>116</v>
      </c>
      <c r="C76" s="166" t="s">
        <v>117</v>
      </c>
      <c r="D76" s="29">
        <v>279657484.64999998</v>
      </c>
      <c r="E76" s="30">
        <f>(D76/$D$110)</f>
        <v>1.3456173049948156E-3</v>
      </c>
      <c r="F76" s="35">
        <v>1098.55</v>
      </c>
      <c r="G76" s="35">
        <v>1098.55</v>
      </c>
      <c r="H76" s="32">
        <v>110</v>
      </c>
      <c r="I76" s="50">
        <v>0</v>
      </c>
      <c r="J76" s="50">
        <v>2.7047999999999999E-2</v>
      </c>
      <c r="K76" s="29">
        <v>281225278.88</v>
      </c>
      <c r="L76" s="30">
        <f t="shared" si="35"/>
        <v>1.3469205395036713E-3</v>
      </c>
      <c r="M76" s="35">
        <v>1104.71</v>
      </c>
      <c r="N76" s="35">
        <v>1104.71</v>
      </c>
      <c r="O76" s="32">
        <v>109</v>
      </c>
      <c r="P76" s="50">
        <v>8.0000000000000004E-4</v>
      </c>
      <c r="Q76" s="50">
        <v>3.3211999999999998E-2</v>
      </c>
      <c r="R76" s="56">
        <f t="shared" si="36"/>
        <v>5.6061229041023605E-3</v>
      </c>
      <c r="S76" s="56">
        <f t="shared" si="37"/>
        <v>5.607391561604007E-3</v>
      </c>
      <c r="T76" s="56">
        <f t="shared" si="38"/>
        <v>-9.0909090909090905E-3</v>
      </c>
      <c r="U76" s="57">
        <f t="shared" si="39"/>
        <v>8.0000000000000004E-4</v>
      </c>
      <c r="V76" s="58">
        <f t="shared" si="40"/>
        <v>6.1639999999999993E-3</v>
      </c>
    </row>
    <row r="77" spans="1:22" ht="15" customHeight="1">
      <c r="A77" s="164">
        <v>66</v>
      </c>
      <c r="B77" s="165" t="s">
        <v>118</v>
      </c>
      <c r="C77" s="166" t="s">
        <v>27</v>
      </c>
      <c r="D77" s="29">
        <v>1639904218.79</v>
      </c>
      <c r="E77" s="30">
        <f>(D77/$K$110)</f>
        <v>7.8542749922900293E-3</v>
      </c>
      <c r="F77" s="35">
        <v>1.0953999999999999</v>
      </c>
      <c r="G77" s="35">
        <v>1.0953999999999999</v>
      </c>
      <c r="H77" s="32">
        <v>909</v>
      </c>
      <c r="I77" s="50">
        <v>3.7000000000000002E-3</v>
      </c>
      <c r="J77" s="50">
        <v>4.7E-2</v>
      </c>
      <c r="K77" s="29">
        <v>1633567889.97</v>
      </c>
      <c r="L77" s="30">
        <f t="shared" si="35"/>
        <v>7.8239273241618428E-3</v>
      </c>
      <c r="M77" s="35">
        <v>1.0992</v>
      </c>
      <c r="N77" s="35">
        <v>1.0992</v>
      </c>
      <c r="O77" s="32">
        <v>910</v>
      </c>
      <c r="P77" s="50">
        <v>3.5000000000000001E-3</v>
      </c>
      <c r="Q77" s="50">
        <v>5.0500000000000003E-2</v>
      </c>
      <c r="R77" s="56">
        <f t="shared" si="36"/>
        <v>-3.8638407947234753E-3</v>
      </c>
      <c r="S77" s="56">
        <f t="shared" si="37"/>
        <v>3.4690524009494484E-3</v>
      </c>
      <c r="T77" s="56">
        <f t="shared" si="38"/>
        <v>1.1001100110011001E-3</v>
      </c>
      <c r="U77" s="57">
        <f t="shared" si="39"/>
        <v>-2.0000000000000009E-4</v>
      </c>
      <c r="V77" s="58">
        <f t="shared" si="40"/>
        <v>3.5000000000000031E-3</v>
      </c>
    </row>
    <row r="78" spans="1:22">
      <c r="A78" s="164">
        <v>67</v>
      </c>
      <c r="B78" s="165" t="s">
        <v>119</v>
      </c>
      <c r="C78" s="166" t="s">
        <v>120</v>
      </c>
      <c r="D78" s="29">
        <v>449194962.19226193</v>
      </c>
      <c r="E78" s="30">
        <f t="shared" ref="E78:E95" si="41">(D78/$D$110)</f>
        <v>2.1613743511956444E-3</v>
      </c>
      <c r="F78" s="35">
        <v>2.5762</v>
      </c>
      <c r="G78" s="35">
        <v>2.5762</v>
      </c>
      <c r="H78" s="32">
        <v>1390</v>
      </c>
      <c r="I78" s="50">
        <v>8.9200000000000002E-2</v>
      </c>
      <c r="J78" s="50">
        <v>0.1376</v>
      </c>
      <c r="K78" s="29">
        <v>450431022.70247066</v>
      </c>
      <c r="L78" s="30">
        <f t="shared" si="35"/>
        <v>2.1573266760506311E-3</v>
      </c>
      <c r="M78" s="35">
        <v>2.5832999999999999</v>
      </c>
      <c r="N78" s="35">
        <v>2.5832999999999999</v>
      </c>
      <c r="O78" s="32">
        <v>1391</v>
      </c>
      <c r="P78" s="50">
        <v>0.14369999999999999</v>
      </c>
      <c r="Q78" s="50">
        <v>0.13830000000000001</v>
      </c>
      <c r="R78" s="56">
        <f t="shared" si="36"/>
        <v>2.7517238932872855E-3</v>
      </c>
      <c r="S78" s="56">
        <f t="shared" si="37"/>
        <v>2.7559972051858879E-3</v>
      </c>
      <c r="T78" s="56">
        <f t="shared" si="38"/>
        <v>7.1942446043165469E-4</v>
      </c>
      <c r="U78" s="57">
        <f t="shared" si="39"/>
        <v>5.4499999999999993E-2</v>
      </c>
      <c r="V78" s="58">
        <f t="shared" si="40"/>
        <v>7.0000000000000617E-4</v>
      </c>
    </row>
    <row r="79" spans="1:22">
      <c r="A79" s="164">
        <v>68</v>
      </c>
      <c r="B79" s="165" t="s">
        <v>121</v>
      </c>
      <c r="C79" s="166" t="s">
        <v>63</v>
      </c>
      <c r="D79" s="29">
        <v>154186892.84</v>
      </c>
      <c r="E79" s="30">
        <f t="shared" si="41"/>
        <v>7.4189522039271917E-4</v>
      </c>
      <c r="F79" s="35">
        <v>11.88</v>
      </c>
      <c r="G79" s="35">
        <v>11.98</v>
      </c>
      <c r="H79" s="32">
        <v>29</v>
      </c>
      <c r="I79" s="50">
        <v>0.3</v>
      </c>
      <c r="J79" s="50">
        <v>0.28399999999999997</v>
      </c>
      <c r="K79" s="29">
        <v>154595595</v>
      </c>
      <c r="L79" s="30">
        <f t="shared" si="35"/>
        <v>7.4043124093102171E-4</v>
      </c>
      <c r="M79" s="35">
        <v>11.92</v>
      </c>
      <c r="N79" s="35">
        <v>11.99</v>
      </c>
      <c r="O79" s="32">
        <v>29</v>
      </c>
      <c r="P79" s="50">
        <v>0.16619999999999999</v>
      </c>
      <c r="Q79" s="50">
        <v>0.27900000000000003</v>
      </c>
      <c r="R79" s="56">
        <f t="shared" si="36"/>
        <v>2.6506932753623054E-3</v>
      </c>
      <c r="S79" s="56">
        <f t="shared" si="37"/>
        <v>8.3472454090148464E-4</v>
      </c>
      <c r="T79" s="56">
        <f t="shared" si="38"/>
        <v>0</v>
      </c>
      <c r="U79" s="57">
        <f t="shared" si="39"/>
        <v>-0.1338</v>
      </c>
      <c r="V79" s="58">
        <f t="shared" si="40"/>
        <v>-4.9999999999999489E-3</v>
      </c>
    </row>
    <row r="80" spans="1:22">
      <c r="A80" s="164">
        <v>69</v>
      </c>
      <c r="B80" s="165" t="s">
        <v>122</v>
      </c>
      <c r="C80" s="166" t="s">
        <v>65</v>
      </c>
      <c r="D80" s="29">
        <v>2017769237.4605801</v>
      </c>
      <c r="E80" s="30">
        <f t="shared" si="41"/>
        <v>9.7088236590958336E-3</v>
      </c>
      <c r="F80" s="29">
        <v>4560.3074160822198</v>
      </c>
      <c r="G80" s="29">
        <v>4560.3074160822198</v>
      </c>
      <c r="H80" s="32">
        <v>1099</v>
      </c>
      <c r="I80" s="50">
        <v>0.10543895920434383</v>
      </c>
      <c r="J80" s="50">
        <v>0.12011921006131067</v>
      </c>
      <c r="K80" s="29">
        <v>2064658744.2147999</v>
      </c>
      <c r="L80" s="30">
        <f t="shared" si="35"/>
        <v>9.8886248089930986E-3</v>
      </c>
      <c r="M80" s="29">
        <v>4569.5521662455103</v>
      </c>
      <c r="N80" s="29">
        <v>4569.5521662455103</v>
      </c>
      <c r="O80" s="32">
        <v>1102</v>
      </c>
      <c r="P80" s="50">
        <v>0.10570508588651099</v>
      </c>
      <c r="Q80" s="50">
        <v>0.11956734282721899</v>
      </c>
      <c r="R80" s="56">
        <f t="shared" si="36"/>
        <v>2.3238290030247237E-2</v>
      </c>
      <c r="S80" s="56">
        <f t="shared" si="37"/>
        <v>2.0272208252207534E-3</v>
      </c>
      <c r="T80" s="56">
        <f t="shared" si="38"/>
        <v>2.7297543221110102E-3</v>
      </c>
      <c r="U80" s="57">
        <f t="shared" si="39"/>
        <v>2.6612668216716151E-4</v>
      </c>
      <c r="V80" s="58">
        <f t="shared" si="40"/>
        <v>-5.5186723409167415E-4</v>
      </c>
    </row>
    <row r="81" spans="1:22">
      <c r="A81" s="164">
        <v>70</v>
      </c>
      <c r="B81" s="165" t="s">
        <v>123</v>
      </c>
      <c r="C81" s="166" t="s">
        <v>67</v>
      </c>
      <c r="D81" s="29">
        <v>342298899.83999997</v>
      </c>
      <c r="E81" s="30">
        <f t="shared" si="41"/>
        <v>1.6470266250225715E-3</v>
      </c>
      <c r="F81" s="60">
        <v>114.8</v>
      </c>
      <c r="G81" s="60">
        <v>114.8</v>
      </c>
      <c r="H81" s="32">
        <v>137</v>
      </c>
      <c r="I81" s="50">
        <v>2.3E-3</v>
      </c>
      <c r="J81" s="50">
        <v>0.1285</v>
      </c>
      <c r="K81" s="29">
        <v>335476242.26999998</v>
      </c>
      <c r="L81" s="30">
        <f t="shared" si="35"/>
        <v>1.6067539981773232E-3</v>
      </c>
      <c r="M81" s="60">
        <v>109.98</v>
      </c>
      <c r="N81" s="60">
        <v>109.98</v>
      </c>
      <c r="O81" s="32">
        <v>137</v>
      </c>
      <c r="P81" s="50">
        <v>2.3999999999999998E-3</v>
      </c>
      <c r="Q81" s="50">
        <v>0.1288</v>
      </c>
      <c r="R81" s="56">
        <f t="shared" si="36"/>
        <v>-1.9931871160524011E-2</v>
      </c>
      <c r="S81" s="56">
        <f t="shared" si="37"/>
        <v>-4.1986062717769973E-2</v>
      </c>
      <c r="T81" s="56">
        <f t="shared" si="38"/>
        <v>0</v>
      </c>
      <c r="U81" s="57">
        <f t="shared" si="39"/>
        <v>9.9999999999999829E-5</v>
      </c>
      <c r="V81" s="58">
        <f t="shared" si="40"/>
        <v>2.9999999999999472E-4</v>
      </c>
    </row>
    <row r="82" spans="1:22" ht="13.5" customHeight="1">
      <c r="A82" s="164">
        <v>71</v>
      </c>
      <c r="B82" s="165" t="s">
        <v>124</v>
      </c>
      <c r="C82" s="166" t="s">
        <v>300</v>
      </c>
      <c r="D82" s="29">
        <v>373377051.58999997</v>
      </c>
      <c r="E82" s="30">
        <f t="shared" si="41"/>
        <v>1.7965641882828327E-3</v>
      </c>
      <c r="F82" s="60">
        <v>1.4121999999999999</v>
      </c>
      <c r="G82" s="60">
        <v>1.4121999999999999</v>
      </c>
      <c r="H82" s="32">
        <v>412</v>
      </c>
      <c r="I82" s="50">
        <v>2.5557290927160636E-3</v>
      </c>
      <c r="J82" s="50">
        <v>7.5435525253747193E-2</v>
      </c>
      <c r="K82" s="29">
        <v>374946906.81</v>
      </c>
      <c r="L82" s="30">
        <f t="shared" si="35"/>
        <v>1.7957976324783154E-3</v>
      </c>
      <c r="M82" s="60">
        <v>1.4153</v>
      </c>
      <c r="N82" s="60">
        <v>1.4153</v>
      </c>
      <c r="O82" s="32">
        <v>414</v>
      </c>
      <c r="P82" s="50">
        <v>2.1951564934146184E-3</v>
      </c>
      <c r="Q82" s="50">
        <v>7.7699125107708711E-2</v>
      </c>
      <c r="R82" s="56">
        <f t="shared" si="36"/>
        <v>4.2044769846323179E-3</v>
      </c>
      <c r="S82" s="56">
        <f t="shared" si="37"/>
        <v>2.1951564934146032E-3</v>
      </c>
      <c r="T82" s="56">
        <f t="shared" si="38"/>
        <v>4.8543689320388345E-3</v>
      </c>
      <c r="U82" s="57">
        <f t="shared" si="39"/>
        <v>-3.6057259930144525E-4</v>
      </c>
      <c r="V82" s="58">
        <f t="shared" si="40"/>
        <v>2.2635998539615176E-3</v>
      </c>
    </row>
    <row r="83" spans="1:22" ht="13.5" customHeight="1">
      <c r="A83" s="164">
        <v>72</v>
      </c>
      <c r="B83" s="165" t="s">
        <v>298</v>
      </c>
      <c r="C83" s="166" t="s">
        <v>300</v>
      </c>
      <c r="D83" s="29">
        <v>25707439.280000001</v>
      </c>
      <c r="E83" s="30">
        <f t="shared" si="41"/>
        <v>1.236955099040703E-4</v>
      </c>
      <c r="F83" s="60">
        <v>0.88600000000000001</v>
      </c>
      <c r="G83" s="60">
        <v>0.88600000000000001</v>
      </c>
      <c r="H83" s="32">
        <v>1</v>
      </c>
      <c r="I83" s="50">
        <v>-2.0274836674927244E-3</v>
      </c>
      <c r="J83" s="50">
        <v>-9.2677931387608825E-2</v>
      </c>
      <c r="K83" s="29">
        <v>25786620.34</v>
      </c>
      <c r="L83" s="30">
        <f t="shared" si="35"/>
        <v>1.2350429064788895E-4</v>
      </c>
      <c r="M83" s="60">
        <v>0.88580000000000003</v>
      </c>
      <c r="N83" s="60">
        <v>0.88580000000000003</v>
      </c>
      <c r="O83" s="32">
        <v>1</v>
      </c>
      <c r="P83" s="50">
        <v>-2.2573363431144244E-4</v>
      </c>
      <c r="Q83" s="50">
        <v>-9.2882744495647707E-2</v>
      </c>
      <c r="R83" s="56">
        <f t="shared" ref="R83" si="42">((K83-D83)/D83)</f>
        <v>3.0800835173653536E-3</v>
      </c>
      <c r="S83" s="56">
        <f t="shared" ref="S83" si="43">((N83-G83)/G83)</f>
        <v>-2.2573363431148755E-4</v>
      </c>
      <c r="T83" s="56">
        <f t="shared" ref="T83" si="44">((O83-H83)/H83)</f>
        <v>0</v>
      </c>
      <c r="U83" s="57">
        <f t="shared" ref="U83" si="45">P83-I83</f>
        <v>1.8017500331812819E-3</v>
      </c>
      <c r="V83" s="58">
        <f t="shared" ref="V83" si="46">Q83-J83</f>
        <v>-2.0481310803888153E-4</v>
      </c>
    </row>
    <row r="84" spans="1:22">
      <c r="A84" s="164">
        <v>73</v>
      </c>
      <c r="B84" s="165" t="s">
        <v>126</v>
      </c>
      <c r="C84" s="166" t="s">
        <v>29</v>
      </c>
      <c r="D84" s="29">
        <v>140594288.28</v>
      </c>
      <c r="E84" s="30">
        <f t="shared" si="41"/>
        <v>6.7649220091416486E-4</v>
      </c>
      <c r="F84" s="60">
        <v>131.2012</v>
      </c>
      <c r="G84" s="60">
        <v>131.2012</v>
      </c>
      <c r="H84" s="32">
        <v>220</v>
      </c>
      <c r="I84" s="50">
        <v>1.521E-3</v>
      </c>
      <c r="J84" s="50">
        <v>4.7899999999999998E-2</v>
      </c>
      <c r="K84" s="29">
        <v>139249658.5</v>
      </c>
      <c r="L84" s="30">
        <f t="shared" si="35"/>
        <v>6.669323109909826E-4</v>
      </c>
      <c r="M84" s="60">
        <v>131.54329999999999</v>
      </c>
      <c r="N84" s="60">
        <v>131.54329999999999</v>
      </c>
      <c r="O84" s="32">
        <v>231</v>
      </c>
      <c r="P84" s="50">
        <v>1.4859999999999999E-3</v>
      </c>
      <c r="Q84" s="50">
        <v>5.0900000000000001E-2</v>
      </c>
      <c r="R84" s="56">
        <f t="shared" si="36"/>
        <v>-9.5639004717041499E-3</v>
      </c>
      <c r="S84" s="56">
        <f t="shared" si="37"/>
        <v>2.6074456636066426E-3</v>
      </c>
      <c r="T84" s="56">
        <f t="shared" si="38"/>
        <v>0.05</v>
      </c>
      <c r="U84" s="57">
        <f t="shared" si="39"/>
        <v>-3.5000000000000092E-5</v>
      </c>
      <c r="V84" s="58">
        <f t="shared" si="40"/>
        <v>3.0000000000000027E-3</v>
      </c>
    </row>
    <row r="85" spans="1:22">
      <c r="A85" s="164">
        <v>74</v>
      </c>
      <c r="B85" s="165" t="s">
        <v>127</v>
      </c>
      <c r="C85" s="166" t="s">
        <v>98</v>
      </c>
      <c r="D85" s="29">
        <v>1544521928.9100003</v>
      </c>
      <c r="E85" s="30">
        <f t="shared" si="41"/>
        <v>7.4317175457913097E-3</v>
      </c>
      <c r="F85" s="35">
        <v>1000</v>
      </c>
      <c r="G85" s="35">
        <v>1000</v>
      </c>
      <c r="H85" s="32">
        <v>357</v>
      </c>
      <c r="I85" s="50">
        <v>0.20619999999999999</v>
      </c>
      <c r="J85" s="50">
        <v>0.20619999999999999</v>
      </c>
      <c r="K85" s="29">
        <v>1539769147.5900002</v>
      </c>
      <c r="L85" s="30">
        <f t="shared" si="35"/>
        <v>7.3746808937044123E-3</v>
      </c>
      <c r="M85" s="35">
        <v>1000</v>
      </c>
      <c r="N85" s="35">
        <v>1000</v>
      </c>
      <c r="O85" s="32">
        <v>359</v>
      </c>
      <c r="P85" s="50">
        <v>1.29E-2</v>
      </c>
      <c r="Q85" s="50">
        <v>0.22059999999999999</v>
      </c>
      <c r="R85" s="56">
        <f t="shared" si="36"/>
        <v>-3.0771860412200838E-3</v>
      </c>
      <c r="S85" s="56">
        <f t="shared" si="37"/>
        <v>0</v>
      </c>
      <c r="T85" s="56">
        <f t="shared" si="38"/>
        <v>5.6022408963585435E-3</v>
      </c>
      <c r="U85" s="57">
        <f t="shared" si="39"/>
        <v>-0.1933</v>
      </c>
      <c r="V85" s="58">
        <f t="shared" si="40"/>
        <v>1.4399999999999996E-2</v>
      </c>
    </row>
    <row r="86" spans="1:22">
      <c r="A86" s="164">
        <v>75</v>
      </c>
      <c r="B86" s="165" t="s">
        <v>128</v>
      </c>
      <c r="C86" s="166" t="s">
        <v>72</v>
      </c>
      <c r="D86" s="29">
        <v>171539247.00999999</v>
      </c>
      <c r="E86" s="30">
        <f t="shared" si="41"/>
        <v>8.2538888437519301E-4</v>
      </c>
      <c r="F86" s="35">
        <v>1061.78</v>
      </c>
      <c r="G86" s="35">
        <v>1071.25</v>
      </c>
      <c r="H86" s="32">
        <v>71</v>
      </c>
      <c r="I86" s="50">
        <v>2.5000000000000001E-3</v>
      </c>
      <c r="J86" s="50">
        <v>5.5100000000000003E-2</v>
      </c>
      <c r="K86" s="29">
        <v>171721572.80000001</v>
      </c>
      <c r="L86" s="30">
        <f t="shared" si="35"/>
        <v>8.2245562846037623E-4</v>
      </c>
      <c r="M86" s="35">
        <v>1062.9000000000001</v>
      </c>
      <c r="N86" s="35">
        <v>1072.83</v>
      </c>
      <c r="O86" s="32">
        <v>72</v>
      </c>
      <c r="P86" s="50">
        <v>1.2999999999999999E-3</v>
      </c>
      <c r="Q86" s="50">
        <v>5.6399999999999999E-2</v>
      </c>
      <c r="R86" s="56">
        <f t="shared" si="36"/>
        <v>1.0628809043879775E-3</v>
      </c>
      <c r="S86" s="56">
        <f t="shared" si="37"/>
        <v>1.4749124854141677E-3</v>
      </c>
      <c r="T86" s="56">
        <f t="shared" si="38"/>
        <v>1.4084507042253521E-2</v>
      </c>
      <c r="U86" s="57">
        <f t="shared" si="39"/>
        <v>-1.2000000000000001E-3</v>
      </c>
      <c r="V86" s="58">
        <f t="shared" si="40"/>
        <v>1.2999999999999956E-3</v>
      </c>
    </row>
    <row r="87" spans="1:22">
      <c r="A87" s="164">
        <v>76</v>
      </c>
      <c r="B87" s="165" t="s">
        <v>129</v>
      </c>
      <c r="C87" s="166" t="s">
        <v>75</v>
      </c>
      <c r="D87" s="29">
        <v>660628830.32000005</v>
      </c>
      <c r="E87" s="30">
        <f t="shared" si="41"/>
        <v>3.1787226698746459E-3</v>
      </c>
      <c r="F87" s="61">
        <v>1.1892</v>
      </c>
      <c r="G87" s="61">
        <v>1.1892</v>
      </c>
      <c r="H87" s="32">
        <v>48</v>
      </c>
      <c r="I87" s="50">
        <v>1.5E-3</v>
      </c>
      <c r="J87" s="50">
        <v>0.1206</v>
      </c>
      <c r="K87" s="29">
        <v>663269086.76999998</v>
      </c>
      <c r="L87" s="30">
        <f t="shared" si="35"/>
        <v>3.1767085794928156E-3</v>
      </c>
      <c r="M87" s="61">
        <v>1.1917</v>
      </c>
      <c r="N87" s="61">
        <v>1.1917</v>
      </c>
      <c r="O87" s="32">
        <v>48</v>
      </c>
      <c r="P87" s="50">
        <v>1.5E-3</v>
      </c>
      <c r="Q87" s="50">
        <v>0.1203</v>
      </c>
      <c r="R87" s="56">
        <f t="shared" si="36"/>
        <v>3.9965807255505671E-3</v>
      </c>
      <c r="S87" s="56">
        <f t="shared" si="37"/>
        <v>2.1022536158761744E-3</v>
      </c>
      <c r="T87" s="56">
        <f t="shared" si="38"/>
        <v>0</v>
      </c>
      <c r="U87" s="57">
        <f t="shared" si="39"/>
        <v>0</v>
      </c>
      <c r="V87" s="58">
        <f t="shared" si="40"/>
        <v>-2.9999999999999472E-4</v>
      </c>
    </row>
    <row r="88" spans="1:22">
      <c r="A88" s="164">
        <v>77</v>
      </c>
      <c r="B88" s="165" t="s">
        <v>130</v>
      </c>
      <c r="C88" s="166" t="s">
        <v>31</v>
      </c>
      <c r="D88" s="29">
        <v>12288510104.84</v>
      </c>
      <c r="E88" s="30">
        <f t="shared" si="41"/>
        <v>5.9128157683214576E-2</v>
      </c>
      <c r="F88" s="61">
        <v>1710.97</v>
      </c>
      <c r="G88" s="61">
        <v>1710.97</v>
      </c>
      <c r="H88" s="32">
        <v>2103</v>
      </c>
      <c r="I88" s="50">
        <v>8.0000000000000004E-4</v>
      </c>
      <c r="J88" s="50">
        <v>1.06E-2</v>
      </c>
      <c r="K88" s="29">
        <v>12283099090.799999</v>
      </c>
      <c r="L88" s="30">
        <f t="shared" si="35"/>
        <v>5.8829556574880086E-2</v>
      </c>
      <c r="M88" s="61">
        <v>1712.34</v>
      </c>
      <c r="N88" s="61">
        <v>1712.34</v>
      </c>
      <c r="O88" s="32">
        <v>2097</v>
      </c>
      <c r="P88" s="50">
        <v>8.0000000000000004E-4</v>
      </c>
      <c r="Q88" s="50">
        <v>1.14E-2</v>
      </c>
      <c r="R88" s="56">
        <f t="shared" si="36"/>
        <v>-4.403311706493786E-4</v>
      </c>
      <c r="S88" s="56">
        <f t="shared" si="37"/>
        <v>8.0071538367118696E-4</v>
      </c>
      <c r="T88" s="56">
        <f t="shared" si="38"/>
        <v>-2.8530670470756064E-3</v>
      </c>
      <c r="U88" s="57">
        <f t="shared" si="39"/>
        <v>0</v>
      </c>
      <c r="V88" s="58">
        <f t="shared" si="40"/>
        <v>8.0000000000000036E-4</v>
      </c>
    </row>
    <row r="89" spans="1:22">
      <c r="A89" s="164">
        <v>78</v>
      </c>
      <c r="B89" s="165" t="s">
        <v>131</v>
      </c>
      <c r="C89" s="166" t="s">
        <v>80</v>
      </c>
      <c r="D89" s="29">
        <v>23360561.59</v>
      </c>
      <c r="E89" s="30">
        <f t="shared" si="41"/>
        <v>1.1240312759460845E-4</v>
      </c>
      <c r="F89" s="60">
        <v>0.71240000000000003</v>
      </c>
      <c r="G89" s="60">
        <v>0.71240000000000003</v>
      </c>
      <c r="H89" s="32">
        <v>746</v>
      </c>
      <c r="I89" s="50">
        <v>1.6999999999999999E-3</v>
      </c>
      <c r="J89" s="50">
        <v>-6.0000000000000001E-3</v>
      </c>
      <c r="K89" s="29">
        <v>23503952.260000002</v>
      </c>
      <c r="L89" s="30">
        <f t="shared" si="35"/>
        <v>1.1257151627544946E-4</v>
      </c>
      <c r="M89" s="60">
        <v>0.71679999999999999</v>
      </c>
      <c r="N89" s="60">
        <v>0.7198</v>
      </c>
      <c r="O89" s="32">
        <v>746</v>
      </c>
      <c r="P89" s="50">
        <v>6.1999999999999998E-3</v>
      </c>
      <c r="Q89" s="50">
        <v>1E-4</v>
      </c>
      <c r="R89" s="56">
        <f t="shared" si="36"/>
        <v>6.1381516641870158E-3</v>
      </c>
      <c r="S89" s="56">
        <f t="shared" si="37"/>
        <v>1.0387422796181867E-2</v>
      </c>
      <c r="T89" s="56">
        <f t="shared" si="38"/>
        <v>0</v>
      </c>
      <c r="U89" s="57">
        <f t="shared" si="39"/>
        <v>4.4999999999999997E-3</v>
      </c>
      <c r="V89" s="58">
        <f t="shared" si="40"/>
        <v>6.1000000000000004E-3</v>
      </c>
    </row>
    <row r="90" spans="1:22">
      <c r="A90" s="164">
        <v>79</v>
      </c>
      <c r="B90" s="165" t="s">
        <v>132</v>
      </c>
      <c r="C90" s="166" t="s">
        <v>37</v>
      </c>
      <c r="D90" s="29">
        <v>10290919887.67</v>
      </c>
      <c r="E90" s="30">
        <f t="shared" si="41"/>
        <v>4.9516428650192595E-2</v>
      </c>
      <c r="F90" s="60">
        <v>1</v>
      </c>
      <c r="G90" s="60">
        <v>1</v>
      </c>
      <c r="H90" s="32">
        <v>4274</v>
      </c>
      <c r="I90" s="50">
        <v>0.06</v>
      </c>
      <c r="J90" s="50">
        <v>0.06</v>
      </c>
      <c r="K90" s="29">
        <v>10286688789.98</v>
      </c>
      <c r="L90" s="30">
        <f t="shared" si="35"/>
        <v>4.9267805760158441E-2</v>
      </c>
      <c r="M90" s="60">
        <v>1</v>
      </c>
      <c r="N90" s="60">
        <v>1</v>
      </c>
      <c r="O90" s="32">
        <v>4272</v>
      </c>
      <c r="P90" s="50">
        <v>0.06</v>
      </c>
      <c r="Q90" s="50">
        <v>0.06</v>
      </c>
      <c r="R90" s="56">
        <f t="shared" si="36"/>
        <v>-4.1114863745757041E-4</v>
      </c>
      <c r="S90" s="56">
        <f t="shared" si="37"/>
        <v>0</v>
      </c>
      <c r="T90" s="56">
        <f t="shared" si="38"/>
        <v>-4.6794571829667761E-4</v>
      </c>
      <c r="U90" s="57">
        <f t="shared" si="39"/>
        <v>0</v>
      </c>
      <c r="V90" s="58">
        <f t="shared" si="40"/>
        <v>0</v>
      </c>
    </row>
    <row r="91" spans="1:22">
      <c r="A91" s="164">
        <v>80</v>
      </c>
      <c r="B91" s="165" t="s">
        <v>133</v>
      </c>
      <c r="C91" s="166" t="s">
        <v>134</v>
      </c>
      <c r="D91" s="29">
        <v>1608259340.0999999</v>
      </c>
      <c r="E91" s="30">
        <f t="shared" si="41"/>
        <v>7.7384004281757113E-3</v>
      </c>
      <c r="F91" s="29">
        <v>253.08590000000001</v>
      </c>
      <c r="G91" s="29">
        <v>254.5256</v>
      </c>
      <c r="H91" s="32">
        <v>523</v>
      </c>
      <c r="I91" s="50">
        <v>3.0000000000000001E-3</v>
      </c>
      <c r="J91" s="50">
        <v>0.18709999999999999</v>
      </c>
      <c r="K91" s="29">
        <v>1616914829.0899999</v>
      </c>
      <c r="L91" s="30">
        <f t="shared" si="35"/>
        <v>7.7441679588792917E-3</v>
      </c>
      <c r="M91" s="29">
        <v>254.24</v>
      </c>
      <c r="N91" s="29">
        <v>255.74</v>
      </c>
      <c r="O91" s="32">
        <v>525</v>
      </c>
      <c r="P91" s="50">
        <v>3.0000000000000001E-3</v>
      </c>
      <c r="Q91" s="50">
        <v>0.1865</v>
      </c>
      <c r="R91" s="56">
        <f t="shared" si="36"/>
        <v>5.3818987859643461E-3</v>
      </c>
      <c r="S91" s="56">
        <f t="shared" si="37"/>
        <v>4.7712292987424918E-3</v>
      </c>
      <c r="T91" s="56">
        <f t="shared" si="38"/>
        <v>3.8240917782026767E-3</v>
      </c>
      <c r="U91" s="57">
        <f t="shared" si="39"/>
        <v>0</v>
      </c>
      <c r="V91" s="58">
        <f t="shared" si="40"/>
        <v>-5.9999999999998943E-4</v>
      </c>
    </row>
    <row r="92" spans="1:22">
      <c r="A92" s="164">
        <v>81</v>
      </c>
      <c r="B92" s="165" t="s">
        <v>135</v>
      </c>
      <c r="C92" s="166" t="s">
        <v>41</v>
      </c>
      <c r="D92" s="29">
        <v>1121878314.3399999</v>
      </c>
      <c r="E92" s="30">
        <f t="shared" si="41"/>
        <v>5.3980993062411756E-3</v>
      </c>
      <c r="F92" s="60">
        <v>3.74</v>
      </c>
      <c r="G92" s="60">
        <v>3.74</v>
      </c>
      <c r="H92" s="46">
        <v>771</v>
      </c>
      <c r="I92" s="53">
        <v>1.9E-3</v>
      </c>
      <c r="J92" s="53">
        <v>9.6699999999999994E-2</v>
      </c>
      <c r="K92" s="29">
        <v>1124013977.26</v>
      </c>
      <c r="L92" s="30">
        <f t="shared" si="35"/>
        <v>5.3834332343456167E-3</v>
      </c>
      <c r="M92" s="60">
        <v>3.75</v>
      </c>
      <c r="N92" s="60">
        <v>3.75</v>
      </c>
      <c r="O92" s="46">
        <v>771</v>
      </c>
      <c r="P92" s="53">
        <v>1.9E-3</v>
      </c>
      <c r="Q92" s="53">
        <v>9.7000000000000003E-2</v>
      </c>
      <c r="R92" s="56">
        <f t="shared" si="36"/>
        <v>1.9036493465483242E-3</v>
      </c>
      <c r="S92" s="56">
        <f t="shared" si="37"/>
        <v>2.6737967914437933E-3</v>
      </c>
      <c r="T92" s="56">
        <f t="shared" si="38"/>
        <v>0</v>
      </c>
      <c r="U92" s="57">
        <f t="shared" si="39"/>
        <v>0</v>
      </c>
      <c r="V92" s="58">
        <f t="shared" si="40"/>
        <v>3.0000000000000859E-4</v>
      </c>
    </row>
    <row r="93" spans="1:22">
      <c r="A93" s="164">
        <v>82</v>
      </c>
      <c r="B93" s="165" t="s">
        <v>136</v>
      </c>
      <c r="C93" s="166" t="s">
        <v>43</v>
      </c>
      <c r="D93" s="29">
        <v>591236735.70000005</v>
      </c>
      <c r="E93" s="30">
        <f t="shared" si="41"/>
        <v>2.8448313618434245E-3</v>
      </c>
      <c r="F93" s="60">
        <v>109.58633</v>
      </c>
      <c r="G93" s="60">
        <v>109.58633</v>
      </c>
      <c r="H93" s="46">
        <v>59</v>
      </c>
      <c r="I93" s="53">
        <v>0.1482</v>
      </c>
      <c r="J93" s="53">
        <v>0.17169999999999999</v>
      </c>
      <c r="K93" s="29">
        <v>592232674.70000005</v>
      </c>
      <c r="L93" s="30">
        <f t="shared" si="35"/>
        <v>2.8364816879033273E-3</v>
      </c>
      <c r="M93" s="60">
        <v>109.89221999999999</v>
      </c>
      <c r="N93" s="60">
        <v>109.89221999999999</v>
      </c>
      <c r="O93" s="46">
        <v>59</v>
      </c>
      <c r="P93" s="53">
        <v>0.15060000000000001</v>
      </c>
      <c r="Q93" s="53">
        <v>0.17399999999999999</v>
      </c>
      <c r="R93" s="56">
        <f t="shared" si="36"/>
        <v>1.6845012156101043E-3</v>
      </c>
      <c r="S93" s="56">
        <f t="shared" si="37"/>
        <v>2.7913153036513848E-3</v>
      </c>
      <c r="T93" s="56">
        <f t="shared" si="38"/>
        <v>0</v>
      </c>
      <c r="U93" s="57">
        <f t="shared" si="39"/>
        <v>2.4000000000000132E-3</v>
      </c>
      <c r="V93" s="58">
        <f t="shared" si="40"/>
        <v>2.2999999999999965E-3</v>
      </c>
    </row>
    <row r="94" spans="1:22">
      <c r="A94" s="164">
        <v>83</v>
      </c>
      <c r="B94" s="166" t="s">
        <v>137</v>
      </c>
      <c r="C94" s="172" t="s">
        <v>47</v>
      </c>
      <c r="D94" s="29">
        <v>1421232729.8800001</v>
      </c>
      <c r="E94" s="30">
        <f t="shared" si="41"/>
        <v>6.8384915860379087E-3</v>
      </c>
      <c r="F94" s="60">
        <v>100.62</v>
      </c>
      <c r="G94" s="60">
        <v>100.62</v>
      </c>
      <c r="H94" s="32">
        <v>289</v>
      </c>
      <c r="I94" s="50">
        <v>5.0000000000000001E-4</v>
      </c>
      <c r="J94" s="50">
        <v>3.3700000000000001E-2</v>
      </c>
      <c r="K94" s="29">
        <v>1399213471.98</v>
      </c>
      <c r="L94" s="30">
        <f t="shared" si="35"/>
        <v>6.7014934506093452E-3</v>
      </c>
      <c r="M94" s="60">
        <v>100.96</v>
      </c>
      <c r="N94" s="60">
        <v>100.96</v>
      </c>
      <c r="O94" s="32">
        <v>289</v>
      </c>
      <c r="P94" s="50">
        <v>3.2000000000000002E-3</v>
      </c>
      <c r="Q94" s="50">
        <v>3.7100000000000001E-2</v>
      </c>
      <c r="R94" s="56">
        <f t="shared" si="36"/>
        <v>-1.5493069809797626E-2</v>
      </c>
      <c r="S94" s="56">
        <f t="shared" si="37"/>
        <v>3.3790498906776903E-3</v>
      </c>
      <c r="T94" s="56">
        <f t="shared" si="38"/>
        <v>0</v>
      </c>
      <c r="U94" s="57">
        <f t="shared" si="39"/>
        <v>2.7000000000000001E-3</v>
      </c>
      <c r="V94" s="58">
        <f t="shared" si="40"/>
        <v>3.4000000000000002E-3</v>
      </c>
    </row>
    <row r="95" spans="1:22">
      <c r="A95" s="164">
        <v>84</v>
      </c>
      <c r="B95" s="165" t="s">
        <v>138</v>
      </c>
      <c r="C95" s="166" t="s">
        <v>19</v>
      </c>
      <c r="D95" s="29">
        <v>1432612070.98</v>
      </c>
      <c r="E95" s="30">
        <f t="shared" si="41"/>
        <v>6.8932451297264042E-3</v>
      </c>
      <c r="F95" s="60">
        <v>358.4425</v>
      </c>
      <c r="G95" s="60">
        <v>358.4425</v>
      </c>
      <c r="H95" s="32">
        <v>196</v>
      </c>
      <c r="I95" s="50">
        <v>6.9999999999999999E-4</v>
      </c>
      <c r="J95" s="50">
        <v>4.4699999999999997E-2</v>
      </c>
      <c r="K95" s="29">
        <v>1440410081.28</v>
      </c>
      <c r="L95" s="30">
        <f t="shared" si="35"/>
        <v>6.8988034486474493E-3</v>
      </c>
      <c r="M95" s="60">
        <v>359.3252</v>
      </c>
      <c r="N95" s="60">
        <v>359.3252</v>
      </c>
      <c r="O95" s="32">
        <v>90</v>
      </c>
      <c r="P95" s="50">
        <v>2.5000000000000001E-3</v>
      </c>
      <c r="Q95" s="50">
        <v>4.7199999999999999E-2</v>
      </c>
      <c r="R95" s="56">
        <f t="shared" si="36"/>
        <v>5.4432113605364253E-3</v>
      </c>
      <c r="S95" s="56">
        <f t="shared" si="37"/>
        <v>2.4625986036812034E-3</v>
      </c>
      <c r="T95" s="56">
        <f t="shared" si="38"/>
        <v>-0.54081632653061229</v>
      </c>
      <c r="U95" s="57">
        <f t="shared" si="39"/>
        <v>1.8E-3</v>
      </c>
      <c r="V95" s="58">
        <f t="shared" si="40"/>
        <v>2.5000000000000022E-3</v>
      </c>
    </row>
    <row r="96" spans="1:22">
      <c r="A96" s="164">
        <v>85</v>
      </c>
      <c r="B96" s="165" t="s">
        <v>139</v>
      </c>
      <c r="C96" s="166" t="s">
        <v>89</v>
      </c>
      <c r="D96" s="44">
        <v>1515934320</v>
      </c>
      <c r="E96" s="30">
        <f>(D96/$K$70)</f>
        <v>5.3206825510982738E-4</v>
      </c>
      <c r="F96" s="60">
        <v>102.37</v>
      </c>
      <c r="G96" s="60">
        <v>102.37</v>
      </c>
      <c r="H96" s="32">
        <v>390</v>
      </c>
      <c r="I96" s="50">
        <v>2.7000000000000001E-3</v>
      </c>
      <c r="J96" s="50">
        <v>0.1439</v>
      </c>
      <c r="K96" s="44">
        <v>1521231321</v>
      </c>
      <c r="L96" s="30">
        <f>(K96/$K$70)</f>
        <v>5.3392741618442136E-4</v>
      </c>
      <c r="M96" s="60">
        <v>102.94</v>
      </c>
      <c r="N96" s="60">
        <v>102.94</v>
      </c>
      <c r="O96" s="32">
        <v>393</v>
      </c>
      <c r="P96" s="50">
        <v>2.8E-3</v>
      </c>
      <c r="Q96" s="50">
        <v>0.14430000000000001</v>
      </c>
      <c r="R96" s="56">
        <f t="shared" si="36"/>
        <v>3.4942153694363224E-3</v>
      </c>
      <c r="S96" s="56">
        <f t="shared" si="37"/>
        <v>5.5680375109894813E-3</v>
      </c>
      <c r="T96" s="56">
        <f t="shared" si="38"/>
        <v>7.6923076923076927E-3</v>
      </c>
      <c r="U96" s="57">
        <f t="shared" si="39"/>
        <v>9.9999999999999829E-5</v>
      </c>
      <c r="V96" s="58">
        <f t="shared" si="40"/>
        <v>4.0000000000001146E-4</v>
      </c>
    </row>
    <row r="97" spans="1:22">
      <c r="A97" s="164">
        <v>86</v>
      </c>
      <c r="B97" s="165" t="s">
        <v>140</v>
      </c>
      <c r="C97" s="166" t="s">
        <v>45</v>
      </c>
      <c r="D97" s="29">
        <v>63395761.719999999</v>
      </c>
      <c r="E97" s="30">
        <f t="shared" ref="E97:E109" si="47">(D97/$D$110)</f>
        <v>3.0503898059629458E-4</v>
      </c>
      <c r="F97" s="29">
        <v>12.96889</v>
      </c>
      <c r="G97" s="29">
        <v>13.382576</v>
      </c>
      <c r="H97" s="32">
        <v>58</v>
      </c>
      <c r="I97" s="50">
        <v>2.8500000000000001E-2</v>
      </c>
      <c r="J97" s="50">
        <v>5.8000000000000003E-2</v>
      </c>
      <c r="K97" s="29">
        <v>61665777.380000003</v>
      </c>
      <c r="L97" s="30">
        <f t="shared" ref="L97:L109" si="48">(K97/$K$110)</f>
        <v>2.9534650109823332E-4</v>
      </c>
      <c r="M97" s="29">
        <v>12.614986999999999</v>
      </c>
      <c r="N97" s="29">
        <v>13.036269000000001</v>
      </c>
      <c r="O97" s="32">
        <v>58</v>
      </c>
      <c r="P97" s="50">
        <v>-2.5899999999999999E-2</v>
      </c>
      <c r="Q97" s="50">
        <v>3.2899999999999999E-2</v>
      </c>
      <c r="R97" s="56">
        <f t="shared" si="36"/>
        <v>-2.7288643484414878E-2</v>
      </c>
      <c r="S97" s="56">
        <f t="shared" si="37"/>
        <v>-2.5877454385463565E-2</v>
      </c>
      <c r="T97" s="56">
        <f t="shared" si="38"/>
        <v>0</v>
      </c>
      <c r="U97" s="57">
        <f t="shared" si="39"/>
        <v>-5.4400000000000004E-2</v>
      </c>
      <c r="V97" s="58">
        <f t="shared" si="40"/>
        <v>-2.5100000000000004E-2</v>
      </c>
    </row>
    <row r="98" spans="1:22">
      <c r="A98" s="164">
        <v>87</v>
      </c>
      <c r="B98" s="165" t="s">
        <v>141</v>
      </c>
      <c r="C98" s="166" t="s">
        <v>142</v>
      </c>
      <c r="D98" s="29">
        <v>526677450.11000001</v>
      </c>
      <c r="E98" s="30">
        <f t="shared" si="47"/>
        <v>2.5341938976013016E-3</v>
      </c>
      <c r="F98" s="29">
        <v>139.22</v>
      </c>
      <c r="G98" s="29">
        <v>139.22</v>
      </c>
      <c r="H98" s="32">
        <v>131</v>
      </c>
      <c r="I98" s="50">
        <v>0.19620000000000001</v>
      </c>
      <c r="J98" s="50">
        <v>0.19739999999999999</v>
      </c>
      <c r="K98" s="29">
        <v>530209018.08999997</v>
      </c>
      <c r="L98" s="30">
        <f t="shared" si="48"/>
        <v>2.5394211343291975E-3</v>
      </c>
      <c r="M98" s="29">
        <v>139.69</v>
      </c>
      <c r="N98" s="29">
        <v>139.69</v>
      </c>
      <c r="O98" s="32">
        <v>132</v>
      </c>
      <c r="P98" s="50">
        <v>0.19539999999999999</v>
      </c>
      <c r="Q98" s="50">
        <v>0.1973</v>
      </c>
      <c r="R98" s="56">
        <f t="shared" si="36"/>
        <v>6.7053715310240996E-3</v>
      </c>
      <c r="S98" s="56">
        <f t="shared" si="37"/>
        <v>3.3759517310731134E-3</v>
      </c>
      <c r="T98" s="56">
        <f t="shared" si="38"/>
        <v>7.6335877862595417E-3</v>
      </c>
      <c r="U98" s="57">
        <f t="shared" si="39"/>
        <v>-8.0000000000002292E-4</v>
      </c>
      <c r="V98" s="58">
        <f t="shared" si="40"/>
        <v>-9.9999999999988987E-5</v>
      </c>
    </row>
    <row r="99" spans="1:22">
      <c r="A99" s="164">
        <v>88</v>
      </c>
      <c r="B99" s="165" t="s">
        <v>143</v>
      </c>
      <c r="C99" s="166" t="s">
        <v>144</v>
      </c>
      <c r="D99" s="29">
        <v>8523271338.1525688</v>
      </c>
      <c r="E99" s="30">
        <f t="shared" si="47"/>
        <v>4.1011101212393083E-2</v>
      </c>
      <c r="F99" s="29">
        <v>1.0593767634309637</v>
      </c>
      <c r="G99" s="29">
        <v>1.0593767634309637</v>
      </c>
      <c r="H99" s="32">
        <v>4695</v>
      </c>
      <c r="I99" s="50">
        <v>0.1905</v>
      </c>
      <c r="J99" s="50">
        <v>0.1905</v>
      </c>
      <c r="K99" s="29">
        <v>8682719043.495203</v>
      </c>
      <c r="L99" s="30">
        <f t="shared" si="48"/>
        <v>4.1585637909220943E-2</v>
      </c>
      <c r="M99" s="29">
        <v>1.062447713174294</v>
      </c>
      <c r="N99" s="29">
        <v>1.062447713174294</v>
      </c>
      <c r="O99" s="32">
        <v>4699</v>
      </c>
      <c r="P99" s="50">
        <v>0.19020000000000001</v>
      </c>
      <c r="Q99" s="50">
        <v>0.19020000000000001</v>
      </c>
      <c r="R99" s="56">
        <f t="shared" si="36"/>
        <v>1.8707336539774494E-2</v>
      </c>
      <c r="S99" s="56">
        <f t="shared" si="37"/>
        <v>2.8988267907487058E-3</v>
      </c>
      <c r="T99" s="56">
        <f t="shared" si="38"/>
        <v>8.5197018104366342E-4</v>
      </c>
      <c r="U99" s="57">
        <f t="shared" si="39"/>
        <v>-2.9999999999999472E-4</v>
      </c>
      <c r="V99" s="58">
        <f t="shared" si="40"/>
        <v>-2.9999999999999472E-4</v>
      </c>
    </row>
    <row r="100" spans="1:22" ht="14.25" customHeight="1">
      <c r="A100" s="164">
        <v>89</v>
      </c>
      <c r="B100" s="165" t="s">
        <v>145</v>
      </c>
      <c r="C100" s="166" t="s">
        <v>49</v>
      </c>
      <c r="D100" s="29">
        <v>8525398797.0799999</v>
      </c>
      <c r="E100" s="30">
        <f t="shared" si="47"/>
        <v>4.1021337825770339E-2</v>
      </c>
      <c r="F100" s="29">
        <v>5172.6400000000003</v>
      </c>
      <c r="G100" s="29">
        <v>5172.6400000000003</v>
      </c>
      <c r="H100" s="32">
        <v>252</v>
      </c>
      <c r="I100" s="50">
        <v>1E-4</v>
      </c>
      <c r="J100" s="50">
        <v>1E-3</v>
      </c>
      <c r="K100" s="29">
        <v>8186560026.8000002</v>
      </c>
      <c r="L100" s="30">
        <f t="shared" si="48"/>
        <v>3.9209298295981999E-2</v>
      </c>
      <c r="M100" s="29">
        <v>5172.9799999999996</v>
      </c>
      <c r="N100" s="29">
        <v>5172.9799999999996</v>
      </c>
      <c r="O100" s="32">
        <v>251</v>
      </c>
      <c r="P100" s="50">
        <v>1E-4</v>
      </c>
      <c r="Q100" s="50">
        <v>1.1000000000000001E-3</v>
      </c>
      <c r="R100" s="56">
        <f t="shared" si="36"/>
        <v>-3.9744624075070137E-2</v>
      </c>
      <c r="S100" s="56">
        <f t="shared" si="37"/>
        <v>6.5730458721124219E-5</v>
      </c>
      <c r="T100" s="56">
        <f t="shared" si="38"/>
        <v>-3.968253968253968E-3</v>
      </c>
      <c r="U100" s="57">
        <f t="shared" si="39"/>
        <v>0</v>
      </c>
      <c r="V100" s="58">
        <f t="shared" si="40"/>
        <v>1.0000000000000005E-4</v>
      </c>
    </row>
    <row r="101" spans="1:22" ht="13.5" customHeight="1">
      <c r="A101" s="164">
        <v>90</v>
      </c>
      <c r="B101" s="165" t="s">
        <v>146</v>
      </c>
      <c r="C101" s="166" t="s">
        <v>49</v>
      </c>
      <c r="D101" s="29">
        <v>18137904772.900002</v>
      </c>
      <c r="E101" s="30">
        <f t="shared" si="47"/>
        <v>8.7273468004291088E-2</v>
      </c>
      <c r="F101" s="60">
        <v>259.07</v>
      </c>
      <c r="G101" s="60">
        <v>259.07</v>
      </c>
      <c r="H101" s="32">
        <v>6237</v>
      </c>
      <c r="I101" s="50">
        <v>0</v>
      </c>
      <c r="J101" s="50">
        <v>8.0000000000000004E-4</v>
      </c>
      <c r="K101" s="29">
        <v>18007203818.02</v>
      </c>
      <c r="L101" s="30">
        <f t="shared" si="48"/>
        <v>8.6244994682250692E-2</v>
      </c>
      <c r="M101" s="60">
        <v>259.08</v>
      </c>
      <c r="N101" s="60">
        <v>259.08</v>
      </c>
      <c r="O101" s="32">
        <v>6222</v>
      </c>
      <c r="P101" s="50">
        <v>0</v>
      </c>
      <c r="Q101" s="50">
        <v>8.9999999999999998E-4</v>
      </c>
      <c r="R101" s="56">
        <f t="shared" si="36"/>
        <v>-7.2059566149714534E-3</v>
      </c>
      <c r="S101" s="56">
        <f t="shared" si="37"/>
        <v>3.8599606283980798E-5</v>
      </c>
      <c r="T101" s="56">
        <f t="shared" si="38"/>
        <v>-2.4050024050024051E-3</v>
      </c>
      <c r="U101" s="57">
        <f t="shared" si="39"/>
        <v>0</v>
      </c>
      <c r="V101" s="58">
        <f t="shared" si="40"/>
        <v>9.9999999999999937E-5</v>
      </c>
    </row>
    <row r="102" spans="1:22" ht="13.5" customHeight="1">
      <c r="A102" s="164">
        <v>91</v>
      </c>
      <c r="B102" s="165" t="s">
        <v>147</v>
      </c>
      <c r="C102" s="166" t="s">
        <v>49</v>
      </c>
      <c r="D102" s="29">
        <v>457006627.85000002</v>
      </c>
      <c r="E102" s="30">
        <f t="shared" si="47"/>
        <v>2.1989614463632976E-3</v>
      </c>
      <c r="F102" s="35">
        <v>7547.49</v>
      </c>
      <c r="G102" s="35">
        <v>7581.06</v>
      </c>
      <c r="H102" s="32">
        <v>15</v>
      </c>
      <c r="I102" s="50">
        <v>1.7000000000000001E-2</v>
      </c>
      <c r="J102" s="50">
        <v>0.1111</v>
      </c>
      <c r="K102" s="29">
        <v>460849408.81999999</v>
      </c>
      <c r="L102" s="30">
        <f t="shared" si="48"/>
        <v>2.2072252424457524E-3</v>
      </c>
      <c r="M102" s="35">
        <v>7610.79</v>
      </c>
      <c r="N102" s="35">
        <v>7644.91</v>
      </c>
      <c r="O102" s="32">
        <v>15</v>
      </c>
      <c r="P102" s="50">
        <v>8.3999999999999995E-3</v>
      </c>
      <c r="Q102" s="50">
        <v>0.12039999999999999</v>
      </c>
      <c r="R102" s="56">
        <f t="shared" si="36"/>
        <v>8.4085891447098597E-3</v>
      </c>
      <c r="S102" s="56">
        <f t="shared" si="37"/>
        <v>8.4223050602421634E-3</v>
      </c>
      <c r="T102" s="56">
        <f t="shared" si="38"/>
        <v>0</v>
      </c>
      <c r="U102" s="57">
        <f t="shared" si="39"/>
        <v>-8.6000000000000017E-3</v>
      </c>
      <c r="V102" s="58">
        <f t="shared" si="40"/>
        <v>9.2999999999999888E-3</v>
      </c>
    </row>
    <row r="103" spans="1:22" ht="15" customHeight="1">
      <c r="A103" s="164">
        <v>92</v>
      </c>
      <c r="B103" s="165" t="s">
        <v>148</v>
      </c>
      <c r="C103" s="166" t="s">
        <v>49</v>
      </c>
      <c r="D103" s="29">
        <v>6079715422.7399998</v>
      </c>
      <c r="E103" s="30">
        <f t="shared" si="47"/>
        <v>2.9253535954961305E-2</v>
      </c>
      <c r="F103" s="60">
        <v>145.63999999999999</v>
      </c>
      <c r="G103" s="60">
        <v>145.63999999999999</v>
      </c>
      <c r="H103" s="32">
        <v>4567</v>
      </c>
      <c r="I103" s="50">
        <v>3.0000000000000001E-3</v>
      </c>
      <c r="J103" s="50">
        <v>5.6300000000000003E-2</v>
      </c>
      <c r="K103" s="29">
        <v>6120810982.0100002</v>
      </c>
      <c r="L103" s="30">
        <f t="shared" si="48"/>
        <v>2.9315451523142626E-2</v>
      </c>
      <c r="M103" s="60">
        <v>146.08000000000001</v>
      </c>
      <c r="N103" s="60">
        <v>146.08000000000001</v>
      </c>
      <c r="O103" s="32">
        <v>4583</v>
      </c>
      <c r="P103" s="50">
        <v>3.0000000000000001E-3</v>
      </c>
      <c r="Q103" s="50">
        <v>5.9499999999999997E-2</v>
      </c>
      <c r="R103" s="56">
        <f t="shared" si="36"/>
        <v>6.7594544172726355E-3</v>
      </c>
      <c r="S103" s="56">
        <f t="shared" si="37"/>
        <v>3.0211480362539564E-3</v>
      </c>
      <c r="T103" s="56">
        <f t="shared" si="38"/>
        <v>3.5033939128530766E-3</v>
      </c>
      <c r="U103" s="57">
        <f t="shared" si="39"/>
        <v>0</v>
      </c>
      <c r="V103" s="58">
        <f t="shared" si="40"/>
        <v>3.1999999999999945E-3</v>
      </c>
    </row>
    <row r="104" spans="1:22" ht="15" customHeight="1">
      <c r="A104" s="164">
        <v>93</v>
      </c>
      <c r="B104" s="165" t="s">
        <v>149</v>
      </c>
      <c r="C104" s="166" t="s">
        <v>49</v>
      </c>
      <c r="D104" s="29">
        <v>7563391706.2200003</v>
      </c>
      <c r="E104" s="30">
        <f t="shared" si="47"/>
        <v>3.6392484817923849E-2</v>
      </c>
      <c r="F104" s="60">
        <v>364.98</v>
      </c>
      <c r="G104" s="60">
        <v>365.62</v>
      </c>
      <c r="H104" s="32">
        <v>10204</v>
      </c>
      <c r="I104" s="50">
        <v>8.8999999999999999E-3</v>
      </c>
      <c r="J104" s="50">
        <v>3.2099999999999997E-2</v>
      </c>
      <c r="K104" s="29">
        <v>7572562690.5900002</v>
      </c>
      <c r="L104" s="30">
        <f t="shared" si="48"/>
        <v>3.626857537578293E-2</v>
      </c>
      <c r="M104" s="60">
        <v>366.47</v>
      </c>
      <c r="N104" s="60">
        <v>367.12</v>
      </c>
      <c r="O104" s="32">
        <v>10215</v>
      </c>
      <c r="P104" s="50">
        <v>4.1000000000000003E-3</v>
      </c>
      <c r="Q104" s="50">
        <v>3.6299999999999999E-2</v>
      </c>
      <c r="R104" s="56">
        <f t="shared" si="36"/>
        <v>1.2125491745267971E-3</v>
      </c>
      <c r="S104" s="56">
        <f t="shared" si="37"/>
        <v>4.1026202067720582E-3</v>
      </c>
      <c r="T104" s="56">
        <f t="shared" si="38"/>
        <v>1.0780086240689925E-3</v>
      </c>
      <c r="U104" s="57">
        <f t="shared" si="39"/>
        <v>-4.7999999999999996E-3</v>
      </c>
      <c r="V104" s="58">
        <f t="shared" si="40"/>
        <v>4.2000000000000023E-3</v>
      </c>
    </row>
    <row r="105" spans="1:22">
      <c r="A105" s="164">
        <v>94</v>
      </c>
      <c r="B105" s="165" t="s">
        <v>150</v>
      </c>
      <c r="C105" s="166" t="s">
        <v>52</v>
      </c>
      <c r="D105" s="29">
        <v>88416844848</v>
      </c>
      <c r="E105" s="30">
        <f t="shared" si="47"/>
        <v>0.42543197665319665</v>
      </c>
      <c r="F105" s="29">
        <v>2.0154000000000001</v>
      </c>
      <c r="G105" s="29">
        <v>2.0154000000000001</v>
      </c>
      <c r="H105" s="32">
        <v>6468</v>
      </c>
      <c r="I105" s="50">
        <v>6.4100000000000004E-2</v>
      </c>
      <c r="J105" s="50">
        <v>8.1100000000000005E-2</v>
      </c>
      <c r="K105" s="29">
        <v>88555697854.619995</v>
      </c>
      <c r="L105" s="30">
        <f t="shared" si="48"/>
        <v>0.42413501661550512</v>
      </c>
      <c r="M105" s="29">
        <v>2.0186000000000002</v>
      </c>
      <c r="N105" s="29">
        <v>2.0186000000000002</v>
      </c>
      <c r="O105" s="32">
        <v>6473</v>
      </c>
      <c r="P105" s="50">
        <v>8.6199999999999999E-2</v>
      </c>
      <c r="Q105" s="50">
        <v>8.14E-2</v>
      </c>
      <c r="R105" s="56">
        <f t="shared" si="36"/>
        <v>1.5704361183516717E-3</v>
      </c>
      <c r="S105" s="56">
        <f t="shared" si="37"/>
        <v>1.5877741391287544E-3</v>
      </c>
      <c r="T105" s="56">
        <f t="shared" si="38"/>
        <v>7.7303648732220164E-4</v>
      </c>
      <c r="U105" s="57">
        <f t="shared" si="39"/>
        <v>2.2099999999999995E-2</v>
      </c>
      <c r="V105" s="58">
        <f t="shared" si="40"/>
        <v>2.9999999999999472E-4</v>
      </c>
    </row>
    <row r="106" spans="1:22">
      <c r="A106" s="164">
        <v>95</v>
      </c>
      <c r="B106" s="165" t="s">
        <v>151</v>
      </c>
      <c r="C106" s="166" t="s">
        <v>52</v>
      </c>
      <c r="D106" s="29">
        <v>26517429353.43</v>
      </c>
      <c r="E106" s="30">
        <f t="shared" si="47"/>
        <v>0.12759290839868065</v>
      </c>
      <c r="F106" s="29">
        <v>116.09699999999999</v>
      </c>
      <c r="G106" s="29">
        <v>116.09699999999999</v>
      </c>
      <c r="H106" s="32">
        <v>553</v>
      </c>
      <c r="I106" s="50">
        <v>0.21129999999999999</v>
      </c>
      <c r="J106" s="50">
        <v>0.2177</v>
      </c>
      <c r="K106" s="29">
        <v>27546578009.09</v>
      </c>
      <c r="L106" s="30">
        <f t="shared" si="48"/>
        <v>0.13193355825354341</v>
      </c>
      <c r="M106" s="29">
        <v>116.50879999999999</v>
      </c>
      <c r="N106" s="29">
        <v>116.50879999999999</v>
      </c>
      <c r="O106" s="32">
        <v>571</v>
      </c>
      <c r="P106" s="50">
        <v>0.20280000000000001</v>
      </c>
      <c r="Q106" s="50">
        <v>0.21690000000000001</v>
      </c>
      <c r="R106" s="56">
        <f t="shared" ref="R106:R108" si="49">((K106-D106)/D106)</f>
        <v>3.8810272366272207E-2</v>
      </c>
      <c r="S106" s="56">
        <f t="shared" ref="S106:S108" si="50">((N106-G106)/G106)</f>
        <v>3.5470339457522549E-3</v>
      </c>
      <c r="T106" s="56">
        <f t="shared" ref="T106:T108" si="51">((O106-H106)/H106)</f>
        <v>3.25497287522604E-2</v>
      </c>
      <c r="U106" s="57">
        <f t="shared" ref="U106:U108" si="52">P106-I106</f>
        <v>-8.4999999999999798E-3</v>
      </c>
      <c r="V106" s="58">
        <f t="shared" ref="V106:V108" si="53">Q106-J106</f>
        <v>-7.9999999999999516E-4</v>
      </c>
    </row>
    <row r="107" spans="1:22">
      <c r="A107" s="164">
        <v>96</v>
      </c>
      <c r="B107" s="165" t="s">
        <v>152</v>
      </c>
      <c r="C107" s="165" t="s">
        <v>153</v>
      </c>
      <c r="D107" s="29">
        <v>104161742.7</v>
      </c>
      <c r="E107" s="30">
        <f t="shared" si="47"/>
        <v>5.0119110407845615E-4</v>
      </c>
      <c r="F107" s="29">
        <v>114.72235413469089</v>
      </c>
      <c r="G107" s="29">
        <v>114.72235413469089</v>
      </c>
      <c r="H107" s="62">
        <v>73</v>
      </c>
      <c r="I107" s="63">
        <v>2.3284114943432333E-3</v>
      </c>
      <c r="J107" s="63">
        <v>3.9100000000000003E-2</v>
      </c>
      <c r="K107" s="29">
        <v>104353656.84</v>
      </c>
      <c r="L107" s="64">
        <f t="shared" si="48"/>
        <v>4.99798895497192E-4</v>
      </c>
      <c r="M107" s="29">
        <v>114.93579173716724</v>
      </c>
      <c r="N107" s="29">
        <v>114.93579173716724</v>
      </c>
      <c r="O107" s="62">
        <v>72</v>
      </c>
      <c r="P107" s="63">
        <v>1.8604709089717461E-3</v>
      </c>
      <c r="Q107" s="63">
        <v>4.1053008667914392E-2</v>
      </c>
      <c r="R107" s="56">
        <f t="shared" si="49"/>
        <v>1.8424628373657249E-3</v>
      </c>
      <c r="S107" s="56">
        <f t="shared" si="50"/>
        <v>1.8604709089717461E-3</v>
      </c>
      <c r="T107" s="56">
        <f t="shared" si="51"/>
        <v>-1.3698630136986301E-2</v>
      </c>
      <c r="U107" s="57">
        <f t="shared" si="52"/>
        <v>-4.679405853714872E-4</v>
      </c>
      <c r="V107" s="58">
        <f t="shared" si="53"/>
        <v>1.9530086679143896E-3</v>
      </c>
    </row>
    <row r="108" spans="1:22">
      <c r="A108" s="164">
        <v>97</v>
      </c>
      <c r="B108" s="165" t="s">
        <v>154</v>
      </c>
      <c r="C108" s="166" t="s">
        <v>109</v>
      </c>
      <c r="D108" s="29">
        <v>285407931.13</v>
      </c>
      <c r="E108" s="30">
        <f t="shared" si="47"/>
        <v>1.3732865100748038E-3</v>
      </c>
      <c r="F108" s="29">
        <v>1.1899</v>
      </c>
      <c r="G108" s="29">
        <v>1.1899</v>
      </c>
      <c r="H108" s="32">
        <v>482</v>
      </c>
      <c r="I108" s="50">
        <v>5.5620000000000001E-3</v>
      </c>
      <c r="J108" s="50">
        <v>0.10524799999999999</v>
      </c>
      <c r="K108" s="29">
        <v>286220594.32999998</v>
      </c>
      <c r="L108" s="30">
        <f t="shared" si="48"/>
        <v>1.3708454619277895E-3</v>
      </c>
      <c r="M108" s="29">
        <v>1.1929000000000001</v>
      </c>
      <c r="N108" s="29">
        <v>1.1929000000000001</v>
      </c>
      <c r="O108" s="32">
        <v>484</v>
      </c>
      <c r="P108" s="50">
        <v>1.622E-3</v>
      </c>
      <c r="Q108" s="50">
        <v>0.108085</v>
      </c>
      <c r="R108" s="56">
        <f t="shared" si="49"/>
        <v>2.8473742715644066E-3</v>
      </c>
      <c r="S108" s="56">
        <f t="shared" si="50"/>
        <v>2.5212202706110715E-3</v>
      </c>
      <c r="T108" s="56">
        <f t="shared" si="51"/>
        <v>4.1493775933609959E-3</v>
      </c>
      <c r="U108" s="57">
        <f t="shared" si="52"/>
        <v>-3.9399999999999999E-3</v>
      </c>
      <c r="V108" s="58">
        <f t="shared" si="53"/>
        <v>2.8370000000000062E-3</v>
      </c>
    </row>
    <row r="109" spans="1:22">
      <c r="A109" s="164">
        <v>98</v>
      </c>
      <c r="B109" s="165" t="s">
        <v>155</v>
      </c>
      <c r="C109" s="166" t="s">
        <v>111</v>
      </c>
      <c r="D109" s="29">
        <v>1952485423.72</v>
      </c>
      <c r="E109" s="30">
        <f t="shared" si="47"/>
        <v>9.3947000102497236E-3</v>
      </c>
      <c r="F109" s="60">
        <v>28.589700000000001</v>
      </c>
      <c r="G109" s="60">
        <v>28.589700000000001</v>
      </c>
      <c r="H109" s="32">
        <v>1299</v>
      </c>
      <c r="I109" s="50">
        <v>0</v>
      </c>
      <c r="J109" s="50">
        <v>0.1169</v>
      </c>
      <c r="K109" s="29">
        <v>1959598377.75</v>
      </c>
      <c r="L109" s="30">
        <f t="shared" si="48"/>
        <v>9.385441147685027E-3</v>
      </c>
      <c r="M109" s="60">
        <v>28.686299999999999</v>
      </c>
      <c r="N109" s="60">
        <v>28.686299999999999</v>
      </c>
      <c r="O109" s="32">
        <v>1299</v>
      </c>
      <c r="P109" s="50">
        <v>0</v>
      </c>
      <c r="Q109" s="50">
        <v>0.11650000000000001</v>
      </c>
      <c r="R109" s="56">
        <f t="shared" si="36"/>
        <v>3.6430254195946401E-3</v>
      </c>
      <c r="S109" s="56">
        <f t="shared" si="37"/>
        <v>3.3788392323108912E-3</v>
      </c>
      <c r="T109" s="56">
        <f t="shared" si="38"/>
        <v>0</v>
      </c>
      <c r="U109" s="57">
        <f t="shared" si="39"/>
        <v>0</v>
      </c>
      <c r="V109" s="58">
        <f t="shared" si="40"/>
        <v>-3.9999999999999758E-4</v>
      </c>
    </row>
    <row r="110" spans="1:22">
      <c r="A110" s="36"/>
      <c r="B110" s="37"/>
      <c r="C110" s="38" t="s">
        <v>53</v>
      </c>
      <c r="D110" s="48">
        <f>SUM(D73:D109)</f>
        <v>207828394902.42545</v>
      </c>
      <c r="E110" s="40">
        <f>(D110/$D$222)</f>
        <v>3.9871774240457784E-2</v>
      </c>
      <c r="F110" s="41"/>
      <c r="G110" s="45"/>
      <c r="H110" s="43">
        <f>SUM(H73:H109)</f>
        <v>50889</v>
      </c>
      <c r="I110" s="53"/>
      <c r="J110" s="53"/>
      <c r="K110" s="48">
        <f>SUM(K73:K109)</f>
        <v>208791291417.70242</v>
      </c>
      <c r="L110" s="40">
        <f>(K110/$K$222)</f>
        <v>3.9411659191500123E-2</v>
      </c>
      <c r="M110" s="41"/>
      <c r="N110" s="45"/>
      <c r="O110" s="43">
        <f>SUM(O73:O109)</f>
        <v>50862</v>
      </c>
      <c r="P110" s="53"/>
      <c r="Q110" s="53"/>
      <c r="R110" s="56">
        <f t="shared" si="36"/>
        <v>4.6331326175571598E-3</v>
      </c>
      <c r="S110" s="56" t="e">
        <f t="shared" si="37"/>
        <v>#DIV/0!</v>
      </c>
      <c r="T110" s="56">
        <f t="shared" si="38"/>
        <v>-5.3056652714732059E-4</v>
      </c>
      <c r="U110" s="57">
        <f t="shared" si="39"/>
        <v>0</v>
      </c>
      <c r="V110" s="58">
        <f t="shared" si="40"/>
        <v>0</v>
      </c>
    </row>
    <row r="111" spans="1:22" ht="3.75" customHeight="1">
      <c r="A111" s="36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</row>
    <row r="112" spans="1:22" ht="15" customHeight="1">
      <c r="A112" s="178" t="s">
        <v>156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</row>
    <row r="113" spans="1:28">
      <c r="A113" s="180" t="s">
        <v>157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Z113" s="65"/>
      <c r="AB113" s="68"/>
    </row>
    <row r="114" spans="1:28" ht="16.5" customHeight="1">
      <c r="A114" s="164">
        <v>99</v>
      </c>
      <c r="B114" s="165" t="s">
        <v>158</v>
      </c>
      <c r="C114" s="166" t="s">
        <v>19</v>
      </c>
      <c r="D114" s="29">
        <v>3172952464.9304037</v>
      </c>
      <c r="E114" s="30">
        <f t="shared" ref="E114:E119" si="54">(D114/$D$150)</f>
        <v>1.6205550504883881E-3</v>
      </c>
      <c r="F114" s="29">
        <v>180567.4121511</v>
      </c>
      <c r="G114" s="29">
        <v>180567.4121511</v>
      </c>
      <c r="H114" s="32">
        <v>298</v>
      </c>
      <c r="I114" s="50">
        <v>5.0000000000000001E-4</v>
      </c>
      <c r="J114" s="50">
        <v>2.3599999999999999E-2</v>
      </c>
      <c r="K114" s="29">
        <f>1986082*W133</f>
        <v>3189950370.8968</v>
      </c>
      <c r="L114" s="30">
        <f t="shared" ref="L114:L130" si="55">(K114/$K$150)</f>
        <v>1.6185693801199215E-3</v>
      </c>
      <c r="M114" s="29">
        <f>112.8269*W133</f>
        <v>181217.19621955999</v>
      </c>
      <c r="N114" s="29">
        <f>112.8269*W133</f>
        <v>181217.19621955999</v>
      </c>
      <c r="O114" s="32">
        <v>196</v>
      </c>
      <c r="P114" s="50">
        <v>1.1000000000000001E-3</v>
      </c>
      <c r="Q114" s="50">
        <v>2.47E-2</v>
      </c>
      <c r="R114" s="57">
        <f>((K114-D114)/D114)</f>
        <v>5.3571259431928388E-3</v>
      </c>
      <c r="S114" s="57">
        <f>((N114-G114)/G114)</f>
        <v>3.5985677632476153E-3</v>
      </c>
      <c r="T114" s="57">
        <f>((O114-H114)/H114)</f>
        <v>-0.34228187919463088</v>
      </c>
      <c r="U114" s="57">
        <f>P114-I114</f>
        <v>6.0000000000000006E-4</v>
      </c>
      <c r="V114" s="58">
        <f>Q114-J114</f>
        <v>1.1000000000000003E-3</v>
      </c>
      <c r="X114" s="65"/>
      <c r="Y114" s="69"/>
      <c r="Z114" s="65"/>
      <c r="AA114" s="70"/>
    </row>
    <row r="115" spans="1:28" ht="16.5" customHeight="1">
      <c r="A115" s="164">
        <v>100</v>
      </c>
      <c r="B115" s="165" t="s">
        <v>159</v>
      </c>
      <c r="C115" s="166" t="s">
        <v>57</v>
      </c>
      <c r="D115" s="29">
        <v>3534771244.3223829</v>
      </c>
      <c r="E115" s="30">
        <f t="shared" si="54"/>
        <v>1.8053505230918761E-3</v>
      </c>
      <c r="F115" s="29">
        <v>160218.11000000002</v>
      </c>
      <c r="G115" s="29">
        <v>160218.11000000002</v>
      </c>
      <c r="H115" s="32">
        <v>63</v>
      </c>
      <c r="I115" s="50">
        <v>-1.387E-3</v>
      </c>
      <c r="J115" s="50">
        <v>7.0359000000000005E-2</v>
      </c>
      <c r="K115" s="29">
        <f>2304382.5*W133</f>
        <v>3701189482.8929996</v>
      </c>
      <c r="L115" s="30">
        <f t="shared" si="55"/>
        <v>1.8779702724178531E-3</v>
      </c>
      <c r="M115" s="29">
        <f>100*W133</f>
        <v>160615.24</v>
      </c>
      <c r="N115" s="29">
        <f>100*W133</f>
        <v>160615.24</v>
      </c>
      <c r="O115" s="32">
        <v>66</v>
      </c>
      <c r="P115" s="50">
        <v>-5.9490000000000003E-3</v>
      </c>
      <c r="Q115" s="50">
        <v>6.4409999999999995E-2</v>
      </c>
      <c r="R115" s="57">
        <f>((K115-D115)/D115)</f>
        <v>4.7080341857459906E-2</v>
      </c>
      <c r="S115" s="57">
        <f>((N115-G115)/G115)</f>
        <v>2.478683589514166E-3</v>
      </c>
      <c r="T115" s="57">
        <f>((O115-H115)/H115)</f>
        <v>4.7619047619047616E-2</v>
      </c>
      <c r="U115" s="57">
        <f>P115-I115</f>
        <v>-4.5620000000000001E-3</v>
      </c>
      <c r="V115" s="58">
        <f>Q115-J115</f>
        <v>-5.9490000000000098E-3</v>
      </c>
      <c r="X115" s="65"/>
      <c r="Y115" s="69"/>
      <c r="Z115" s="65"/>
      <c r="AA115" s="70"/>
    </row>
    <row r="116" spans="1:28">
      <c r="A116" s="164">
        <v>101</v>
      </c>
      <c r="B116" s="165" t="s">
        <v>160</v>
      </c>
      <c r="C116" s="166" t="s">
        <v>23</v>
      </c>
      <c r="D116" s="29">
        <v>16844898296.046913</v>
      </c>
      <c r="E116" s="30">
        <f t="shared" si="54"/>
        <v>8.6033703026877299E-3</v>
      </c>
      <c r="F116" s="29">
        <v>1862.2877727999999</v>
      </c>
      <c r="G116" s="29">
        <v>1862.2877727999999</v>
      </c>
      <c r="H116" s="32">
        <v>303</v>
      </c>
      <c r="I116" s="50">
        <v>4.4999999999999997E-3</v>
      </c>
      <c r="J116" s="50">
        <v>6.7400000000000002E-2</v>
      </c>
      <c r="K116" s="29">
        <f>10451595.46*1607.1327</f>
        <v>16797100830.937544</v>
      </c>
      <c r="L116" s="30">
        <f t="shared" si="55"/>
        <v>8.5227887329479557E-3</v>
      </c>
      <c r="M116" s="29">
        <f>1.1635*1607.1327</f>
        <v>1869.8988964500002</v>
      </c>
      <c r="N116" s="29">
        <f>1.1635*1607.1327</f>
        <v>1869.8988964500002</v>
      </c>
      <c r="O116" s="32">
        <v>303</v>
      </c>
      <c r="P116" s="50">
        <v>8.9800000000000005E-2</v>
      </c>
      <c r="Q116" s="50">
        <v>6.8699999999999997E-2</v>
      </c>
      <c r="R116" s="57">
        <f t="shared" ref="R116:R128" si="56">((K116-D116)/D116)</f>
        <v>-2.8375039296370331E-3</v>
      </c>
      <c r="S116" s="57">
        <f t="shared" ref="S116:S128" si="57">((N116-G116)/G116)</f>
        <v>4.0869750428295937E-3</v>
      </c>
      <c r="T116" s="57">
        <f t="shared" ref="T116:T128" si="58">((O116-H116)/H116)</f>
        <v>0</v>
      </c>
      <c r="U116" s="57">
        <f t="shared" ref="U116:U128" si="59">P116-I116</f>
        <v>8.5300000000000001E-2</v>
      </c>
      <c r="V116" s="58">
        <f t="shared" ref="V116:V128" si="60">Q116-J116</f>
        <v>1.2999999999999956E-3</v>
      </c>
    </row>
    <row r="117" spans="1:28">
      <c r="A117" s="164">
        <v>102</v>
      </c>
      <c r="B117" s="165" t="s">
        <v>292</v>
      </c>
      <c r="C117" s="166" t="s">
        <v>23</v>
      </c>
      <c r="D117" s="29">
        <v>3220600951.7718396</v>
      </c>
      <c r="E117" s="30">
        <f t="shared" si="54"/>
        <v>1.644891058308383E-3</v>
      </c>
      <c r="F117" s="29">
        <v>1627.8784121600002</v>
      </c>
      <c r="G117" s="29">
        <v>1627.8784121600002</v>
      </c>
      <c r="H117" s="32">
        <v>66</v>
      </c>
      <c r="I117" s="50">
        <v>5.6599999999999998E-2</v>
      </c>
      <c r="J117" s="50">
        <v>4.58E-2</v>
      </c>
      <c r="K117" s="29">
        <f>1982673.42*1607.1327</f>
        <v>3186419286.7028341</v>
      </c>
      <c r="L117" s="30">
        <f t="shared" si="55"/>
        <v>1.6167777206611657E-3</v>
      </c>
      <c r="M117" s="29">
        <f>1.0165*1607.1327</f>
        <v>1633.65038955</v>
      </c>
      <c r="N117" s="29">
        <f>1.0165*1607.1327</f>
        <v>1633.65038955</v>
      </c>
      <c r="O117" s="32">
        <v>65</v>
      </c>
      <c r="P117" s="50">
        <v>6.1600000000000002E-2</v>
      </c>
      <c r="Q117" s="50">
        <v>4.6699999999999998E-2</v>
      </c>
      <c r="R117" s="57">
        <f t="shared" si="56"/>
        <v>-1.0613443137126371E-2</v>
      </c>
      <c r="S117" s="57">
        <f t="shared" ref="S117" si="61">((N117-G117)/G117)</f>
        <v>3.5457054696985159E-3</v>
      </c>
      <c r="T117" s="57">
        <f t="shared" ref="T117" si="62">((O117-H117)/H117)</f>
        <v>-1.5151515151515152E-2</v>
      </c>
      <c r="U117" s="57">
        <f t="shared" ref="U117" si="63">P117-I117</f>
        <v>5.0000000000000044E-3</v>
      </c>
      <c r="V117" s="58">
        <f t="shared" ref="V117" si="64">Q117-J117</f>
        <v>8.9999999999999802E-4</v>
      </c>
    </row>
    <row r="118" spans="1:28">
      <c r="A118" s="164">
        <v>103</v>
      </c>
      <c r="B118" s="165" t="s">
        <v>161</v>
      </c>
      <c r="C118" s="166" t="s">
        <v>27</v>
      </c>
      <c r="D118" s="29">
        <v>13808519688.266277</v>
      </c>
      <c r="E118" s="30">
        <f t="shared" si="54"/>
        <v>7.0525690403241172E-3</v>
      </c>
      <c r="F118" s="29">
        <v>1711.93050535</v>
      </c>
      <c r="G118" s="29">
        <v>1711.93050535</v>
      </c>
      <c r="H118" s="32">
        <v>413</v>
      </c>
      <c r="I118" s="50">
        <v>3.6600000000000001E-2</v>
      </c>
      <c r="J118" s="50">
        <v>2.8299999999999999E-2</v>
      </c>
      <c r="K118" s="29">
        <f>8866278.54*W133</f>
        <v>14240594556.089495</v>
      </c>
      <c r="L118" s="30">
        <f t="shared" si="55"/>
        <v>7.2256266158488734E-3</v>
      </c>
      <c r="M118" s="29">
        <f>1.0712*W133</f>
        <v>1720.5104508799998</v>
      </c>
      <c r="N118" s="29">
        <f>1.0712*W133</f>
        <v>1720.5104508799998</v>
      </c>
      <c r="O118" s="32">
        <v>422</v>
      </c>
      <c r="P118" s="50">
        <v>3.9100000000000003E-2</v>
      </c>
      <c r="Q118" s="50">
        <v>3.0800000000000001E-2</v>
      </c>
      <c r="R118" s="57">
        <f t="shared" si="56"/>
        <v>3.1290455282500046E-2</v>
      </c>
      <c r="S118" s="57">
        <f t="shared" ref="S118:T121" si="65">((N118-G118)/G118)</f>
        <v>5.011853870928981E-3</v>
      </c>
      <c r="T118" s="57">
        <f t="shared" si="65"/>
        <v>2.1791767554479417E-2</v>
      </c>
      <c r="U118" s="57">
        <f t="shared" si="59"/>
        <v>2.5000000000000022E-3</v>
      </c>
      <c r="V118" s="58">
        <f t="shared" si="60"/>
        <v>2.5000000000000022E-3</v>
      </c>
    </row>
    <row r="119" spans="1:28">
      <c r="A119" s="164">
        <v>104</v>
      </c>
      <c r="B119" s="165" t="s">
        <v>162</v>
      </c>
      <c r="C119" s="166" t="s">
        <v>63</v>
      </c>
      <c r="D119" s="29">
        <v>727371618.07742906</v>
      </c>
      <c r="E119" s="30">
        <f t="shared" si="54"/>
        <v>3.7149808019047758E-4</v>
      </c>
      <c r="F119" s="29">
        <v>1746.3773990000002</v>
      </c>
      <c r="G119" s="29">
        <v>1762.3992100000003</v>
      </c>
      <c r="H119" s="32">
        <v>21</v>
      </c>
      <c r="I119" s="50">
        <v>-1.4E-2</v>
      </c>
      <c r="J119" s="50">
        <v>8.5000000000000006E-2</v>
      </c>
      <c r="K119" s="29">
        <f>452486.45*W133</f>
        <v>726762197.63497996</v>
      </c>
      <c r="L119" s="30">
        <f t="shared" si="55"/>
        <v>3.6875653315883422E-4</v>
      </c>
      <c r="M119" s="29">
        <f>1.08*W133</f>
        <v>1734.6445920000001</v>
      </c>
      <c r="N119" s="29">
        <f>1.09*W133</f>
        <v>1750.7061160000001</v>
      </c>
      <c r="O119" s="32">
        <v>21</v>
      </c>
      <c r="P119" s="50">
        <v>0.45200000000000001</v>
      </c>
      <c r="Q119" s="50">
        <v>9.5000000000000001E-2</v>
      </c>
      <c r="R119" s="57">
        <f t="shared" si="56"/>
        <v>-8.3783918330481214E-4</v>
      </c>
      <c r="S119" s="57">
        <f t="shared" si="65"/>
        <v>-6.6347589885722875E-3</v>
      </c>
      <c r="T119" s="57">
        <f t="shared" si="65"/>
        <v>0</v>
      </c>
      <c r="U119" s="57">
        <f t="shared" si="59"/>
        <v>0.46600000000000003</v>
      </c>
      <c r="V119" s="58">
        <f t="shared" si="60"/>
        <v>9.999999999999995E-3</v>
      </c>
    </row>
    <row r="120" spans="1:28">
      <c r="A120" s="164">
        <v>105</v>
      </c>
      <c r="B120" s="165" t="s">
        <v>163</v>
      </c>
      <c r="C120" s="166" t="s">
        <v>29</v>
      </c>
      <c r="D120" s="29">
        <v>474706569.12428105</v>
      </c>
      <c r="E120" s="30">
        <v>0</v>
      </c>
      <c r="F120" s="29">
        <v>2070.65885364</v>
      </c>
      <c r="G120" s="29">
        <v>2070.65885364</v>
      </c>
      <c r="H120" s="32">
        <v>41</v>
      </c>
      <c r="I120" s="50">
        <v>1.0070000000000001E-3</v>
      </c>
      <c r="J120" s="50">
        <v>4.2500000000000003E-2</v>
      </c>
      <c r="K120" s="29">
        <f>282687.46*W133</f>
        <v>454039142.32890403</v>
      </c>
      <c r="L120" s="30">
        <f t="shared" si="55"/>
        <v>2.3037783278831144E-4</v>
      </c>
      <c r="M120" s="29">
        <f>1.2942*W133</f>
        <v>2078.6824360800001</v>
      </c>
      <c r="N120" s="29">
        <f>1.2942*W133</f>
        <v>2078.6824360800001</v>
      </c>
      <c r="O120" s="32">
        <v>41</v>
      </c>
      <c r="P120" s="50">
        <v>8.5099999999999998E-4</v>
      </c>
      <c r="Q120" s="50">
        <v>4.2999999999999997E-2</v>
      </c>
      <c r="R120" s="57">
        <f t="shared" si="56"/>
        <v>-4.3537267313370924E-2</v>
      </c>
      <c r="S120" s="57">
        <f t="shared" si="65"/>
        <v>3.8748934552379514E-3</v>
      </c>
      <c r="T120" s="57">
        <f t="shared" si="65"/>
        <v>0</v>
      </c>
      <c r="U120" s="57">
        <f t="shared" si="59"/>
        <v>-1.5600000000000011E-4</v>
      </c>
      <c r="V120" s="58">
        <f t="shared" si="60"/>
        <v>4.9999999999999351E-4</v>
      </c>
    </row>
    <row r="121" spans="1:28">
      <c r="A121" s="164">
        <v>106</v>
      </c>
      <c r="B121" s="165" t="s">
        <v>164</v>
      </c>
      <c r="C121" s="166" t="s">
        <v>72</v>
      </c>
      <c r="D121" s="29">
        <v>837162151.41626596</v>
      </c>
      <c r="E121" s="30">
        <f t="shared" ref="E121:E130" si="66">(D121/$D$150)</f>
        <v>4.2757254246640977E-4</v>
      </c>
      <c r="F121" s="29">
        <v>169943.349277</v>
      </c>
      <c r="G121" s="29">
        <v>171593.59581</v>
      </c>
      <c r="H121" s="32">
        <v>47</v>
      </c>
      <c r="I121" s="50">
        <v>1.5E-3</v>
      </c>
      <c r="J121" s="50">
        <v>1.2999999999999999E-2</v>
      </c>
      <c r="K121" s="29">
        <f>526655.85*W133</f>
        <v>845889557.45153987</v>
      </c>
      <c r="L121" s="30">
        <f t="shared" si="55"/>
        <v>4.2920132837970953E-4</v>
      </c>
      <c r="M121" s="29">
        <f>106.13*W133</f>
        <v>170460.95421199998</v>
      </c>
      <c r="N121" s="29">
        <f>107.21*W133</f>
        <v>172195.59880399998</v>
      </c>
      <c r="O121" s="32">
        <v>53</v>
      </c>
      <c r="P121" s="50">
        <v>8.0000000000000004E-4</v>
      </c>
      <c r="Q121" s="50">
        <v>1.38E-2</v>
      </c>
      <c r="R121" s="57">
        <f t="shared" si="56"/>
        <v>1.0424988779663955E-2</v>
      </c>
      <c r="S121" s="57">
        <f t="shared" si="65"/>
        <v>3.5083068873185612E-3</v>
      </c>
      <c r="T121" s="57">
        <f t="shared" si="65"/>
        <v>0.1276595744680851</v>
      </c>
      <c r="U121" s="57">
        <f t="shared" si="59"/>
        <v>-6.9999999999999999E-4</v>
      </c>
      <c r="V121" s="58">
        <f t="shared" si="60"/>
        <v>8.0000000000000036E-4</v>
      </c>
    </row>
    <row r="122" spans="1:28">
      <c r="A122" s="164">
        <v>107</v>
      </c>
      <c r="B122" s="165" t="s">
        <v>165</v>
      </c>
      <c r="C122" s="166" t="s">
        <v>75</v>
      </c>
      <c r="D122" s="29">
        <v>5267600920.3770027</v>
      </c>
      <c r="E122" s="30">
        <f t="shared" si="66"/>
        <v>2.6903766664722077E-3</v>
      </c>
      <c r="F122" s="29">
        <v>182391.65555156002</v>
      </c>
      <c r="G122" s="29">
        <v>182391.65555156002</v>
      </c>
      <c r="H122" s="32">
        <v>60</v>
      </c>
      <c r="I122" s="50" t="s">
        <v>316</v>
      </c>
      <c r="J122" s="50">
        <v>7.2800000000000004E-2</v>
      </c>
      <c r="K122" s="29">
        <v>5319435070.096796</v>
      </c>
      <c r="L122" s="30">
        <f t="shared" si="55"/>
        <v>2.6990622808887848E-3</v>
      </c>
      <c r="M122" s="29">
        <v>183069.25055200001</v>
      </c>
      <c r="N122" s="29">
        <v>183069.25055200001</v>
      </c>
      <c r="O122" s="32">
        <v>60</v>
      </c>
      <c r="P122" s="50" t="s">
        <v>324</v>
      </c>
      <c r="Q122" s="50">
        <v>7.2400000000000006E-2</v>
      </c>
      <c r="R122" s="57">
        <f t="shared" si="56"/>
        <v>9.8401816127109999E-3</v>
      </c>
      <c r="S122" s="57">
        <f t="shared" si="57"/>
        <v>3.7150548274312066E-3</v>
      </c>
      <c r="T122" s="57">
        <f t="shared" si="58"/>
        <v>0</v>
      </c>
      <c r="U122" s="57">
        <f t="shared" si="59"/>
        <v>8.0000000000000002E-3</v>
      </c>
      <c r="V122" s="58">
        <f t="shared" si="60"/>
        <v>-3.9999999999999758E-4</v>
      </c>
      <c r="X122" s="66"/>
    </row>
    <row r="123" spans="1:28">
      <c r="A123" s="164">
        <v>108</v>
      </c>
      <c r="B123" s="165" t="s">
        <v>166</v>
      </c>
      <c r="C123" s="166" t="s">
        <v>31</v>
      </c>
      <c r="D123" s="29">
        <v>55016218572.479996</v>
      </c>
      <c r="E123" s="30">
        <f t="shared" si="66"/>
        <v>2.8099006162817224E-2</v>
      </c>
      <c r="F123" s="29">
        <v>208217.90000000002</v>
      </c>
      <c r="G123" s="29">
        <v>208217.90000000002</v>
      </c>
      <c r="H123" s="32">
        <v>2395</v>
      </c>
      <c r="I123" s="50">
        <v>1.4E-3</v>
      </c>
      <c r="J123" s="50">
        <v>2.58E-2</v>
      </c>
      <c r="K123" s="29">
        <f>34395622.27*1607</f>
        <v>55273764987.890007</v>
      </c>
      <c r="L123" s="30">
        <f t="shared" si="55"/>
        <v>2.8045710162002288E-2</v>
      </c>
      <c r="M123" s="29">
        <f>129.83*1607</f>
        <v>208636.81000000003</v>
      </c>
      <c r="N123" s="29">
        <f>129.83*1607</f>
        <v>208636.81000000003</v>
      </c>
      <c r="O123" s="32">
        <v>2399</v>
      </c>
      <c r="P123" s="50">
        <v>1.4E-3</v>
      </c>
      <c r="Q123" s="50">
        <v>2.7199999999999998E-2</v>
      </c>
      <c r="R123" s="57">
        <f t="shared" si="56"/>
        <v>4.6812816673452761E-3</v>
      </c>
      <c r="S123" s="57">
        <f t="shared" si="57"/>
        <v>2.0118827439908069E-3</v>
      </c>
      <c r="T123" s="57">
        <f t="shared" si="58"/>
        <v>1.6701461377870565E-3</v>
      </c>
      <c r="U123" s="57">
        <f t="shared" si="59"/>
        <v>0</v>
      </c>
      <c r="V123" s="58">
        <f t="shared" si="60"/>
        <v>1.3999999999999985E-3</v>
      </c>
    </row>
    <row r="124" spans="1:28">
      <c r="A124" s="164">
        <v>109</v>
      </c>
      <c r="B124" s="173" t="s">
        <v>167</v>
      </c>
      <c r="C124" s="173" t="s">
        <v>31</v>
      </c>
      <c r="D124" s="29">
        <v>145958452379.95999</v>
      </c>
      <c r="E124" s="30">
        <f t="shared" si="66"/>
        <v>7.4546880162921464E-2</v>
      </c>
      <c r="F124" s="29">
        <v>195915.94</v>
      </c>
      <c r="G124" s="29">
        <v>195915.94</v>
      </c>
      <c r="H124" s="32">
        <v>822</v>
      </c>
      <c r="I124" s="50">
        <v>1.6000000000000001E-3</v>
      </c>
      <c r="J124" s="50">
        <v>2.75E-2</v>
      </c>
      <c r="K124" s="29">
        <f>92631837.71*1607</f>
        <v>148859363199.97</v>
      </c>
      <c r="L124" s="30">
        <f t="shared" si="55"/>
        <v>7.5530707128802679E-2</v>
      </c>
      <c r="M124" s="29">
        <f>122.18*1607</f>
        <v>196343.26</v>
      </c>
      <c r="N124" s="29">
        <f>122.18*1607</f>
        <v>196343.26</v>
      </c>
      <c r="O124" s="32">
        <v>838</v>
      </c>
      <c r="P124" s="50">
        <v>1.6000000000000001E-3</v>
      </c>
      <c r="Q124" s="50">
        <v>2.9100000000000001E-2</v>
      </c>
      <c r="R124" s="57">
        <f t="shared" si="56"/>
        <v>1.9874908048890104E-2</v>
      </c>
      <c r="S124" s="57">
        <f t="shared" si="57"/>
        <v>2.1811395234099225E-3</v>
      </c>
      <c r="T124" s="57">
        <f t="shared" si="58"/>
        <v>1.9464720194647202E-2</v>
      </c>
      <c r="U124" s="57">
        <f t="shared" si="59"/>
        <v>0</v>
      </c>
      <c r="V124" s="58">
        <f t="shared" si="60"/>
        <v>1.6000000000000007E-3</v>
      </c>
      <c r="X124" s="65"/>
    </row>
    <row r="125" spans="1:28">
      <c r="A125" s="164">
        <v>110</v>
      </c>
      <c r="B125" s="165" t="s">
        <v>304</v>
      </c>
      <c r="C125" s="166" t="s">
        <v>303</v>
      </c>
      <c r="D125" s="29">
        <v>615586112.92011595</v>
      </c>
      <c r="E125" s="30">
        <f t="shared" si="66"/>
        <v>3.1440470518523525E-4</v>
      </c>
      <c r="F125" s="29">
        <v>1602.1811</v>
      </c>
      <c r="G125" s="29">
        <v>1602.1811</v>
      </c>
      <c r="H125" s="32">
        <v>6</v>
      </c>
      <c r="I125" s="50">
        <v>9.1700000000000004E-2</v>
      </c>
      <c r="J125" s="50">
        <v>8.9800000000000005E-2</v>
      </c>
      <c r="K125" s="29">
        <f>391850.32*W133</f>
        <v>629371331.90876794</v>
      </c>
      <c r="L125" s="30">
        <f t="shared" si="55"/>
        <v>3.1934075709975359E-4</v>
      </c>
      <c r="M125" s="29">
        <f>1*W133</f>
        <v>1606.1523999999999</v>
      </c>
      <c r="N125" s="29">
        <f>1*W133</f>
        <v>1606.1523999999999</v>
      </c>
      <c r="O125" s="32">
        <v>7</v>
      </c>
      <c r="P125" s="50">
        <v>8.8400000000000006E-2</v>
      </c>
      <c r="Q125" s="50">
        <v>8.72E-2</v>
      </c>
      <c r="R125" s="57">
        <f t="shared" ref="R125" si="67">((K125-D125)/D125)</f>
        <v>2.2393648425985343E-2</v>
      </c>
      <c r="S125" s="57">
        <f t="shared" ref="S125" si="68">((N125-G125)/G125)</f>
        <v>2.4786835895142744E-3</v>
      </c>
      <c r="T125" s="57">
        <f t="shared" si="58"/>
        <v>0.16666666666666666</v>
      </c>
      <c r="U125" s="57">
        <f t="shared" si="59"/>
        <v>-3.2999999999999974E-3</v>
      </c>
      <c r="V125" s="58">
        <f t="shared" si="60"/>
        <v>-2.6000000000000051E-3</v>
      </c>
    </row>
    <row r="126" spans="1:28">
      <c r="A126" s="164">
        <v>111</v>
      </c>
      <c r="B126" s="165" t="s">
        <v>168</v>
      </c>
      <c r="C126" s="166" t="s">
        <v>35</v>
      </c>
      <c r="D126" s="29">
        <v>259989980.615183</v>
      </c>
      <c r="E126" s="30">
        <f t="shared" si="66"/>
        <v>1.3278738992125255E-4</v>
      </c>
      <c r="F126" s="29">
        <v>202019.014899</v>
      </c>
      <c r="G126" s="29">
        <v>202019.014899</v>
      </c>
      <c r="H126" s="32">
        <v>8</v>
      </c>
      <c r="I126" s="50">
        <v>2.0999999999999999E-3</v>
      </c>
      <c r="J126" s="50">
        <v>0.11210000000000001</v>
      </c>
      <c r="K126" s="29">
        <f>155806*W133</f>
        <v>250248180.8344</v>
      </c>
      <c r="L126" s="30">
        <f t="shared" si="55"/>
        <v>1.2697502965082231E-4</v>
      </c>
      <c r="M126" s="29">
        <f>126.35*W133</f>
        <v>202937.35573999997</v>
      </c>
      <c r="N126" s="29">
        <f>126.35*W133</f>
        <v>202937.35573999997</v>
      </c>
      <c r="O126" s="32">
        <v>8</v>
      </c>
      <c r="P126" s="50">
        <v>2.0999999999999999E-3</v>
      </c>
      <c r="Q126" s="50">
        <v>0.1144</v>
      </c>
      <c r="R126" s="57">
        <f t="shared" si="56"/>
        <v>-3.7469904639140898E-2</v>
      </c>
      <c r="S126" s="57">
        <f t="shared" si="57"/>
        <v>4.5458138752884009E-3</v>
      </c>
      <c r="T126" s="57">
        <f t="shared" si="58"/>
        <v>0</v>
      </c>
      <c r="U126" s="57">
        <f t="shared" si="59"/>
        <v>0</v>
      </c>
      <c r="V126" s="58">
        <f t="shared" si="60"/>
        <v>2.2999999999999965E-3</v>
      </c>
    </row>
    <row r="127" spans="1:28">
      <c r="A127" s="164">
        <v>112</v>
      </c>
      <c r="B127" s="165" t="s">
        <v>169</v>
      </c>
      <c r="C127" s="166" t="s">
        <v>41</v>
      </c>
      <c r="D127" s="29">
        <v>17245645332.533096</v>
      </c>
      <c r="E127" s="30">
        <f t="shared" si="66"/>
        <v>8.8080480093738235E-3</v>
      </c>
      <c r="F127" s="29">
        <v>2259.075351</v>
      </c>
      <c r="G127" s="29">
        <v>2259.075351</v>
      </c>
      <c r="H127" s="46">
        <v>115</v>
      </c>
      <c r="I127" s="53">
        <v>8.9999999999999998E-4</v>
      </c>
      <c r="J127" s="53">
        <v>4.9700000000000001E-2</v>
      </c>
      <c r="K127" s="29">
        <f>11092020.98*W133</f>
        <v>17815476117.877354</v>
      </c>
      <c r="L127" s="30">
        <f t="shared" si="55"/>
        <v>9.0395087019950662E-3</v>
      </c>
      <c r="M127" s="29">
        <f>1.41*W133</f>
        <v>2264.6748839999996</v>
      </c>
      <c r="N127" s="29">
        <f>1.41*W133</f>
        <v>2264.6748839999996</v>
      </c>
      <c r="O127" s="46">
        <v>115</v>
      </c>
      <c r="P127" s="53">
        <v>8.9999999999999998E-4</v>
      </c>
      <c r="Q127" s="53">
        <v>4.9599999999999998E-2</v>
      </c>
      <c r="R127" s="57">
        <f t="shared" si="56"/>
        <v>3.3042009988996958E-2</v>
      </c>
      <c r="S127" s="57">
        <f t="shared" si="57"/>
        <v>2.4786835895141465E-3</v>
      </c>
      <c r="T127" s="57">
        <f t="shared" si="58"/>
        <v>0</v>
      </c>
      <c r="U127" s="57">
        <f t="shared" si="59"/>
        <v>0</v>
      </c>
      <c r="V127" s="58">
        <f t="shared" si="60"/>
        <v>-1.0000000000000286E-4</v>
      </c>
    </row>
    <row r="128" spans="1:28">
      <c r="A128" s="164">
        <v>113</v>
      </c>
      <c r="B128" s="165" t="s">
        <v>170</v>
      </c>
      <c r="C128" s="166" t="s">
        <v>89</v>
      </c>
      <c r="D128" s="29">
        <v>30233932812.652401</v>
      </c>
      <c r="E128" s="30">
        <f t="shared" si="66"/>
        <v>1.5441691313438926E-2</v>
      </c>
      <c r="F128" s="29">
        <v>166466.61629000001</v>
      </c>
      <c r="G128" s="29">
        <v>166466.61629000001</v>
      </c>
      <c r="H128" s="32">
        <v>601</v>
      </c>
      <c r="I128" s="53">
        <v>2.5000000000000001E-3</v>
      </c>
      <c r="J128" s="50">
        <v>9.8199999999999996E-2</v>
      </c>
      <c r="K128" s="29">
        <f>18835123*W133</f>
        <v>30252078010.745197</v>
      </c>
      <c r="L128" s="30">
        <f t="shared" si="55"/>
        <v>1.5349795909027157E-2</v>
      </c>
      <c r="M128" s="29">
        <f>104.18*W133</f>
        <v>167328.95703200001</v>
      </c>
      <c r="N128" s="29">
        <f>104.18*W133</f>
        <v>167328.95703200001</v>
      </c>
      <c r="O128" s="32">
        <v>623</v>
      </c>
      <c r="P128" s="53">
        <v>2.5000000000000001E-3</v>
      </c>
      <c r="Q128" s="50">
        <v>9.5100000000000004E-2</v>
      </c>
      <c r="R128" s="57">
        <f t="shared" si="56"/>
        <v>6.0016003228011605E-4</v>
      </c>
      <c r="S128" s="57">
        <f t="shared" si="57"/>
        <v>5.1802623325851969E-3</v>
      </c>
      <c r="T128" s="57">
        <f t="shared" si="58"/>
        <v>3.6605657237936774E-2</v>
      </c>
      <c r="U128" s="57">
        <f t="shared" si="59"/>
        <v>0</v>
      </c>
      <c r="V128" s="58">
        <f t="shared" si="60"/>
        <v>-3.0999999999999917E-3</v>
      </c>
    </row>
    <row r="129" spans="1:24">
      <c r="A129" s="168">
        <v>114</v>
      </c>
      <c r="B129" s="165" t="s">
        <v>171</v>
      </c>
      <c r="C129" s="166" t="s">
        <v>45</v>
      </c>
      <c r="D129" s="29">
        <v>2747253940.0126863</v>
      </c>
      <c r="E129" s="30">
        <f t="shared" si="66"/>
        <v>1.4031336103105896E-3</v>
      </c>
      <c r="F129" s="29">
        <v>221580.61272319048</v>
      </c>
      <c r="G129" s="29">
        <v>229074.06339550458</v>
      </c>
      <c r="H129" s="32">
        <v>51</v>
      </c>
      <c r="I129" s="50">
        <v>-8.0000000000000004E-4</v>
      </c>
      <c r="J129" s="50">
        <v>8.3999999999999995E-3</v>
      </c>
      <c r="K129" s="29">
        <f>1718011.84*W133</f>
        <v>2759388840.044416</v>
      </c>
      <c r="L129" s="30">
        <f t="shared" si="55"/>
        <v>1.4001040032120958E-3</v>
      </c>
      <c r="M129" s="29">
        <f>138.566774*W133</f>
        <v>222559.3566203576</v>
      </c>
      <c r="N129" s="29">
        <f>143.285325*W133</f>
        <v>230138.06863353</v>
      </c>
      <c r="O129" s="32">
        <v>51</v>
      </c>
      <c r="P129" s="50">
        <v>1.5E-3</v>
      </c>
      <c r="Q129" s="50">
        <v>1.04E-2</v>
      </c>
      <c r="R129" s="57">
        <f t="shared" ref="R129:R130" si="69">((K129-D129)/D129)</f>
        <v>4.4171016938003415E-3</v>
      </c>
      <c r="S129" s="57">
        <f t="shared" ref="S129:S130" si="70">((N129-G129)/G129)</f>
        <v>4.6448088546295922E-3</v>
      </c>
      <c r="T129" s="57">
        <f t="shared" ref="T129:T130" si="71">((O129-H129)/H129)</f>
        <v>0</v>
      </c>
      <c r="U129" s="57">
        <f t="shared" ref="U129:U130" si="72">P129-I129</f>
        <v>2.3E-3</v>
      </c>
      <c r="V129" s="58">
        <f t="shared" ref="V129:V130" si="73">Q129-J129</f>
        <v>2E-3</v>
      </c>
    </row>
    <row r="130" spans="1:24">
      <c r="A130" s="164">
        <v>115</v>
      </c>
      <c r="B130" s="165" t="s">
        <v>172</v>
      </c>
      <c r="C130" s="166" t="s">
        <v>52</v>
      </c>
      <c r="D130" s="33">
        <v>178751871694.97</v>
      </c>
      <c r="E130" s="30">
        <f t="shared" si="66"/>
        <v>9.1295804668126299E-2</v>
      </c>
      <c r="F130" s="29">
        <v>204072.15919999999</v>
      </c>
      <c r="G130" s="29">
        <v>204072.15919999999</v>
      </c>
      <c r="H130" s="32">
        <v>3643</v>
      </c>
      <c r="I130" s="50">
        <v>6.0499999999999998E-2</v>
      </c>
      <c r="J130" s="50">
        <v>6.7799999999999999E-2</v>
      </c>
      <c r="K130" s="33">
        <f>111586990.42*1609.5</f>
        <v>179599261080.98999</v>
      </c>
      <c r="L130" s="30">
        <f t="shared" si="55"/>
        <v>9.1128021090851732E-2</v>
      </c>
      <c r="M130" s="29">
        <f>127.407*1609.5</f>
        <v>205061.56649999999</v>
      </c>
      <c r="N130" s="29">
        <f>127.407*1609.5</f>
        <v>205061.56649999999</v>
      </c>
      <c r="O130" s="32">
        <v>3658</v>
      </c>
      <c r="P130" s="50">
        <v>4.2000000000000003E-2</v>
      </c>
      <c r="Q130" s="50">
        <v>6.6400000000000001E-2</v>
      </c>
      <c r="R130" s="57">
        <f t="shared" si="69"/>
        <v>4.7405902829706376E-3</v>
      </c>
      <c r="S130" s="57">
        <f t="shared" si="70"/>
        <v>4.8483208286649601E-3</v>
      </c>
      <c r="T130" s="57">
        <f t="shared" si="71"/>
        <v>4.1174855888004395E-3</v>
      </c>
      <c r="U130" s="57">
        <f t="shared" si="72"/>
        <v>-1.8499999999999996E-2</v>
      </c>
      <c r="V130" s="58">
        <f t="shared" si="73"/>
        <v>-1.3999999999999985E-3</v>
      </c>
    </row>
    <row r="131" spans="1:24" ht="6" customHeight="1">
      <c r="A131" s="36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</row>
    <row r="132" spans="1:24">
      <c r="A132" s="180" t="s">
        <v>173</v>
      </c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</row>
    <row r="133" spans="1:24">
      <c r="A133" s="164">
        <v>116</v>
      </c>
      <c r="B133" s="165" t="s">
        <v>174</v>
      </c>
      <c r="C133" s="166" t="s">
        <v>117</v>
      </c>
      <c r="D133" s="33">
        <v>1909745445.1080332</v>
      </c>
      <c r="E133" s="30">
        <f t="shared" ref="E133:E146" si="74">(D133/$D$150)</f>
        <v>9.7538417622808642E-4</v>
      </c>
      <c r="F133" s="29">
        <v>166242.31093600002</v>
      </c>
      <c r="G133" s="29">
        <v>166242.31093600002</v>
      </c>
      <c r="H133" s="32">
        <v>23</v>
      </c>
      <c r="I133" s="50">
        <v>-1.46E-2</v>
      </c>
      <c r="J133" s="50">
        <v>-1.5E-3</v>
      </c>
      <c r="K133" s="33">
        <f>1199885.15*W133</f>
        <v>1927198413.3968599</v>
      </c>
      <c r="L133" s="30">
        <f t="shared" ref="L133:L149" si="75">(K133/$K$150)</f>
        <v>9.778535646819209E-4</v>
      </c>
      <c r="M133" s="29">
        <f>104.45*W133</f>
        <v>167762.61817999999</v>
      </c>
      <c r="N133" s="29">
        <f>104.45*W133</f>
        <v>167762.61817999999</v>
      </c>
      <c r="O133" s="32">
        <v>23</v>
      </c>
      <c r="P133" s="50">
        <v>4.0000000000000001E-3</v>
      </c>
      <c r="Q133" s="50">
        <v>8.8000000000000005E-3</v>
      </c>
      <c r="R133" s="57">
        <f>((K133-D133)/D133)</f>
        <v>9.1388977172501655E-3</v>
      </c>
      <c r="S133" s="57">
        <f>((N133-G133)/G133)</f>
        <v>9.1451281893287373E-3</v>
      </c>
      <c r="T133" s="57">
        <f>((O133-H133)/H133)</f>
        <v>0</v>
      </c>
      <c r="U133" s="57">
        <f>P133-I133</f>
        <v>1.8599999999999998E-2</v>
      </c>
      <c r="V133" s="58">
        <f>Q133-J133</f>
        <v>1.03E-2</v>
      </c>
      <c r="W133" s="170">
        <v>1606.1523999999999</v>
      </c>
    </row>
    <row r="134" spans="1:24">
      <c r="A134" s="164">
        <v>117</v>
      </c>
      <c r="B134" s="166" t="s">
        <v>175</v>
      </c>
      <c r="C134" s="166" t="s">
        <v>25</v>
      </c>
      <c r="D134" s="29">
        <v>19142511244.323509</v>
      </c>
      <c r="E134" s="30">
        <f t="shared" si="74"/>
        <v>9.7768540874436493E-3</v>
      </c>
      <c r="F134" s="33">
        <v>218345.24030800001</v>
      </c>
      <c r="G134" s="33">
        <v>218345.24030800001</v>
      </c>
      <c r="H134" s="32">
        <v>560</v>
      </c>
      <c r="I134" s="50">
        <v>5.0000000000000001E-4</v>
      </c>
      <c r="J134" s="50">
        <v>1.89E-2</v>
      </c>
      <c r="K134" s="29">
        <f>12075185.51*W133</f>
        <v>19394588187.331722</v>
      </c>
      <c r="L134" s="30">
        <f t="shared" si="75"/>
        <v>9.8407445038793742E-3</v>
      </c>
      <c r="M134" s="33">
        <f>136.42*W133</f>
        <v>219111.31040799996</v>
      </c>
      <c r="N134" s="33">
        <f>136.42*W133</f>
        <v>219111.31040799996</v>
      </c>
      <c r="O134" s="32">
        <v>564</v>
      </c>
      <c r="P134" s="50">
        <v>5.0000000000000001E-4</v>
      </c>
      <c r="Q134" s="50">
        <v>0.02</v>
      </c>
      <c r="R134" s="57">
        <f t="shared" ref="R134:R150" si="76">((K134-D134)/D134)</f>
        <v>1.3168436460130776E-2</v>
      </c>
      <c r="S134" s="57">
        <f t="shared" ref="S134:S150" si="77">((N134-G134)/G134)</f>
        <v>3.5085266750918285E-3</v>
      </c>
      <c r="T134" s="57">
        <f t="shared" ref="T134:T150" si="78">((O134-H134)/H134)</f>
        <v>7.1428571428571426E-3</v>
      </c>
      <c r="U134" s="57">
        <f t="shared" ref="U134:U150" si="79">P134-I134</f>
        <v>0</v>
      </c>
      <c r="V134" s="58">
        <f t="shared" ref="V134:V150" si="80">Q134-J134</f>
        <v>1.1000000000000003E-3</v>
      </c>
    </row>
    <row r="135" spans="1:24">
      <c r="A135" s="164">
        <v>118</v>
      </c>
      <c r="B135" s="165" t="s">
        <v>176</v>
      </c>
      <c r="C135" s="166" t="s">
        <v>67</v>
      </c>
      <c r="D135" s="33">
        <v>16965531453.51</v>
      </c>
      <c r="E135" s="30">
        <f t="shared" si="74"/>
        <v>8.664982531280464E-3</v>
      </c>
      <c r="F135" s="33">
        <v>179042.9</v>
      </c>
      <c r="G135" s="33">
        <v>179042.9</v>
      </c>
      <c r="H135" s="32">
        <v>693</v>
      </c>
      <c r="I135" s="50">
        <v>1.1999999999999999E-3</v>
      </c>
      <c r="J135" s="50">
        <v>6.2600000000000003E-2</v>
      </c>
      <c r="K135" s="33">
        <v>16955623997.860001</v>
      </c>
      <c r="L135" s="30">
        <f t="shared" si="75"/>
        <v>8.6032228194344463E-3</v>
      </c>
      <c r="M135" s="33">
        <v>170657.06</v>
      </c>
      <c r="N135" s="33">
        <v>170657.06</v>
      </c>
      <c r="O135" s="32">
        <v>694</v>
      </c>
      <c r="P135" s="50">
        <v>1.1999999999999999E-3</v>
      </c>
      <c r="Q135" s="50">
        <v>6.2600000000000003E-2</v>
      </c>
      <c r="R135" s="57">
        <f t="shared" si="76"/>
        <v>-5.8397555521020033E-4</v>
      </c>
      <c r="S135" s="57">
        <f t="shared" si="77"/>
        <v>-4.6837042965680274E-2</v>
      </c>
      <c r="T135" s="57">
        <f t="shared" si="78"/>
        <v>1.443001443001443E-3</v>
      </c>
      <c r="U135" s="57">
        <f t="shared" si="79"/>
        <v>0</v>
      </c>
      <c r="V135" s="58">
        <f t="shared" si="80"/>
        <v>0</v>
      </c>
    </row>
    <row r="136" spans="1:24">
      <c r="A136" s="164">
        <v>119</v>
      </c>
      <c r="B136" s="165" t="s">
        <v>299</v>
      </c>
      <c r="C136" s="166" t="s">
        <v>300</v>
      </c>
      <c r="D136" s="29">
        <v>197759408.161107</v>
      </c>
      <c r="E136" s="30">
        <f t="shared" ref="E136" si="81">(D136/$D$110)</f>
        <v>9.5155143864703474E-4</v>
      </c>
      <c r="F136" s="35">
        <v>1548.82846937</v>
      </c>
      <c r="G136" s="35">
        <v>1548.82846937</v>
      </c>
      <c r="H136" s="32">
        <v>3</v>
      </c>
      <c r="I136" s="50">
        <v>-9.3013642000827623E-4</v>
      </c>
      <c r="J136" s="50">
        <v>2.5284348086930808E-2</v>
      </c>
      <c r="K136" s="29">
        <f>123526.15*W133</f>
        <v>198401822.28525999</v>
      </c>
      <c r="L136" s="30">
        <f t="shared" ref="L136" si="82">(K136/$K$110)</f>
        <v>9.5023993068917066E-4</v>
      </c>
      <c r="M136" s="35">
        <f>0.9681*W133</f>
        <v>1554.9161384399999</v>
      </c>
      <c r="N136" s="35">
        <f>0.9681*W133</f>
        <v>1554.9161384399999</v>
      </c>
      <c r="O136" s="32">
        <v>3</v>
      </c>
      <c r="P136" s="50">
        <v>4.1335124522068334E-4</v>
      </c>
      <c r="Q136" s="50">
        <v>2.6689265297166753E-2</v>
      </c>
      <c r="R136" s="56">
        <f t="shared" si="76"/>
        <v>3.2484630194161892E-3</v>
      </c>
      <c r="S136" s="56">
        <f t="shared" si="77"/>
        <v>3.9304992065881655E-3</v>
      </c>
      <c r="T136" s="56">
        <f t="shared" si="78"/>
        <v>0</v>
      </c>
      <c r="U136" s="57">
        <f t="shared" si="79"/>
        <v>1.3434876652289596E-3</v>
      </c>
      <c r="V136" s="58">
        <f t="shared" si="80"/>
        <v>1.4049172102359453E-3</v>
      </c>
    </row>
    <row r="137" spans="1:24">
      <c r="A137" s="164">
        <v>120</v>
      </c>
      <c r="B137" s="165" t="s">
        <v>177</v>
      </c>
      <c r="C137" s="166" t="s">
        <v>65</v>
      </c>
      <c r="D137" s="33">
        <v>9393893145.7466278</v>
      </c>
      <c r="E137" s="30">
        <f t="shared" si="74"/>
        <v>4.7978408593719228E-3</v>
      </c>
      <c r="F137" s="33">
        <v>1979.3222264810581</v>
      </c>
      <c r="G137" s="33">
        <v>1979.3222264810581</v>
      </c>
      <c r="H137" s="32">
        <v>249</v>
      </c>
      <c r="I137" s="50">
        <v>6.5058602980237898E-2</v>
      </c>
      <c r="J137" s="50">
        <v>6.474551938392048E-2</v>
      </c>
      <c r="K137" s="33">
        <v>9947378782.8070393</v>
      </c>
      <c r="L137" s="30">
        <f t="shared" si="75"/>
        <v>5.0472643264915943E-3</v>
      </c>
      <c r="M137" s="33">
        <v>2077.3323280055602</v>
      </c>
      <c r="N137" s="33">
        <v>2077.3323280055602</v>
      </c>
      <c r="O137" s="32">
        <v>256</v>
      </c>
      <c r="P137" s="50">
        <v>7.5394795902094303E-2</v>
      </c>
      <c r="Q137" s="50">
        <v>6.5411924424621001E-2</v>
      </c>
      <c r="R137" s="57">
        <f t="shared" si="76"/>
        <v>5.8919728857147899E-2</v>
      </c>
      <c r="S137" s="57">
        <f t="shared" si="77"/>
        <v>4.9517001432732598E-2</v>
      </c>
      <c r="T137" s="56">
        <f t="shared" si="78"/>
        <v>2.8112449799196786E-2</v>
      </c>
      <c r="U137" s="57">
        <f t="shared" si="79"/>
        <v>1.0336192921856405E-2</v>
      </c>
      <c r="V137" s="58">
        <f t="shared" si="80"/>
        <v>6.664050407005212E-4</v>
      </c>
    </row>
    <row r="138" spans="1:24">
      <c r="A138" s="164">
        <v>121</v>
      </c>
      <c r="B138" s="165" t="s">
        <v>306</v>
      </c>
      <c r="C138" s="166" t="s">
        <v>37</v>
      </c>
      <c r="D138" s="33">
        <v>95298947954.484299</v>
      </c>
      <c r="E138" s="30">
        <f t="shared" si="74"/>
        <v>4.867302398028741E-2</v>
      </c>
      <c r="F138" s="33">
        <v>159669</v>
      </c>
      <c r="G138" s="33">
        <v>159669</v>
      </c>
      <c r="H138" s="32">
        <v>1828</v>
      </c>
      <c r="I138" s="50">
        <v>4.5699999999999998E-2</v>
      </c>
      <c r="J138" s="50">
        <v>4.8271700000000001E-2</v>
      </c>
      <c r="K138" s="33">
        <v>96086548157.400009</v>
      </c>
      <c r="L138" s="30">
        <f t="shared" si="75"/>
        <v>4.8753970001502986E-2</v>
      </c>
      <c r="M138" s="33">
        <f>100*W133</f>
        <v>160615.24</v>
      </c>
      <c r="N138" s="33">
        <f>100*W133</f>
        <v>160615.24</v>
      </c>
      <c r="O138" s="32">
        <v>1827</v>
      </c>
      <c r="P138" s="50">
        <v>4.6100000000000002E-2</v>
      </c>
      <c r="Q138" s="50">
        <v>4.8153899999999999E-2</v>
      </c>
      <c r="R138" s="57">
        <f t="shared" si="76"/>
        <v>8.2645214855034486E-3</v>
      </c>
      <c r="S138" s="57">
        <f t="shared" si="77"/>
        <v>5.9262599502720673E-3</v>
      </c>
      <c r="T138" s="57">
        <f t="shared" si="78"/>
        <v>-5.4704595185995622E-4</v>
      </c>
      <c r="U138" s="57">
        <f t="shared" si="79"/>
        <v>4.0000000000000452E-4</v>
      </c>
      <c r="V138" s="58">
        <f t="shared" si="80"/>
        <v>-1.1780000000000124E-4</v>
      </c>
    </row>
    <row r="139" spans="1:24" ht="15.6">
      <c r="A139" s="164">
        <v>122</v>
      </c>
      <c r="B139" s="165" t="s">
        <v>178</v>
      </c>
      <c r="C139" s="166" t="s">
        <v>134</v>
      </c>
      <c r="D139" s="33">
        <v>1610981576.3678911</v>
      </c>
      <c r="E139" s="30">
        <f t="shared" si="74"/>
        <v>8.2279339469524453E-4</v>
      </c>
      <c r="F139" s="33">
        <v>1762.3992100000003</v>
      </c>
      <c r="G139" s="33">
        <v>1810.4646429999998</v>
      </c>
      <c r="H139" s="32">
        <v>51</v>
      </c>
      <c r="I139" s="50">
        <v>1.9E-3</v>
      </c>
      <c r="J139" s="50">
        <v>9.3299999999999994E-2</v>
      </c>
      <c r="K139" s="33">
        <f>1031827.61*W133</f>
        <v>1657272392.1877639</v>
      </c>
      <c r="L139" s="30">
        <f t="shared" si="75"/>
        <v>8.4089406938299633E-4</v>
      </c>
      <c r="M139" s="33">
        <f>1.08*W133</f>
        <v>1734.6445920000001</v>
      </c>
      <c r="N139" s="33">
        <f>1.12*W133</f>
        <v>1798.8906880000002</v>
      </c>
      <c r="O139" s="32">
        <v>51</v>
      </c>
      <c r="P139" s="50">
        <v>1.9E-3</v>
      </c>
      <c r="Q139" s="50">
        <v>9.9599999999999994E-2</v>
      </c>
      <c r="R139" s="57">
        <f t="shared" si="76"/>
        <v>2.8734540791111863E-2</v>
      </c>
      <c r="S139" s="57">
        <f t="shared" si="77"/>
        <v>-6.3928091856139142E-3</v>
      </c>
      <c r="T139" s="57">
        <f t="shared" si="78"/>
        <v>0</v>
      </c>
      <c r="U139" s="57">
        <f t="shared" si="79"/>
        <v>0</v>
      </c>
      <c r="V139" s="58">
        <f t="shared" si="80"/>
        <v>6.3E-3</v>
      </c>
      <c r="X139" s="67"/>
    </row>
    <row r="140" spans="1:24" ht="15.6">
      <c r="A140" s="164">
        <v>123</v>
      </c>
      <c r="B140" s="165" t="s">
        <v>179</v>
      </c>
      <c r="C140" s="166" t="s">
        <v>43</v>
      </c>
      <c r="D140" s="29">
        <v>5151737367.6440487</v>
      </c>
      <c r="E140" s="30">
        <f t="shared" si="74"/>
        <v>2.6312004677663645E-3</v>
      </c>
      <c r="F140" s="33">
        <v>16983.11966</v>
      </c>
      <c r="G140" s="33">
        <v>16983.11966</v>
      </c>
      <c r="H140" s="32">
        <v>68</v>
      </c>
      <c r="I140" s="50">
        <v>7.6499999999999999E-2</v>
      </c>
      <c r="J140" s="50">
        <v>9.64E-2</v>
      </c>
      <c r="K140" s="29">
        <f>3283049.45*W133</f>
        <v>5273077753.4361801</v>
      </c>
      <c r="L140" s="30">
        <f t="shared" si="75"/>
        <v>2.6755407446367014E-3</v>
      </c>
      <c r="M140" s="33">
        <f>10.61771*W133</f>
        <v>17053.660399004002</v>
      </c>
      <c r="N140" s="33">
        <f>10.61771*W133</f>
        <v>17053.660399004002</v>
      </c>
      <c r="O140" s="32">
        <v>68</v>
      </c>
      <c r="P140" s="50">
        <v>7.6799999999999993E-2</v>
      </c>
      <c r="Q140" s="50">
        <v>9.6799999999999997E-2</v>
      </c>
      <c r="R140" s="57">
        <f t="shared" si="76"/>
        <v>2.35532941865827E-2</v>
      </c>
      <c r="S140" s="57">
        <f t="shared" si="77"/>
        <v>4.1535795787946425E-3</v>
      </c>
      <c r="T140" s="57">
        <f t="shared" si="78"/>
        <v>0</v>
      </c>
      <c r="U140" s="57">
        <f t="shared" si="79"/>
        <v>2.9999999999999472E-4</v>
      </c>
      <c r="V140" s="58">
        <f t="shared" si="80"/>
        <v>3.9999999999999758E-4</v>
      </c>
      <c r="X140" s="67"/>
    </row>
    <row r="141" spans="1:24" ht="15.6">
      <c r="A141" s="164">
        <v>124</v>
      </c>
      <c r="B141" s="166" t="s">
        <v>180</v>
      </c>
      <c r="C141" s="172" t="s">
        <v>47</v>
      </c>
      <c r="D141" s="33">
        <v>25196613906.48</v>
      </c>
      <c r="E141" s="30">
        <f t="shared" si="74"/>
        <v>1.286892897787164E-2</v>
      </c>
      <c r="F141" s="33">
        <v>1634.2247220000002</v>
      </c>
      <c r="G141" s="33">
        <v>1634.2247220000002</v>
      </c>
      <c r="H141" s="32">
        <v>460</v>
      </c>
      <c r="I141" s="50">
        <v>-6.4999999999999997E-3</v>
      </c>
      <c r="J141" s="50">
        <v>6.7999999999999996E-3</v>
      </c>
      <c r="K141" s="33">
        <v>25545242905.169998</v>
      </c>
      <c r="L141" s="30">
        <f t="shared" si="75"/>
        <v>1.2961564653562274E-2</v>
      </c>
      <c r="M141" s="33">
        <f>1.03*W133</f>
        <v>1654.3369720000001</v>
      </c>
      <c r="N141" s="33">
        <f>1.03*W133</f>
        <v>1654.3369720000001</v>
      </c>
      <c r="O141" s="32">
        <v>460</v>
      </c>
      <c r="P141" s="50">
        <v>-2.7000000000000001E-3</v>
      </c>
      <c r="Q141" s="50">
        <v>-1.1599999999999999E-2</v>
      </c>
      <c r="R141" s="57">
        <f t="shared" si="76"/>
        <v>1.3836343247706754E-2</v>
      </c>
      <c r="S141" s="57">
        <f t="shared" si="77"/>
        <v>1.2306905977646752E-2</v>
      </c>
      <c r="T141" s="57">
        <f t="shared" si="78"/>
        <v>0</v>
      </c>
      <c r="U141" s="57">
        <f t="shared" si="79"/>
        <v>3.7999999999999996E-3</v>
      </c>
      <c r="V141" s="58">
        <f t="shared" si="80"/>
        <v>-1.84E-2</v>
      </c>
      <c r="X141" s="67"/>
    </row>
    <row r="142" spans="1:24">
      <c r="A142" s="164">
        <v>125</v>
      </c>
      <c r="B142" s="165" t="s">
        <v>181</v>
      </c>
      <c r="C142" s="166" t="s">
        <v>91</v>
      </c>
      <c r="D142" s="29">
        <v>413780600.63380003</v>
      </c>
      <c r="E142" s="30">
        <f t="shared" si="74"/>
        <v>2.1133447461398747E-4</v>
      </c>
      <c r="F142" s="33">
        <v>1731.7044000000001</v>
      </c>
      <c r="G142" s="33">
        <v>1731.7044000000001</v>
      </c>
      <c r="H142" s="32">
        <v>2</v>
      </c>
      <c r="I142" s="50">
        <v>-2.3317999999999998E-2</v>
      </c>
      <c r="J142" s="50">
        <v>-3.1537999999999997E-2</v>
      </c>
      <c r="K142" s="29">
        <f>260858.13*1609.5</f>
        <v>419851160.23500001</v>
      </c>
      <c r="L142" s="30">
        <f t="shared" si="75"/>
        <v>2.1303097326029797E-4</v>
      </c>
      <c r="M142" s="33">
        <f>1.09*1609.5</f>
        <v>1754.355</v>
      </c>
      <c r="N142" s="33">
        <f>1.09*1609.5</f>
        <v>1754.355</v>
      </c>
      <c r="O142" s="32">
        <v>2</v>
      </c>
      <c r="P142" s="50">
        <v>1.0843999999999999E-2</v>
      </c>
      <c r="Q142" s="50">
        <v>-2.1035999999999999E-2</v>
      </c>
      <c r="R142" s="57">
        <f t="shared" si="76"/>
        <v>1.4670962321340169E-2</v>
      </c>
      <c r="S142" s="57">
        <f t="shared" si="77"/>
        <v>1.3079945976923047E-2</v>
      </c>
      <c r="T142" s="57">
        <f t="shared" si="78"/>
        <v>0</v>
      </c>
      <c r="U142" s="57">
        <f t="shared" ref="U142" si="83">P142-I142</f>
        <v>3.4161999999999998E-2</v>
      </c>
      <c r="V142" s="58">
        <f t="shared" ref="V142" si="84">Q142-J142</f>
        <v>1.0501999999999997E-2</v>
      </c>
    </row>
    <row r="143" spans="1:24">
      <c r="A143" s="164">
        <v>126</v>
      </c>
      <c r="B143" s="165" t="s">
        <v>309</v>
      </c>
      <c r="C143" s="166" t="s">
        <v>307</v>
      </c>
      <c r="D143" s="29">
        <v>666401747.97154391</v>
      </c>
      <c r="E143" s="30">
        <f t="shared" si="74"/>
        <v>3.4035830358815762E-4</v>
      </c>
      <c r="F143" s="33">
        <v>1609.8800568473066</v>
      </c>
      <c r="G143" s="33">
        <v>1609.8800568473066</v>
      </c>
      <c r="H143" s="32">
        <v>5</v>
      </c>
      <c r="I143" s="50">
        <v>6.25E-2</v>
      </c>
      <c r="J143" s="50">
        <v>3.3700000000000001E-2</v>
      </c>
      <c r="K143" s="29">
        <f>416395.917532706*W133</f>
        <v>668795302.29535782</v>
      </c>
      <c r="L143" s="30">
        <f t="shared" si="75"/>
        <v>3.3934433831300917E-4</v>
      </c>
      <c r="M143" s="33">
        <f>1.00592095598339*W133</f>
        <v>1615.6623576630161</v>
      </c>
      <c r="N143" s="33">
        <f>1.00592095598339*W133</f>
        <v>1615.6623576630161</v>
      </c>
      <c r="O143" s="32">
        <v>5</v>
      </c>
      <c r="P143" s="50">
        <v>5.6099999999999997E-2</v>
      </c>
      <c r="Q143" s="50">
        <v>3.6499999999999998E-2</v>
      </c>
      <c r="R143" s="57">
        <f t="shared" ref="R143" si="85">((K143-D143)/D143)</f>
        <v>3.5917587717914008E-3</v>
      </c>
      <c r="S143" s="57">
        <f t="shared" ref="S143" si="86">((N143-G143)/G143)</f>
        <v>3.5917587717890108E-3</v>
      </c>
      <c r="T143" s="57">
        <f t="shared" si="78"/>
        <v>0</v>
      </c>
      <c r="U143" s="57">
        <f t="shared" si="79"/>
        <v>-6.4000000000000029E-3</v>
      </c>
      <c r="V143" s="58">
        <f t="shared" si="80"/>
        <v>2.7999999999999969E-3</v>
      </c>
    </row>
    <row r="144" spans="1:24">
      <c r="A144" s="164">
        <v>127</v>
      </c>
      <c r="B144" s="165" t="s">
        <v>182</v>
      </c>
      <c r="C144" s="166" t="s">
        <v>49</v>
      </c>
      <c r="D144" s="29">
        <v>1084527917001.96</v>
      </c>
      <c r="E144" s="30">
        <f t="shared" si="74"/>
        <v>0.55391223559717839</v>
      </c>
      <c r="F144" s="33">
        <v>2582.3200000000002</v>
      </c>
      <c r="G144" s="33">
        <v>2582.3200000000002</v>
      </c>
      <c r="H144" s="32">
        <v>10671</v>
      </c>
      <c r="I144" s="50">
        <v>1.2999999999999999E-3</v>
      </c>
      <c r="J144" s="50">
        <v>2.2800000000000001E-2</v>
      </c>
      <c r="K144" s="29">
        <v>1090676954008.38</v>
      </c>
      <c r="L144" s="30">
        <f t="shared" si="75"/>
        <v>0.55340557566860626</v>
      </c>
      <c r="M144" s="33">
        <v>2595.48</v>
      </c>
      <c r="N144" s="33">
        <v>2595.48</v>
      </c>
      <c r="O144" s="32">
        <v>10753</v>
      </c>
      <c r="P144" s="50">
        <v>1.2999999999999999E-3</v>
      </c>
      <c r="Q144" s="50">
        <v>2.41E-2</v>
      </c>
      <c r="R144" s="57">
        <f t="shared" si="76"/>
        <v>5.6697821328733312E-3</v>
      </c>
      <c r="S144" s="57">
        <f t="shared" si="77"/>
        <v>5.0961925710213503E-3</v>
      </c>
      <c r="T144" s="57">
        <f t="shared" si="78"/>
        <v>7.6843782213475778E-3</v>
      </c>
      <c r="U144" s="57">
        <f t="shared" si="79"/>
        <v>0</v>
      </c>
      <c r="V144" s="58">
        <f t="shared" si="80"/>
        <v>1.2999999999999991E-3</v>
      </c>
    </row>
    <row r="145" spans="1:22">
      <c r="A145" s="164">
        <v>128</v>
      </c>
      <c r="B145" s="165" t="s">
        <v>291</v>
      </c>
      <c r="C145" s="165" t="s">
        <v>101</v>
      </c>
      <c r="D145" s="29">
        <v>482142051.28221601</v>
      </c>
      <c r="E145" s="30">
        <f t="shared" si="74"/>
        <v>2.4624943011094391E-4</v>
      </c>
      <c r="F145" s="33">
        <v>163726.88660900001</v>
      </c>
      <c r="G145" s="33">
        <v>163726.88660900001</v>
      </c>
      <c r="H145" s="32">
        <v>22</v>
      </c>
      <c r="I145" s="50">
        <v>0</v>
      </c>
      <c r="J145" s="50">
        <v>7.2499999999999995E-2</v>
      </c>
      <c r="K145" s="29">
        <f>326370.25*W133</f>
        <v>524200360.32609999</v>
      </c>
      <c r="L145" s="30">
        <f t="shared" si="75"/>
        <v>2.65977383225911E-4</v>
      </c>
      <c r="M145" s="33">
        <f>102.33*W133</f>
        <v>164357.57509199998</v>
      </c>
      <c r="N145" s="33">
        <f>102.33*W133</f>
        <v>164357.57509199998</v>
      </c>
      <c r="O145" s="32">
        <v>23</v>
      </c>
      <c r="P145" s="50">
        <v>0</v>
      </c>
      <c r="Q145" s="50">
        <v>7.2700000000000001E-2</v>
      </c>
      <c r="R145" s="57">
        <f t="shared" ref="R145" si="87">((K145-D145)/D145)</f>
        <v>8.7232194188483381E-2</v>
      </c>
      <c r="S145" s="57">
        <f t="shared" ref="S145" si="88">((N145-G145)/G145)</f>
        <v>3.8520764430471223E-3</v>
      </c>
      <c r="T145" s="57">
        <f t="shared" ref="T145" si="89">((O145-H145)/H145)</f>
        <v>4.5454545454545456E-2</v>
      </c>
      <c r="U145" s="57">
        <f t="shared" ref="U145" si="90">P145-I145</f>
        <v>0</v>
      </c>
      <c r="V145" s="58">
        <f t="shared" ref="V145" si="91">Q145-J145</f>
        <v>2.0000000000000573E-4</v>
      </c>
    </row>
    <row r="146" spans="1:22" ht="16.5" customHeight="1">
      <c r="A146" s="164">
        <v>129</v>
      </c>
      <c r="B146" s="165" t="s">
        <v>183</v>
      </c>
      <c r="C146" s="166" t="s">
        <v>52</v>
      </c>
      <c r="D146" s="29">
        <v>214898131669.54999</v>
      </c>
      <c r="E146" s="30">
        <f t="shared" si="74"/>
        <v>0.10975716039453701</v>
      </c>
      <c r="F146" s="33">
        <v>1920.2337</v>
      </c>
      <c r="G146" s="33">
        <v>1920.2337</v>
      </c>
      <c r="H146" s="32">
        <v>656</v>
      </c>
      <c r="I146" s="50">
        <v>6.7500000000000004E-2</v>
      </c>
      <c r="J146" s="50">
        <v>7.6600000000000001E-2</v>
      </c>
      <c r="K146" s="29">
        <f>133242589.89*1609.5</f>
        <v>214453948427.95499</v>
      </c>
      <c r="L146" s="30">
        <f t="shared" si="75"/>
        <v>0.10881316447369088</v>
      </c>
      <c r="M146" s="33">
        <f>1.1991*1609.5</f>
        <v>1929.95145</v>
      </c>
      <c r="N146" s="33">
        <f>1.1991*1609.5</f>
        <v>1929.95145</v>
      </c>
      <c r="O146" s="32">
        <v>666</v>
      </c>
      <c r="P146" s="50">
        <v>5.3600000000000002E-2</v>
      </c>
      <c r="Q146" s="50">
        <v>7.5399999999999995E-2</v>
      </c>
      <c r="R146" s="57">
        <f t="shared" si="76"/>
        <v>-2.0669478982629041E-3</v>
      </c>
      <c r="S146" s="57">
        <f t="shared" si="77"/>
        <v>5.0607121414440459E-3</v>
      </c>
      <c r="T146" s="57">
        <f t="shared" si="78"/>
        <v>1.524390243902439E-2</v>
      </c>
      <c r="U146" s="57">
        <f t="shared" si="79"/>
        <v>-1.3900000000000003E-2</v>
      </c>
      <c r="V146" s="58">
        <f t="shared" si="80"/>
        <v>-1.2000000000000066E-3</v>
      </c>
    </row>
    <row r="147" spans="1:22" ht="16.5" customHeight="1">
      <c r="A147" s="164">
        <v>130</v>
      </c>
      <c r="B147" s="165" t="s">
        <v>184</v>
      </c>
      <c r="C147" s="166" t="s">
        <v>96</v>
      </c>
      <c r="D147" s="33">
        <v>1081345671.9133</v>
      </c>
      <c r="E147" s="30">
        <v>0</v>
      </c>
      <c r="F147" s="33">
        <v>168488.42440000002</v>
      </c>
      <c r="G147" s="33">
        <v>168488.42440000002</v>
      </c>
      <c r="H147" s="32">
        <v>24</v>
      </c>
      <c r="I147" s="50">
        <v>1.2999999999999999E-3</v>
      </c>
      <c r="J147" s="50">
        <v>6.6400000000000001E-2</v>
      </c>
      <c r="K147" s="33">
        <v>1086868713.7181485</v>
      </c>
      <c r="L147" s="30">
        <f t="shared" si="75"/>
        <v>5.514732882003925E-4</v>
      </c>
      <c r="M147" s="33">
        <v>169126.26</v>
      </c>
      <c r="N147" s="33">
        <v>169126.26</v>
      </c>
      <c r="O147" s="32">
        <v>24</v>
      </c>
      <c r="P147" s="50">
        <v>1.2999999999999999E-3</v>
      </c>
      <c r="Q147" s="50">
        <v>6.6199999999999995E-2</v>
      </c>
      <c r="R147" s="57">
        <f t="shared" si="76"/>
        <v>5.1075636110663215E-3</v>
      </c>
      <c r="S147" s="57">
        <f t="shared" si="77"/>
        <v>3.785634545942084E-3</v>
      </c>
      <c r="T147" s="57">
        <f t="shared" si="78"/>
        <v>0</v>
      </c>
      <c r="U147" s="57">
        <f t="shared" si="79"/>
        <v>0</v>
      </c>
      <c r="V147" s="58">
        <f t="shared" si="80"/>
        <v>-2.0000000000000573E-4</v>
      </c>
    </row>
    <row r="148" spans="1:22" ht="16.5" customHeight="1">
      <c r="A148" s="164">
        <v>131</v>
      </c>
      <c r="B148" s="165" t="s">
        <v>311</v>
      </c>
      <c r="C148" s="166" t="s">
        <v>107</v>
      </c>
      <c r="D148" s="33">
        <v>411712028.65629202</v>
      </c>
      <c r="E148" s="30"/>
      <c r="F148" s="33">
        <v>1586.1592889999999</v>
      </c>
      <c r="G148" s="33">
        <v>1586.1592889999999</v>
      </c>
      <c r="H148" s="32">
        <v>9</v>
      </c>
      <c r="I148" s="50">
        <v>0</v>
      </c>
      <c r="J148" s="50">
        <v>0.1024</v>
      </c>
      <c r="K148" s="33">
        <f>260521.75*W133</f>
        <v>418437634.0147</v>
      </c>
      <c r="L148" s="30">
        <f t="shared" si="75"/>
        <v>2.1231375512454026E-4</v>
      </c>
      <c r="M148" s="33">
        <f>1*W133</f>
        <v>1606.1523999999999</v>
      </c>
      <c r="N148" s="33">
        <f>1*W133</f>
        <v>1606.1523999999999</v>
      </c>
      <c r="O148" s="32">
        <v>9</v>
      </c>
      <c r="P148" s="50">
        <v>0</v>
      </c>
      <c r="Q148" s="50">
        <v>9.98E-2</v>
      </c>
      <c r="R148" s="57">
        <f t="shared" ref="R148" si="92">((K148-D148)/D148)</f>
        <v>1.6335702846376358E-2</v>
      </c>
      <c r="S148" s="57">
        <f t="shared" ref="S148" si="93">((N148-G148)/G148)</f>
        <v>1.2604730898499311E-2</v>
      </c>
      <c r="T148" s="57">
        <f t="shared" si="78"/>
        <v>0</v>
      </c>
      <c r="U148" s="57">
        <f t="shared" si="79"/>
        <v>0</v>
      </c>
      <c r="V148" s="58">
        <f t="shared" si="80"/>
        <v>-2.6000000000000051E-3</v>
      </c>
    </row>
    <row r="149" spans="1:22">
      <c r="A149" s="164">
        <v>132</v>
      </c>
      <c r="B149" s="165" t="s">
        <v>185</v>
      </c>
      <c r="C149" s="166" t="s">
        <v>109</v>
      </c>
      <c r="D149" s="33">
        <v>1875108292.4524081</v>
      </c>
      <c r="E149" s="30">
        <f>(D149/$D$150)</f>
        <v>9.5769358259612609E-4</v>
      </c>
      <c r="F149" s="33">
        <v>2014.1018608100003</v>
      </c>
      <c r="G149" s="33">
        <v>2014.1018608100003</v>
      </c>
      <c r="H149" s="32">
        <v>95</v>
      </c>
      <c r="I149" s="50">
        <v>-1.7639999999999999E-3</v>
      </c>
      <c r="J149" s="50">
        <v>1.0897E-2</v>
      </c>
      <c r="K149" s="33">
        <f>1065215.32*W133</f>
        <v>1710898142.7347682</v>
      </c>
      <c r="L149" s="30">
        <f t="shared" si="75"/>
        <v>8.6810358292691036E-4</v>
      </c>
      <c r="M149" s="33">
        <f>1.2428*W133</f>
        <v>1996.1262027199998</v>
      </c>
      <c r="N149" s="33">
        <f>1.2428*W133</f>
        <v>1996.1262027199998</v>
      </c>
      <c r="O149" s="32">
        <v>96</v>
      </c>
      <c r="P149" s="50">
        <v>-1.1748E-2</v>
      </c>
      <c r="Q149" s="50">
        <v>-5.8500000000000002E-4</v>
      </c>
      <c r="R149" s="57">
        <f t="shared" si="76"/>
        <v>-8.7573688612337955E-2</v>
      </c>
      <c r="S149" s="57">
        <f t="shared" si="77"/>
        <v>-8.9249001948547464E-3</v>
      </c>
      <c r="T149" s="57">
        <f t="shared" si="78"/>
        <v>1.0526315789473684E-2</v>
      </c>
      <c r="U149" s="57">
        <f t="shared" si="79"/>
        <v>-9.9839999999999998E-3</v>
      </c>
      <c r="V149" s="58">
        <f t="shared" si="80"/>
        <v>-1.1482000000000001E-2</v>
      </c>
    </row>
    <row r="150" spans="1:22">
      <c r="A150" s="36"/>
      <c r="B150" s="37"/>
      <c r="C150" s="71" t="s">
        <v>53</v>
      </c>
      <c r="D150" s="48">
        <f>SUM(D114:D149)</f>
        <v>1957941795296.7214</v>
      </c>
      <c r="E150" s="40">
        <f>(D150/$D$222)</f>
        <v>0.37563016003987054</v>
      </c>
      <c r="F150" s="41"/>
      <c r="G150" s="45"/>
      <c r="H150" s="43">
        <f>SUM(H114:H149)</f>
        <v>24372</v>
      </c>
      <c r="I150" s="80"/>
      <c r="J150" s="80"/>
      <c r="K150" s="48">
        <f>SUM(K114:K149)</f>
        <v>1970845618406.8262</v>
      </c>
      <c r="L150" s="40">
        <f>(K150/$K$222)</f>
        <v>0.3720188486037857</v>
      </c>
      <c r="M150" s="41"/>
      <c r="N150" s="45"/>
      <c r="O150" s="43">
        <f>SUM(O114:O149)</f>
        <v>24450</v>
      </c>
      <c r="P150" s="80"/>
      <c r="Q150" s="80"/>
      <c r="R150" s="57">
        <f t="shared" si="76"/>
        <v>6.5905039368901117E-3</v>
      </c>
      <c r="S150" s="57" t="e">
        <f t="shared" si="77"/>
        <v>#DIV/0!</v>
      </c>
      <c r="T150" s="57">
        <f t="shared" si="78"/>
        <v>3.2003938946331858E-3</v>
      </c>
      <c r="U150" s="57">
        <f t="shared" si="79"/>
        <v>0</v>
      </c>
      <c r="V150" s="58">
        <f t="shared" si="80"/>
        <v>0</v>
      </c>
    </row>
    <row r="151" spans="1:22" ht="6" customHeight="1">
      <c r="A151" s="36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</row>
    <row r="152" spans="1:22">
      <c r="A152" s="181" t="s">
        <v>186</v>
      </c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</row>
    <row r="153" spans="1:22">
      <c r="A153" s="164">
        <v>133</v>
      </c>
      <c r="B153" s="165" t="s">
        <v>187</v>
      </c>
      <c r="C153" s="166" t="s">
        <v>188</v>
      </c>
      <c r="D153" s="72">
        <v>2390294338.018517</v>
      </c>
      <c r="E153" s="30">
        <f>(D153/$D$158)</f>
        <v>2.3353769752071398E-2</v>
      </c>
      <c r="F153" s="60">
        <v>112.64346550511391</v>
      </c>
      <c r="G153" s="60">
        <v>112.64346550511391</v>
      </c>
      <c r="H153" s="32">
        <v>8</v>
      </c>
      <c r="I153" s="50">
        <v>4.0000000000000001E-3</v>
      </c>
      <c r="J153" s="50">
        <v>6.8339109530438202E-2</v>
      </c>
      <c r="K153" s="72">
        <v>2398421338.7677803</v>
      </c>
      <c r="L153" s="30">
        <f>(K153/$K$158)</f>
        <v>2.3412764582392526E-2</v>
      </c>
      <c r="M153" s="60">
        <v>113.0264532878313</v>
      </c>
      <c r="N153" s="60">
        <v>113.0264532878313</v>
      </c>
      <c r="O153" s="32">
        <v>8</v>
      </c>
      <c r="P153" s="50">
        <v>3.3999999999999998E-3</v>
      </c>
      <c r="Q153" s="50">
        <v>7.197146250284181E-2</v>
      </c>
      <c r="R153" s="57">
        <f t="shared" ref="R153:R158" si="94">((K153-D153)/D153)</f>
        <v>3.4000000000001377E-3</v>
      </c>
      <c r="S153" s="57">
        <f t="shared" ref="S153:T158" si="95">((N153-G153)/G153)</f>
        <v>3.4000000000000514E-3</v>
      </c>
      <c r="T153" s="57">
        <f t="shared" si="95"/>
        <v>0</v>
      </c>
      <c r="U153" s="57">
        <f t="shared" ref="U153:V158" si="96">P153-I153</f>
        <v>-6.0000000000000027E-4</v>
      </c>
      <c r="V153" s="58">
        <f t="shared" si="96"/>
        <v>3.6323529724036074E-3</v>
      </c>
    </row>
    <row r="154" spans="1:22">
      <c r="A154" s="164">
        <v>134</v>
      </c>
      <c r="B154" s="165" t="s">
        <v>189</v>
      </c>
      <c r="C154" s="166" t="s">
        <v>47</v>
      </c>
      <c r="D154" s="29">
        <v>54160728474</v>
      </c>
      <c r="E154" s="30">
        <f>(D154/$D$158)</f>
        <v>0.52916377797839842</v>
      </c>
      <c r="F154" s="60">
        <v>102.07</v>
      </c>
      <c r="G154" s="60">
        <v>102.07</v>
      </c>
      <c r="H154" s="32">
        <v>645</v>
      </c>
      <c r="I154" s="50">
        <v>8.3900000000000002E-2</v>
      </c>
      <c r="J154" s="50">
        <v>8.3900000000000002E-2</v>
      </c>
      <c r="K154" s="29">
        <v>54160728474</v>
      </c>
      <c r="L154" s="30">
        <f>(K154/$K$158)</f>
        <v>0.52870292841212119</v>
      </c>
      <c r="M154" s="60">
        <v>102.07</v>
      </c>
      <c r="N154" s="60">
        <v>102.07</v>
      </c>
      <c r="O154" s="32">
        <v>645</v>
      </c>
      <c r="P154" s="50">
        <v>8.3900000000000002E-2</v>
      </c>
      <c r="Q154" s="50">
        <v>8.3900000000000002E-2</v>
      </c>
      <c r="R154" s="57">
        <f t="shared" si="94"/>
        <v>0</v>
      </c>
      <c r="S154" s="57">
        <f t="shared" si="95"/>
        <v>0</v>
      </c>
      <c r="T154" s="57">
        <f t="shared" si="95"/>
        <v>0</v>
      </c>
      <c r="U154" s="57">
        <f t="shared" si="96"/>
        <v>0</v>
      </c>
      <c r="V154" s="58">
        <f t="shared" si="96"/>
        <v>0</v>
      </c>
    </row>
    <row r="155" spans="1:22" ht="15.75" customHeight="1">
      <c r="A155" s="164">
        <v>135</v>
      </c>
      <c r="B155" s="165" t="s">
        <v>190</v>
      </c>
      <c r="C155" s="166" t="s">
        <v>144</v>
      </c>
      <c r="D155" s="29">
        <v>2893668445.0908546</v>
      </c>
      <c r="E155" s="30">
        <f>(D155/$D$158)</f>
        <v>2.8271859883794263E-2</v>
      </c>
      <c r="F155" s="60">
        <v>206</v>
      </c>
      <c r="G155" s="60">
        <v>206</v>
      </c>
      <c r="H155" s="32">
        <v>3250</v>
      </c>
      <c r="I155" s="50">
        <v>0.36216112586434324</v>
      </c>
      <c r="J155" s="50">
        <v>5.1840117871273315E-2</v>
      </c>
      <c r="K155" s="29">
        <v>2899327509.5438476</v>
      </c>
      <c r="L155" s="30">
        <f>(K155/$K$158)</f>
        <v>2.8302480190190181E-2</v>
      </c>
      <c r="M155" s="60">
        <v>206</v>
      </c>
      <c r="N155" s="60">
        <v>206</v>
      </c>
      <c r="O155" s="32">
        <v>3250</v>
      </c>
      <c r="P155" s="50">
        <v>0.1313318873919001</v>
      </c>
      <c r="Q155" s="50">
        <v>5.1586351054919738E-2</v>
      </c>
      <c r="R155" s="57">
        <f t="shared" si="94"/>
        <v>1.9556713425802432E-3</v>
      </c>
      <c r="S155" s="57">
        <f t="shared" si="95"/>
        <v>0</v>
      </c>
      <c r="T155" s="57">
        <f t="shared" si="95"/>
        <v>0</v>
      </c>
      <c r="U155" s="57">
        <f t="shared" si="96"/>
        <v>-0.23082923847244313</v>
      </c>
      <c r="V155" s="58">
        <f t="shared" si="96"/>
        <v>-2.5376681635357751E-4</v>
      </c>
    </row>
    <row r="156" spans="1:22">
      <c r="A156" s="164">
        <v>136</v>
      </c>
      <c r="B156" s="165" t="s">
        <v>191</v>
      </c>
      <c r="C156" s="166" t="s">
        <v>144</v>
      </c>
      <c r="D156" s="29">
        <v>10948644721.82</v>
      </c>
      <c r="E156" s="30">
        <f>(D156/$D$158)</f>
        <v>0.10697098004364486</v>
      </c>
      <c r="F156" s="60">
        <v>46.15</v>
      </c>
      <c r="G156" s="60">
        <v>46.15</v>
      </c>
      <c r="H156" s="32">
        <v>5344</v>
      </c>
      <c r="I156" s="50">
        <v>2.1138482023968175E-2</v>
      </c>
      <c r="J156" s="50">
        <v>0.13703614263446678</v>
      </c>
      <c r="K156" s="29">
        <v>10982604048.5</v>
      </c>
      <c r="L156" s="30">
        <f>(K156/$K$158)</f>
        <v>0.10720932095328463</v>
      </c>
      <c r="M156" s="60">
        <v>46.15</v>
      </c>
      <c r="N156" s="60">
        <v>46.15</v>
      </c>
      <c r="O156" s="32">
        <v>5344</v>
      </c>
      <c r="P156" s="50">
        <v>0.15298637792525296</v>
      </c>
      <c r="Q156" s="50">
        <v>0.1479685871454382</v>
      </c>
      <c r="R156" s="57">
        <f t="shared" si="94"/>
        <v>3.1016922681143706E-3</v>
      </c>
      <c r="S156" s="57">
        <f t="shared" si="95"/>
        <v>0</v>
      </c>
      <c r="T156" s="57">
        <f t="shared" si="95"/>
        <v>0</v>
      </c>
      <c r="U156" s="57">
        <f t="shared" si="96"/>
        <v>0.13184789590128479</v>
      </c>
      <c r="V156" s="58">
        <f t="shared" si="96"/>
        <v>1.0932444510971417E-2</v>
      </c>
    </row>
    <row r="157" spans="1:22">
      <c r="A157" s="164">
        <v>137</v>
      </c>
      <c r="B157" s="165" t="s">
        <v>192</v>
      </c>
      <c r="C157" s="166" t="s">
        <v>49</v>
      </c>
      <c r="D157" s="29">
        <v>31958205694.830002</v>
      </c>
      <c r="E157" s="30">
        <f>(D157/$D$158)</f>
        <v>0.31223961234209102</v>
      </c>
      <c r="F157" s="60">
        <v>6.2</v>
      </c>
      <c r="G157" s="60">
        <v>6.2</v>
      </c>
      <c r="H157" s="32">
        <v>208195</v>
      </c>
      <c r="I157" s="50">
        <v>2.4799999999999999E-2</v>
      </c>
      <c r="J157" s="50">
        <v>0.24</v>
      </c>
      <c r="K157" s="29">
        <v>31999676119.720001</v>
      </c>
      <c r="L157" s="30">
        <f>(K157/$K$158)</f>
        <v>0.31237250586201165</v>
      </c>
      <c r="M157" s="60">
        <v>6.2</v>
      </c>
      <c r="N157" s="60">
        <v>6.2</v>
      </c>
      <c r="O157" s="32">
        <v>208222</v>
      </c>
      <c r="P157" s="50">
        <v>0</v>
      </c>
      <c r="Q157" s="50">
        <v>0.24</v>
      </c>
      <c r="R157" s="57">
        <f t="shared" si="94"/>
        <v>1.2976455964393587E-3</v>
      </c>
      <c r="S157" s="57">
        <f t="shared" si="95"/>
        <v>0</v>
      </c>
      <c r="T157" s="57">
        <f t="shared" si="95"/>
        <v>1.2968611157808784E-4</v>
      </c>
      <c r="U157" s="57">
        <f t="shared" si="96"/>
        <v>-2.4799999999999999E-2</v>
      </c>
      <c r="V157" s="58">
        <f t="shared" si="96"/>
        <v>0</v>
      </c>
    </row>
    <row r="158" spans="1:22">
      <c r="A158" s="36"/>
      <c r="B158" s="73"/>
      <c r="C158" s="38" t="s">
        <v>53</v>
      </c>
      <c r="D158" s="39">
        <f>SUM(D153:D157)</f>
        <v>102351541673.75938</v>
      </c>
      <c r="E158" s="40">
        <f>(D158/$D$222)</f>
        <v>1.963609238619643E-2</v>
      </c>
      <c r="F158" s="41"/>
      <c r="G158" s="74"/>
      <c r="H158" s="43">
        <f>SUM(H153:H157)</f>
        <v>217442</v>
      </c>
      <c r="I158" s="81"/>
      <c r="J158" s="81"/>
      <c r="K158" s="39">
        <f>SUM(K153:K157)</f>
        <v>102440757490.53162</v>
      </c>
      <c r="L158" s="40">
        <f>(K158/$K$222)</f>
        <v>1.9336822882420456E-2</v>
      </c>
      <c r="M158" s="41"/>
      <c r="N158" s="74"/>
      <c r="O158" s="43">
        <f>SUM(O153:O157)</f>
        <v>217469</v>
      </c>
      <c r="P158" s="81"/>
      <c r="Q158" s="81"/>
      <c r="R158" s="57">
        <f t="shared" si="94"/>
        <v>8.7166070303663012E-4</v>
      </c>
      <c r="S158" s="57" t="e">
        <f t="shared" si="95"/>
        <v>#DIV/0!</v>
      </c>
      <c r="T158" s="57">
        <f t="shared" si="95"/>
        <v>1.2417104331269947E-4</v>
      </c>
      <c r="U158" s="57">
        <f t="shared" si="96"/>
        <v>0</v>
      </c>
      <c r="V158" s="58">
        <f t="shared" si="96"/>
        <v>0</v>
      </c>
    </row>
    <row r="159" spans="1:22" ht="5.25" customHeight="1">
      <c r="A159" s="36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</row>
    <row r="160" spans="1:22" ht="15" customHeight="1">
      <c r="A160" s="181" t="s">
        <v>193</v>
      </c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</row>
    <row r="161" spans="1:22">
      <c r="A161" s="168">
        <v>138</v>
      </c>
      <c r="B161" s="165" t="s">
        <v>194</v>
      </c>
      <c r="C161" s="166" t="s">
        <v>57</v>
      </c>
      <c r="D161" s="33">
        <v>289332104.24000001</v>
      </c>
      <c r="E161" s="30">
        <f t="shared" ref="E161:E189" si="97">(D161/$D$190)</f>
        <v>4.878577850638605E-3</v>
      </c>
      <c r="F161" s="33">
        <v>6.1332000000000004</v>
      </c>
      <c r="G161" s="33">
        <v>6.2161</v>
      </c>
      <c r="H161" s="34">
        <v>11843</v>
      </c>
      <c r="I161" s="51">
        <v>4.9880000000000002E-3</v>
      </c>
      <c r="J161" s="51">
        <v>7.3308999999999999E-2</v>
      </c>
      <c r="K161" s="33">
        <v>293703632.23000002</v>
      </c>
      <c r="L161" s="54">
        <f t="shared" ref="L161:L188" si="98">(K161/$K$190)</f>
        <v>4.8667577458303283E-3</v>
      </c>
      <c r="M161" s="33">
        <v>6.1524999999999999</v>
      </c>
      <c r="N161" s="33">
        <v>6.2378999999999998</v>
      </c>
      <c r="O161" s="34">
        <v>11843</v>
      </c>
      <c r="P161" s="51">
        <v>3.3779999999999999E-3</v>
      </c>
      <c r="Q161" s="51">
        <v>7.6687000000000005E-2</v>
      </c>
      <c r="R161" s="57">
        <f>((K161-D161)/D161)</f>
        <v>1.5109031890819285E-2</v>
      </c>
      <c r="S161" s="57">
        <f>((N161-G161)/G161)</f>
        <v>3.5070220878042212E-3</v>
      </c>
      <c r="T161" s="57">
        <f>((O161-H161)/H161)</f>
        <v>0</v>
      </c>
      <c r="U161" s="57">
        <f>P161-I161</f>
        <v>-1.6100000000000003E-3</v>
      </c>
      <c r="V161" s="58">
        <f>Q161-J161</f>
        <v>3.378000000000006E-3</v>
      </c>
    </row>
    <row r="162" spans="1:22">
      <c r="A162" s="168">
        <v>139</v>
      </c>
      <c r="B162" s="165" t="s">
        <v>195</v>
      </c>
      <c r="C162" s="165" t="s">
        <v>196</v>
      </c>
      <c r="D162" s="33">
        <v>731012714.77999997</v>
      </c>
      <c r="E162" s="30">
        <f t="shared" si="97"/>
        <v>1.232598244922958E-2</v>
      </c>
      <c r="F162" s="33">
        <v>1679.9826</v>
      </c>
      <c r="G162" s="33">
        <v>1699.9244000000001</v>
      </c>
      <c r="H162" s="34">
        <v>160</v>
      </c>
      <c r="I162" s="51">
        <v>5.3900000000000003E-2</v>
      </c>
      <c r="J162" s="51">
        <v>0.50180000000000002</v>
      </c>
      <c r="K162" s="33">
        <v>742073447.56983376</v>
      </c>
      <c r="L162" s="54">
        <f t="shared" si="98"/>
        <v>1.2296380781928282E-2</v>
      </c>
      <c r="M162" s="33">
        <v>1708.890381886247</v>
      </c>
      <c r="N162" s="33">
        <v>1729.1180099677958</v>
      </c>
      <c r="O162" s="34">
        <v>173</v>
      </c>
      <c r="P162" s="51">
        <v>1.718667874986135E-2</v>
      </c>
      <c r="Q162" s="51">
        <v>0.52759708514135895</v>
      </c>
      <c r="R162" s="57">
        <f>((K162-D162)/D162)</f>
        <v>1.5130698230279809E-2</v>
      </c>
      <c r="S162" s="57">
        <f>((N162-G162)/G162)</f>
        <v>1.7173475460317961E-2</v>
      </c>
      <c r="T162" s="57">
        <f>((O162-H162)/H162)</f>
        <v>8.1250000000000003E-2</v>
      </c>
      <c r="U162" s="57">
        <f>P162-I162</f>
        <v>-3.6713321250138653E-2</v>
      </c>
      <c r="V162" s="58">
        <f>Q162-J162</f>
        <v>2.5797085141358922E-2</v>
      </c>
    </row>
    <row r="163" spans="1:22">
      <c r="A163" s="168">
        <v>140</v>
      </c>
      <c r="B163" s="165" t="s">
        <v>197</v>
      </c>
      <c r="C163" s="166" t="s">
        <v>23</v>
      </c>
      <c r="D163" s="33">
        <v>7038963343.8599997</v>
      </c>
      <c r="E163" s="30">
        <f t="shared" si="97"/>
        <v>0.11868759172444762</v>
      </c>
      <c r="F163" s="33">
        <v>823.45450000000005</v>
      </c>
      <c r="G163" s="33">
        <v>848.28229999999996</v>
      </c>
      <c r="H163" s="34">
        <v>21453</v>
      </c>
      <c r="I163" s="51">
        <v>0.17910000000000001</v>
      </c>
      <c r="J163" s="51">
        <v>0.1075</v>
      </c>
      <c r="K163" s="33">
        <v>7139601032.9799995</v>
      </c>
      <c r="L163" s="54">
        <f t="shared" si="98"/>
        <v>0.118305341903921</v>
      </c>
      <c r="M163" s="33">
        <v>835.0154</v>
      </c>
      <c r="N163" s="33">
        <v>860.19179999999994</v>
      </c>
      <c r="O163" s="34">
        <v>21464</v>
      </c>
      <c r="P163" s="51">
        <v>0.73209999999999997</v>
      </c>
      <c r="Q163" s="51">
        <v>0.1429</v>
      </c>
      <c r="R163" s="57">
        <f t="shared" ref="R163:R189" si="99">((K163-D163)/D163)</f>
        <v>1.4297231595585007E-2</v>
      </c>
      <c r="S163" s="57">
        <f t="shared" ref="S163:T189" si="100">((N163-G163)/G163)</f>
        <v>1.4039547919365972E-2</v>
      </c>
      <c r="T163" s="57">
        <f t="shared" si="100"/>
        <v>5.1274879970167342E-4</v>
      </c>
      <c r="U163" s="57">
        <f t="shared" ref="U163:V189" si="101">P163-I163</f>
        <v>0.55299999999999994</v>
      </c>
      <c r="V163" s="58">
        <f t="shared" si="101"/>
        <v>3.5400000000000001E-2</v>
      </c>
    </row>
    <row r="164" spans="1:22">
      <c r="A164" s="168">
        <v>141</v>
      </c>
      <c r="B164" s="165" t="s">
        <v>198</v>
      </c>
      <c r="C164" s="166" t="s">
        <v>111</v>
      </c>
      <c r="D164" s="33">
        <v>4041858109.0100002</v>
      </c>
      <c r="E164" s="30">
        <f t="shared" si="97"/>
        <v>6.8151854416002786E-2</v>
      </c>
      <c r="F164" s="33">
        <v>23.930099999999999</v>
      </c>
      <c r="G164" s="33">
        <v>24.223500000000001</v>
      </c>
      <c r="H164" s="32">
        <v>6150</v>
      </c>
      <c r="I164" s="50">
        <v>2.3800000000000002E-2</v>
      </c>
      <c r="J164" s="50">
        <v>0.12540000000000001</v>
      </c>
      <c r="K164" s="33">
        <v>4214599361.2800002</v>
      </c>
      <c r="L164" s="54">
        <f t="shared" si="98"/>
        <v>6.9837182234840187E-2</v>
      </c>
      <c r="M164" s="33">
        <v>24.824400000000001</v>
      </c>
      <c r="N164" s="33">
        <v>25.133700000000001</v>
      </c>
      <c r="O164" s="32">
        <v>6148</v>
      </c>
      <c r="P164" s="50">
        <v>4.9599999999999998E-2</v>
      </c>
      <c r="Q164" s="50">
        <v>0.1706</v>
      </c>
      <c r="R164" s="57">
        <f t="shared" si="99"/>
        <v>4.2738079272236169E-2</v>
      </c>
      <c r="S164" s="57">
        <f t="shared" si="100"/>
        <v>3.7575082048424038E-2</v>
      </c>
      <c r="T164" s="57">
        <f t="shared" si="100"/>
        <v>-3.2520325203252032E-4</v>
      </c>
      <c r="U164" s="57">
        <f t="shared" si="101"/>
        <v>2.5799999999999997E-2</v>
      </c>
      <c r="V164" s="58">
        <f t="shared" si="101"/>
        <v>4.519999999999999E-2</v>
      </c>
    </row>
    <row r="165" spans="1:22">
      <c r="A165" s="168">
        <v>142</v>
      </c>
      <c r="B165" s="165" t="s">
        <v>199</v>
      </c>
      <c r="C165" s="166" t="s">
        <v>120</v>
      </c>
      <c r="D165" s="29">
        <v>2120461804.2487078</v>
      </c>
      <c r="E165" s="30">
        <f t="shared" si="97"/>
        <v>3.5754200241643108E-2</v>
      </c>
      <c r="F165" s="33">
        <v>5.0598999999999998</v>
      </c>
      <c r="G165" s="33">
        <v>5.1753999999999998</v>
      </c>
      <c r="H165" s="32">
        <v>2740</v>
      </c>
      <c r="I165" s="50">
        <v>1.2462</v>
      </c>
      <c r="J165" s="50">
        <v>0.32750000000000001</v>
      </c>
      <c r="K165" s="29">
        <v>2173274823.9764857</v>
      </c>
      <c r="L165" s="54">
        <f t="shared" si="98"/>
        <v>3.6011819135838556E-2</v>
      </c>
      <c r="M165" s="33">
        <v>5.1848000000000001</v>
      </c>
      <c r="N165" s="33">
        <v>5.3053800000000004</v>
      </c>
      <c r="O165" s="32">
        <v>2739</v>
      </c>
      <c r="P165" s="50">
        <v>1.3096000000000001</v>
      </c>
      <c r="Q165" s="50">
        <v>0.38850000000000001</v>
      </c>
      <c r="R165" s="57">
        <f t="shared" si="99"/>
        <v>2.4906376347811614E-2</v>
      </c>
      <c r="S165" s="57">
        <f t="shared" si="100"/>
        <v>2.5114966959075755E-2</v>
      </c>
      <c r="T165" s="57">
        <f t="shared" si="100"/>
        <v>-3.6496350364963501E-4</v>
      </c>
      <c r="U165" s="57">
        <f t="shared" si="101"/>
        <v>6.3400000000000123E-2</v>
      </c>
      <c r="V165" s="58">
        <f t="shared" si="101"/>
        <v>6.0999999999999999E-2</v>
      </c>
    </row>
    <row r="166" spans="1:22">
      <c r="A166" s="168">
        <v>143</v>
      </c>
      <c r="B166" s="165" t="s">
        <v>310</v>
      </c>
      <c r="C166" s="166" t="s">
        <v>27</v>
      </c>
      <c r="D166" s="29">
        <v>800393158.98000002</v>
      </c>
      <c r="E166" s="30">
        <f t="shared" si="97"/>
        <v>1.3495841906169835E-2</v>
      </c>
      <c r="F166" s="33">
        <v>1.0172000000000001</v>
      </c>
      <c r="G166" s="33">
        <v>1.0172000000000001</v>
      </c>
      <c r="H166" s="32">
        <v>194</v>
      </c>
      <c r="I166" s="50">
        <v>1.6E-2</v>
      </c>
      <c r="J166" s="50">
        <v>1.72E-2</v>
      </c>
      <c r="K166" s="29">
        <v>807917972.60000002</v>
      </c>
      <c r="L166" s="54">
        <f t="shared" si="98"/>
        <v>1.3387444415625996E-2</v>
      </c>
      <c r="M166" s="33">
        <v>1.0217000000000001</v>
      </c>
      <c r="N166" s="33">
        <v>1.0222</v>
      </c>
      <c r="O166" s="32">
        <v>192</v>
      </c>
      <c r="P166" s="50">
        <v>4.7000000000000002E-3</v>
      </c>
      <c r="Q166" s="50">
        <v>2.1899999999999999E-2</v>
      </c>
      <c r="R166" s="57">
        <f t="shared" ref="R166" si="102">((K166-D166)/D166)</f>
        <v>9.4013967205684636E-3</v>
      </c>
      <c r="S166" s="57">
        <f t="shared" ref="S166" si="103">((N166-G166)/G166)</f>
        <v>4.9154541879668631E-3</v>
      </c>
      <c r="T166" s="57">
        <f t="shared" ref="T166" si="104">((O166-H166)/H166)</f>
        <v>-1.0309278350515464E-2</v>
      </c>
      <c r="U166" s="57">
        <f t="shared" ref="U166" si="105">P166-I166</f>
        <v>-1.1300000000000001E-2</v>
      </c>
      <c r="V166" s="58">
        <f t="shared" ref="V166" si="106">Q166-J166</f>
        <v>4.6999999999999993E-3</v>
      </c>
    </row>
    <row r="167" spans="1:22">
      <c r="A167" s="168">
        <v>144</v>
      </c>
      <c r="B167" s="165" t="s">
        <v>200</v>
      </c>
      <c r="C167" s="166" t="s">
        <v>65</v>
      </c>
      <c r="D167" s="33">
        <v>3994659275.6417298</v>
      </c>
      <c r="E167" s="30">
        <f t="shared" si="97"/>
        <v>6.7356010540843239E-2</v>
      </c>
      <c r="F167" s="33">
        <v>8917.1836012511903</v>
      </c>
      <c r="G167" s="33">
        <v>8994.9046555438308</v>
      </c>
      <c r="H167" s="32">
        <v>1206</v>
      </c>
      <c r="I167" s="50">
        <v>1.623082443665951</v>
      </c>
      <c r="J167" s="50">
        <v>0.49947015476318446</v>
      </c>
      <c r="K167" s="33">
        <v>4053130431.3164601</v>
      </c>
      <c r="L167" s="54">
        <f t="shared" si="98"/>
        <v>6.7161593377990075E-2</v>
      </c>
      <c r="M167" s="33">
        <v>9037.6329859649795</v>
      </c>
      <c r="N167" s="33">
        <v>9117.0190557431597</v>
      </c>
      <c r="O167" s="32">
        <v>1211</v>
      </c>
      <c r="P167" s="50">
        <v>0.70432272575333199</v>
      </c>
      <c r="Q167" s="50">
        <v>0.51696671259079696</v>
      </c>
      <c r="R167" s="57">
        <f t="shared" si="99"/>
        <v>1.4637332408115605E-2</v>
      </c>
      <c r="S167" s="57">
        <f t="shared" si="100"/>
        <v>1.3575952706076333E-2</v>
      </c>
      <c r="T167" s="57">
        <f t="shared" si="100"/>
        <v>4.1459369817578775E-3</v>
      </c>
      <c r="U167" s="57">
        <f t="shared" si="101"/>
        <v>-0.91875971791261901</v>
      </c>
      <c r="V167" s="58">
        <f t="shared" si="101"/>
        <v>1.7496557827612502E-2</v>
      </c>
    </row>
    <row r="168" spans="1:22">
      <c r="A168" s="168">
        <v>145</v>
      </c>
      <c r="B168" s="165" t="s">
        <v>201</v>
      </c>
      <c r="C168" s="166" t="s">
        <v>67</v>
      </c>
      <c r="D168" s="33">
        <v>912527946.84000003</v>
      </c>
      <c r="E168" s="30">
        <f t="shared" si="97"/>
        <v>1.5386604404776185E-2</v>
      </c>
      <c r="F168" s="33">
        <v>222.7</v>
      </c>
      <c r="G168" s="33">
        <v>224.52</v>
      </c>
      <c r="H168" s="32">
        <v>695</v>
      </c>
      <c r="I168" s="50">
        <v>3.8699999999999998E-2</v>
      </c>
      <c r="J168" s="50">
        <v>9.0200000000000002E-2</v>
      </c>
      <c r="K168" s="33">
        <v>922711863.29999995</v>
      </c>
      <c r="L168" s="54">
        <f t="shared" si="98"/>
        <v>1.5289613798062252E-2</v>
      </c>
      <c r="M168" s="33">
        <v>224.69</v>
      </c>
      <c r="N168" s="33">
        <v>226.54</v>
      </c>
      <c r="O168" s="32">
        <v>695</v>
      </c>
      <c r="P168" s="50">
        <v>8.9999999999999993E-3</v>
      </c>
      <c r="Q168" s="50">
        <v>0.1</v>
      </c>
      <c r="R168" s="57">
        <f t="shared" si="99"/>
        <v>1.116011459732919E-2</v>
      </c>
      <c r="S168" s="57">
        <f t="shared" si="100"/>
        <v>8.9969713165864145E-3</v>
      </c>
      <c r="T168" s="57">
        <f t="shared" si="100"/>
        <v>0</v>
      </c>
      <c r="U168" s="57">
        <f t="shared" si="101"/>
        <v>-2.9699999999999997E-2</v>
      </c>
      <c r="V168" s="58">
        <f t="shared" si="101"/>
        <v>9.8000000000000032E-3</v>
      </c>
    </row>
    <row r="169" spans="1:22">
      <c r="A169" s="168">
        <v>146</v>
      </c>
      <c r="B169" s="165" t="s">
        <v>202</v>
      </c>
      <c r="C169" s="166" t="s">
        <v>69</v>
      </c>
      <c r="D169" s="33">
        <v>3734808.11</v>
      </c>
      <c r="E169" s="30">
        <f t="shared" si="97"/>
        <v>6.2974526002539767E-5</v>
      </c>
      <c r="F169" s="33">
        <v>102.747</v>
      </c>
      <c r="G169" s="33">
        <v>102.99</v>
      </c>
      <c r="H169" s="32">
        <v>0</v>
      </c>
      <c r="I169" s="50">
        <v>0</v>
      </c>
      <c r="J169" s="50">
        <v>0</v>
      </c>
      <c r="K169" s="33">
        <v>3734808.11</v>
      </c>
      <c r="L169" s="54">
        <f t="shared" si="98"/>
        <v>6.1886896530780519E-5</v>
      </c>
      <c r="M169" s="33">
        <v>102.747</v>
      </c>
      <c r="N169" s="33">
        <v>102.99</v>
      </c>
      <c r="O169" s="32">
        <v>0</v>
      </c>
      <c r="P169" s="50">
        <v>0</v>
      </c>
      <c r="Q169" s="50">
        <v>0</v>
      </c>
      <c r="R169" s="57">
        <f t="shared" si="99"/>
        <v>0</v>
      </c>
      <c r="S169" s="57">
        <f t="shared" si="100"/>
        <v>0</v>
      </c>
      <c r="T169" s="57" t="e">
        <f t="shared" si="100"/>
        <v>#DIV/0!</v>
      </c>
      <c r="U169" s="57">
        <f t="shared" si="101"/>
        <v>0</v>
      </c>
      <c r="V169" s="58">
        <f t="shared" si="101"/>
        <v>0</v>
      </c>
    </row>
    <row r="170" spans="1:22">
      <c r="A170" s="168">
        <v>147</v>
      </c>
      <c r="B170" s="165" t="s">
        <v>203</v>
      </c>
      <c r="C170" s="166" t="s">
        <v>125</v>
      </c>
      <c r="D170" s="33">
        <v>242507320.56</v>
      </c>
      <c r="E170" s="30">
        <f t="shared" si="97"/>
        <v>4.0890410202124063E-3</v>
      </c>
      <c r="F170" s="33">
        <v>1.5943000000000001</v>
      </c>
      <c r="G170" s="33">
        <v>1.6099000000000001</v>
      </c>
      <c r="H170" s="32">
        <v>400</v>
      </c>
      <c r="I170" s="50">
        <v>-2.1280590849345193E-3</v>
      </c>
      <c r="J170" s="50">
        <v>8.9077122754286586E-2</v>
      </c>
      <c r="K170" s="33">
        <v>248307429.40000001</v>
      </c>
      <c r="L170" s="54">
        <f t="shared" si="98"/>
        <v>4.1145289767248287E-3</v>
      </c>
      <c r="M170" s="33">
        <v>1.6263000000000001</v>
      </c>
      <c r="N170" s="33">
        <v>1.6424000000000001</v>
      </c>
      <c r="O170" s="32">
        <v>403</v>
      </c>
      <c r="P170" s="50">
        <v>2.0071504735620582E-2</v>
      </c>
      <c r="Q170" s="50">
        <v>0.11093653938110526</v>
      </c>
      <c r="R170" s="57">
        <f t="shared" si="99"/>
        <v>2.3917252586875902E-2</v>
      </c>
      <c r="S170" s="57">
        <f t="shared" si="100"/>
        <v>2.018758929126031E-2</v>
      </c>
      <c r="T170" s="57">
        <f t="shared" si="100"/>
        <v>7.4999999999999997E-3</v>
      </c>
      <c r="U170" s="57">
        <f t="shared" si="101"/>
        <v>2.2199563820555102E-2</v>
      </c>
      <c r="V170" s="58">
        <f t="shared" si="101"/>
        <v>2.1859416626818673E-2</v>
      </c>
    </row>
    <row r="171" spans="1:22">
      <c r="A171" s="168">
        <v>148</v>
      </c>
      <c r="B171" s="165" t="s">
        <v>204</v>
      </c>
      <c r="C171" s="166" t="s">
        <v>29</v>
      </c>
      <c r="D171" s="44">
        <v>129657470.37</v>
      </c>
      <c r="E171" s="30">
        <f t="shared" si="97"/>
        <v>2.1862214868220084E-3</v>
      </c>
      <c r="F171" s="33">
        <v>155.3784</v>
      </c>
      <c r="G171" s="33">
        <v>155.21520000000001</v>
      </c>
      <c r="H171" s="32">
        <v>110</v>
      </c>
      <c r="I171" s="50">
        <v>7.6800000000000002E-4</v>
      </c>
      <c r="J171" s="50">
        <v>2.8500000000000001E-2</v>
      </c>
      <c r="K171" s="44">
        <v>130841410.56999999</v>
      </c>
      <c r="L171" s="54">
        <f t="shared" si="98"/>
        <v>2.1680816254538342E-3</v>
      </c>
      <c r="M171" s="33">
        <v>157.03729999999999</v>
      </c>
      <c r="N171" s="33">
        <v>157.88810000000001</v>
      </c>
      <c r="O171" s="32">
        <v>112</v>
      </c>
      <c r="P171" s="50">
        <v>1.4359E-2</v>
      </c>
      <c r="Q171" s="50">
        <v>4.07E-2</v>
      </c>
      <c r="R171" s="57">
        <f t="shared" si="99"/>
        <v>9.1312918308633518E-3</v>
      </c>
      <c r="S171" s="57">
        <f t="shared" si="100"/>
        <v>1.722060726011369E-2</v>
      </c>
      <c r="T171" s="57">
        <f t="shared" si="100"/>
        <v>1.8181818181818181E-2</v>
      </c>
      <c r="U171" s="57">
        <f t="shared" si="101"/>
        <v>1.3591000000000001E-2</v>
      </c>
      <c r="V171" s="58">
        <f t="shared" si="101"/>
        <v>1.2199999999999999E-2</v>
      </c>
    </row>
    <row r="172" spans="1:22">
      <c r="A172" s="168">
        <v>149</v>
      </c>
      <c r="B172" s="165" t="s">
        <v>205</v>
      </c>
      <c r="C172" s="166" t="s">
        <v>72</v>
      </c>
      <c r="D172" s="44">
        <v>259132254.81</v>
      </c>
      <c r="E172" s="30">
        <f t="shared" si="97"/>
        <v>4.3693626119466434E-3</v>
      </c>
      <c r="F172" s="33">
        <v>129.24</v>
      </c>
      <c r="G172" s="33">
        <v>129.91999999999999</v>
      </c>
      <c r="H172" s="32">
        <v>34</v>
      </c>
      <c r="I172" s="50">
        <v>2E-3</v>
      </c>
      <c r="J172" s="50">
        <v>9.01E-2</v>
      </c>
      <c r="K172" s="44">
        <v>262496474.56999999</v>
      </c>
      <c r="L172" s="54">
        <f t="shared" si="98"/>
        <v>4.3496457335818117E-3</v>
      </c>
      <c r="M172" s="33">
        <v>130.9</v>
      </c>
      <c r="N172" s="33">
        <v>131.65</v>
      </c>
      <c r="O172" s="32">
        <v>34</v>
      </c>
      <c r="P172" s="50">
        <v>1.43E-2</v>
      </c>
      <c r="Q172" s="50">
        <v>0.10440000000000001</v>
      </c>
      <c r="R172" s="57">
        <f t="shared" si="99"/>
        <v>1.2982636076958815E-2</v>
      </c>
      <c r="S172" s="57">
        <f t="shared" si="100"/>
        <v>1.3315886699507531E-2</v>
      </c>
      <c r="T172" s="57">
        <f t="shared" si="100"/>
        <v>0</v>
      </c>
      <c r="U172" s="57">
        <f t="shared" si="101"/>
        <v>1.23E-2</v>
      </c>
      <c r="V172" s="58">
        <f t="shared" si="101"/>
        <v>1.4300000000000007E-2</v>
      </c>
    </row>
    <row r="173" spans="1:22" ht="15.75" customHeight="1">
      <c r="A173" s="168">
        <v>150</v>
      </c>
      <c r="B173" s="165" t="s">
        <v>206</v>
      </c>
      <c r="C173" s="166" t="s">
        <v>75</v>
      </c>
      <c r="D173" s="29">
        <v>341977608.98000002</v>
      </c>
      <c r="E173" s="30">
        <f t="shared" si="97"/>
        <v>5.7662608612567756E-3</v>
      </c>
      <c r="F173" s="33">
        <v>1.3721000000000001</v>
      </c>
      <c r="G173" s="33">
        <v>1.3864000000000001</v>
      </c>
      <c r="H173" s="32">
        <v>99</v>
      </c>
      <c r="I173" s="50">
        <v>6.9999999999999994E-5</v>
      </c>
      <c r="J173" s="50">
        <v>7.6600000000000001E-2</v>
      </c>
      <c r="K173" s="29">
        <v>355053779.22000003</v>
      </c>
      <c r="L173" s="54">
        <f t="shared" si="98"/>
        <v>5.8833481802230353E-3</v>
      </c>
      <c r="M173" s="33">
        <v>1.4242999999999999</v>
      </c>
      <c r="N173" s="33">
        <v>1.4397</v>
      </c>
      <c r="O173" s="32">
        <v>98</v>
      </c>
      <c r="P173" s="50">
        <v>3.6999999999999998E-2</v>
      </c>
      <c r="Q173" s="50">
        <v>0.11749999999999999</v>
      </c>
      <c r="R173" s="57">
        <f t="shared" si="99"/>
        <v>3.8236919308845006E-2</v>
      </c>
      <c r="S173" s="57">
        <f t="shared" si="100"/>
        <v>3.8444893248701602E-2</v>
      </c>
      <c r="T173" s="57">
        <f t="shared" si="100"/>
        <v>-1.0101010101010102E-2</v>
      </c>
      <c r="U173" s="57">
        <f t="shared" si="101"/>
        <v>3.6929999999999998E-2</v>
      </c>
      <c r="V173" s="58">
        <f t="shared" si="101"/>
        <v>4.0899999999999992E-2</v>
      </c>
    </row>
    <row r="174" spans="1:22">
      <c r="A174" s="168">
        <v>151</v>
      </c>
      <c r="B174" s="165" t="s">
        <v>207</v>
      </c>
      <c r="C174" s="166" t="s">
        <v>31</v>
      </c>
      <c r="D174" s="33">
        <v>10243230582.42</v>
      </c>
      <c r="E174" s="30">
        <f t="shared" si="97"/>
        <v>0.1727163944341491</v>
      </c>
      <c r="F174" s="33">
        <v>353.26</v>
      </c>
      <c r="G174" s="33">
        <v>356.2</v>
      </c>
      <c r="H174" s="32">
        <v>5483</v>
      </c>
      <c r="I174" s="50">
        <v>6.3E-3</v>
      </c>
      <c r="J174" s="50">
        <v>8.9899999999999994E-2</v>
      </c>
      <c r="K174" s="33">
        <v>10387265263.190001</v>
      </c>
      <c r="L174" s="54">
        <f t="shared" si="98"/>
        <v>0.17212011745921005</v>
      </c>
      <c r="M174" s="33">
        <v>357.49</v>
      </c>
      <c r="N174" s="33">
        <v>360.5</v>
      </c>
      <c r="O174" s="32">
        <v>5485</v>
      </c>
      <c r="P174" s="50">
        <v>1.2E-2</v>
      </c>
      <c r="Q174" s="50">
        <v>0.10299999999999999</v>
      </c>
      <c r="R174" s="57">
        <f t="shared" si="99"/>
        <v>1.4061450595205848E-2</v>
      </c>
      <c r="S174" s="57">
        <f t="shared" si="100"/>
        <v>1.2071869736103346E-2</v>
      </c>
      <c r="T174" s="57">
        <f t="shared" si="100"/>
        <v>3.6476381542950939E-4</v>
      </c>
      <c r="U174" s="57">
        <f t="shared" si="101"/>
        <v>5.7000000000000002E-3</v>
      </c>
      <c r="V174" s="58">
        <f t="shared" si="101"/>
        <v>1.3100000000000001E-2</v>
      </c>
    </row>
    <row r="175" spans="1:22">
      <c r="A175" s="168">
        <v>152</v>
      </c>
      <c r="B175" s="165" t="s">
        <v>208</v>
      </c>
      <c r="C175" s="166" t="s">
        <v>80</v>
      </c>
      <c r="D175" s="33">
        <v>3610797071.2600002</v>
      </c>
      <c r="E175" s="30">
        <f t="shared" si="97"/>
        <v>6.0883511911929887E-2</v>
      </c>
      <c r="F175" s="33">
        <v>2.5274999999999999</v>
      </c>
      <c r="G175" s="33">
        <v>2.5722</v>
      </c>
      <c r="H175" s="32">
        <v>10304</v>
      </c>
      <c r="I175" s="50">
        <v>1.0699999999999999E-2</v>
      </c>
      <c r="J175" s="50">
        <v>9.0200000000000002E-2</v>
      </c>
      <c r="K175" s="33">
        <v>3633293008.6500001</v>
      </c>
      <c r="L175" s="54">
        <f t="shared" si="98"/>
        <v>6.0204760691796512E-2</v>
      </c>
      <c r="M175" s="33">
        <v>2.5493999999999999</v>
      </c>
      <c r="N175" s="33">
        <v>2.5947</v>
      </c>
      <c r="O175" s="32">
        <v>10304</v>
      </c>
      <c r="P175" s="50">
        <v>8.6999999999999994E-3</v>
      </c>
      <c r="Q175" s="50">
        <v>9.9699999999999997E-2</v>
      </c>
      <c r="R175" s="57">
        <f t="shared" si="99"/>
        <v>6.2301860076976936E-3</v>
      </c>
      <c r="S175" s="57">
        <f t="shared" si="100"/>
        <v>8.7473757872638062E-3</v>
      </c>
      <c r="T175" s="57">
        <f t="shared" si="100"/>
        <v>0</v>
      </c>
      <c r="U175" s="57">
        <f t="shared" si="101"/>
        <v>-2E-3</v>
      </c>
      <c r="V175" s="58">
        <f t="shared" si="101"/>
        <v>9.4999999999999946E-3</v>
      </c>
    </row>
    <row r="176" spans="1:22">
      <c r="A176" s="168">
        <v>153</v>
      </c>
      <c r="B176" s="165" t="s">
        <v>209</v>
      </c>
      <c r="C176" s="166" t="s">
        <v>82</v>
      </c>
      <c r="D176" s="33">
        <v>264225171.40000001</v>
      </c>
      <c r="E176" s="30">
        <f t="shared" si="97"/>
        <v>4.4552369055594742E-3</v>
      </c>
      <c r="F176" s="33">
        <v>343.64</v>
      </c>
      <c r="G176" s="33">
        <v>345.81</v>
      </c>
      <c r="H176" s="32">
        <v>59</v>
      </c>
      <c r="I176" s="50">
        <v>2.3926581448705297E-2</v>
      </c>
      <c r="J176" s="50">
        <v>2.6863887643806983E-2</v>
      </c>
      <c r="K176" s="33">
        <v>265675708.77000001</v>
      </c>
      <c r="L176" s="54">
        <f t="shared" si="98"/>
        <v>4.4023266029029721E-3</v>
      </c>
      <c r="M176" s="33">
        <v>345.53</v>
      </c>
      <c r="N176" s="33">
        <v>347.71</v>
      </c>
      <c r="O176" s="32">
        <v>35</v>
      </c>
      <c r="P176" s="50">
        <v>5.499941799557595E-3</v>
      </c>
      <c r="Q176" s="50">
        <v>3.2511579261915502E-2</v>
      </c>
      <c r="R176" s="57">
        <f t="shared" si="99"/>
        <v>5.4897773831097032E-3</v>
      </c>
      <c r="S176" s="57">
        <f t="shared" si="100"/>
        <v>5.4943466065179641E-3</v>
      </c>
      <c r="T176" s="57">
        <f t="shared" si="100"/>
        <v>-0.40677966101694918</v>
      </c>
      <c r="U176" s="57">
        <f t="shared" si="101"/>
        <v>-1.8426639649147702E-2</v>
      </c>
      <c r="V176" s="58">
        <f t="shared" si="101"/>
        <v>5.6476916181085191E-3</v>
      </c>
    </row>
    <row r="177" spans="1:22">
      <c r="A177" s="168">
        <v>154</v>
      </c>
      <c r="B177" s="165" t="s">
        <v>210</v>
      </c>
      <c r="C177" s="165" t="s">
        <v>84</v>
      </c>
      <c r="D177" s="132">
        <v>59859834.394977182</v>
      </c>
      <c r="E177" s="30">
        <f t="shared" si="97"/>
        <v>1.0093275441704595E-3</v>
      </c>
      <c r="F177" s="33">
        <v>1.1648451979622987</v>
      </c>
      <c r="G177" s="33">
        <v>1.1769068144189607</v>
      </c>
      <c r="H177" s="32">
        <v>33</v>
      </c>
      <c r="I177" s="50">
        <v>7.4794881853067112E-3</v>
      </c>
      <c r="J177" s="50">
        <v>-2.0305094713602114E-2</v>
      </c>
      <c r="K177" s="132">
        <v>60358604.211133704</v>
      </c>
      <c r="L177" s="54">
        <f t="shared" si="98"/>
        <v>1.0001602715692841E-3</v>
      </c>
      <c r="M177" s="33">
        <v>1.1743411781359847</v>
      </c>
      <c r="N177" s="33">
        <v>1.1867131495248653</v>
      </c>
      <c r="O177" s="32">
        <v>33</v>
      </c>
      <c r="P177" s="50">
        <v>8.3322952894499328E-3</v>
      </c>
      <c r="Q177" s="50">
        <v>-1.2141987469186162E-2</v>
      </c>
      <c r="R177" s="57">
        <f t="shared" si="99"/>
        <v>8.3322952894499328E-3</v>
      </c>
      <c r="S177" s="57">
        <f t="shared" si="100"/>
        <v>8.3322952894498738E-3</v>
      </c>
      <c r="T177" s="57">
        <f t="shared" si="100"/>
        <v>0</v>
      </c>
      <c r="U177" s="57">
        <f t="shared" si="101"/>
        <v>8.5280710414322152E-4</v>
      </c>
      <c r="V177" s="58">
        <f t="shared" si="101"/>
        <v>8.1631072444159521E-3</v>
      </c>
    </row>
    <row r="178" spans="1:22" ht="13.5" customHeight="1">
      <c r="A178" s="168">
        <v>155</v>
      </c>
      <c r="B178" s="165" t="s">
        <v>211</v>
      </c>
      <c r="C178" s="166" t="s">
        <v>37</v>
      </c>
      <c r="D178" s="29">
        <v>3328132358.71</v>
      </c>
      <c r="E178" s="30">
        <f t="shared" si="97"/>
        <v>5.6117356391698778E-2</v>
      </c>
      <c r="F178" s="33">
        <v>4.6913720000000003</v>
      </c>
      <c r="G178" s="33">
        <v>4.8424620000000003</v>
      </c>
      <c r="H178" s="32">
        <v>2379</v>
      </c>
      <c r="I178" s="50">
        <v>2.2512452368451008E-2</v>
      </c>
      <c r="J178" s="50">
        <v>0.10664201471662937</v>
      </c>
      <c r="K178" s="29">
        <v>3500874946.75</v>
      </c>
      <c r="L178" s="54">
        <f t="shared" si="98"/>
        <v>5.8010553478400534E-2</v>
      </c>
      <c r="M178" s="33">
        <v>4.9320930000000001</v>
      </c>
      <c r="N178" s="33">
        <v>5.0576020000000002</v>
      </c>
      <c r="O178" s="32">
        <v>2384</v>
      </c>
      <c r="P178" s="50">
        <v>5.1311428724901686E-2</v>
      </c>
      <c r="Q178" s="50">
        <v>0.16342539757874319</v>
      </c>
      <c r="R178" s="57">
        <f t="shared" si="99"/>
        <v>5.1903761455856227E-2</v>
      </c>
      <c r="S178" s="57">
        <f t="shared" si="100"/>
        <v>4.442781378563216E-2</v>
      </c>
      <c r="T178" s="57">
        <f t="shared" si="100"/>
        <v>2.101723413198823E-3</v>
      </c>
      <c r="U178" s="57">
        <f t="shared" si="101"/>
        <v>2.8798976356450678E-2</v>
      </c>
      <c r="V178" s="58">
        <f t="shared" si="101"/>
        <v>5.6783382862113818E-2</v>
      </c>
    </row>
    <row r="179" spans="1:22" ht="13.5" customHeight="1">
      <c r="A179" s="168">
        <v>156</v>
      </c>
      <c r="B179" s="165" t="s">
        <v>212</v>
      </c>
      <c r="C179" s="166" t="s">
        <v>213</v>
      </c>
      <c r="D179" s="29">
        <v>81957459.450000003</v>
      </c>
      <c r="E179" s="30">
        <f t="shared" si="97"/>
        <v>1.3819269984492253E-3</v>
      </c>
      <c r="F179" s="33">
        <v>2.2928000000000002</v>
      </c>
      <c r="G179" s="33">
        <v>2.3039999999999998</v>
      </c>
      <c r="H179" s="32">
        <v>87</v>
      </c>
      <c r="I179" s="50">
        <v>6.4000000000000003E-3</v>
      </c>
      <c r="J179" s="50">
        <v>8.6199999999999999E-2</v>
      </c>
      <c r="K179" s="29">
        <v>83075298.150000006</v>
      </c>
      <c r="L179" s="54">
        <f t="shared" si="98"/>
        <v>1.3765827398486594E-3</v>
      </c>
      <c r="M179" s="33">
        <v>2.306</v>
      </c>
      <c r="N179" s="33">
        <v>2.3170000000000002</v>
      </c>
      <c r="O179" s="32">
        <v>93</v>
      </c>
      <c r="P179" s="50">
        <v>8.0000000000000002E-3</v>
      </c>
      <c r="Q179" s="50">
        <v>9.2499999999999999E-2</v>
      </c>
      <c r="R179" s="57">
        <f t="shared" si="99"/>
        <v>1.3639255139209942E-2</v>
      </c>
      <c r="S179" s="57">
        <f t="shared" si="100"/>
        <v>5.6423611111112611E-3</v>
      </c>
      <c r="T179" s="57">
        <f t="shared" si="100"/>
        <v>6.8965517241379309E-2</v>
      </c>
      <c r="U179" s="57">
        <f t="shared" si="101"/>
        <v>1.5999999999999999E-3</v>
      </c>
      <c r="V179" s="58">
        <f t="shared" si="101"/>
        <v>6.3E-3</v>
      </c>
    </row>
    <row r="180" spans="1:22">
      <c r="A180" s="168">
        <v>157</v>
      </c>
      <c r="B180" s="165" t="s">
        <v>214</v>
      </c>
      <c r="C180" s="166" t="s">
        <v>134</v>
      </c>
      <c r="D180" s="29">
        <v>531225420.67000002</v>
      </c>
      <c r="E180" s="30">
        <f t="shared" si="97"/>
        <v>8.9572658305042199E-3</v>
      </c>
      <c r="F180" s="33">
        <v>259.8021</v>
      </c>
      <c r="G180" s="33">
        <v>261.0702</v>
      </c>
      <c r="H180" s="32">
        <v>145</v>
      </c>
      <c r="I180" s="50">
        <v>1.37E-2</v>
      </c>
      <c r="J180" s="50">
        <v>0.2303</v>
      </c>
      <c r="K180" s="29">
        <v>539006871.62</v>
      </c>
      <c r="L180" s="54">
        <f t="shared" si="98"/>
        <v>8.9315063882429678E-3</v>
      </c>
      <c r="M180" s="33">
        <v>247.43</v>
      </c>
      <c r="N180" s="33">
        <v>248.77</v>
      </c>
      <c r="O180" s="32">
        <v>147</v>
      </c>
      <c r="P180" s="50">
        <v>1.37E-2</v>
      </c>
      <c r="Q180" s="50">
        <v>0.25030000000000002</v>
      </c>
      <c r="R180" s="57">
        <f t="shared" si="99"/>
        <v>1.4648114806301534E-2</v>
      </c>
      <c r="S180" s="57">
        <f t="shared" si="100"/>
        <v>-4.7114530880966073E-2</v>
      </c>
      <c r="T180" s="57">
        <f t="shared" si="100"/>
        <v>1.3793103448275862E-2</v>
      </c>
      <c r="U180" s="57">
        <f t="shared" si="101"/>
        <v>0</v>
      </c>
      <c r="V180" s="58">
        <f t="shared" si="101"/>
        <v>2.0000000000000018E-2</v>
      </c>
    </row>
    <row r="181" spans="1:22">
      <c r="A181" s="168">
        <v>158</v>
      </c>
      <c r="B181" s="165" t="s">
        <v>215</v>
      </c>
      <c r="C181" s="166" t="s">
        <v>33</v>
      </c>
      <c r="D181" s="29">
        <v>2191376133.98</v>
      </c>
      <c r="E181" s="30">
        <f t="shared" si="97"/>
        <v>3.6949923333723454E-2</v>
      </c>
      <c r="F181" s="33">
        <v>552.22</v>
      </c>
      <c r="G181" s="33">
        <v>552.22</v>
      </c>
      <c r="H181" s="32">
        <v>823</v>
      </c>
      <c r="I181" s="50">
        <v>-3.6200000000000003E-2</v>
      </c>
      <c r="J181" s="50">
        <v>0.38450000000000001</v>
      </c>
      <c r="K181" s="29">
        <v>2191376133.98</v>
      </c>
      <c r="L181" s="54">
        <f t="shared" si="98"/>
        <v>3.631176330064307E-2</v>
      </c>
      <c r="M181" s="33">
        <v>552.22</v>
      </c>
      <c r="N181" s="33">
        <v>552.22</v>
      </c>
      <c r="O181" s="32">
        <v>823</v>
      </c>
      <c r="P181" s="50">
        <v>-3.6200000000000003E-2</v>
      </c>
      <c r="Q181" s="50">
        <v>0.38450000000000001</v>
      </c>
      <c r="R181" s="57">
        <f t="shared" si="99"/>
        <v>0</v>
      </c>
      <c r="S181" s="57">
        <f t="shared" si="100"/>
        <v>0</v>
      </c>
      <c r="T181" s="57">
        <f t="shared" si="100"/>
        <v>0</v>
      </c>
      <c r="U181" s="57">
        <f t="shared" si="101"/>
        <v>0</v>
      </c>
      <c r="V181" s="58">
        <f t="shared" si="101"/>
        <v>0</v>
      </c>
    </row>
    <row r="182" spans="1:22">
      <c r="A182" s="168">
        <v>159</v>
      </c>
      <c r="B182" s="165" t="s">
        <v>216</v>
      </c>
      <c r="C182" s="166" t="s">
        <v>91</v>
      </c>
      <c r="D182" s="33">
        <v>35174308.460000001</v>
      </c>
      <c r="E182" s="30">
        <f t="shared" si="97"/>
        <v>5.9309215828376915E-4</v>
      </c>
      <c r="F182" s="33">
        <v>1.92</v>
      </c>
      <c r="G182" s="33">
        <v>1.92</v>
      </c>
      <c r="H182" s="32">
        <v>9</v>
      </c>
      <c r="I182" s="50">
        <v>3.8170000000000001E-3</v>
      </c>
      <c r="J182" s="50">
        <v>2.7588999999999999E-2</v>
      </c>
      <c r="K182" s="33">
        <v>36720687.960000001</v>
      </c>
      <c r="L182" s="54">
        <f t="shared" si="98"/>
        <v>6.0847287180159791E-4</v>
      </c>
      <c r="M182" s="33">
        <v>1.99</v>
      </c>
      <c r="N182" s="33">
        <v>1.99</v>
      </c>
      <c r="O182" s="32">
        <v>9</v>
      </c>
      <c r="P182" s="50">
        <v>3.6274000000000001E-2</v>
      </c>
      <c r="Q182" s="50">
        <v>6.4864000000000005E-2</v>
      </c>
      <c r="R182" s="57">
        <f t="shared" si="99"/>
        <v>4.3963323451221024E-2</v>
      </c>
      <c r="S182" s="57">
        <f t="shared" si="100"/>
        <v>3.645833333333337E-2</v>
      </c>
      <c r="T182" s="57">
        <f t="shared" si="100"/>
        <v>0</v>
      </c>
      <c r="U182" s="57">
        <f t="shared" si="101"/>
        <v>3.2457E-2</v>
      </c>
      <c r="V182" s="58">
        <f t="shared" si="101"/>
        <v>3.7275000000000003E-2</v>
      </c>
    </row>
    <row r="183" spans="1:22">
      <c r="A183" s="168">
        <v>160</v>
      </c>
      <c r="B183" s="165" t="s">
        <v>217</v>
      </c>
      <c r="C183" s="166" t="s">
        <v>45</v>
      </c>
      <c r="D183" s="33">
        <v>285535150.42000002</v>
      </c>
      <c r="E183" s="30">
        <f t="shared" si="97"/>
        <v>4.8145554537642353E-3</v>
      </c>
      <c r="F183" s="33">
        <v>2.8676149999999998</v>
      </c>
      <c r="G183" s="33">
        <v>2.933573</v>
      </c>
      <c r="H183" s="32">
        <v>121</v>
      </c>
      <c r="I183" s="50">
        <v>1.5100000000000001E-2</v>
      </c>
      <c r="J183" s="50">
        <v>9.7799999999999998E-2</v>
      </c>
      <c r="K183" s="33">
        <v>290273754.58999997</v>
      </c>
      <c r="L183" s="54">
        <f t="shared" si="98"/>
        <v>4.8099236391324282E-3</v>
      </c>
      <c r="M183" s="33">
        <v>2.9152529999999999</v>
      </c>
      <c r="N183" s="33">
        <v>2.9822350000000002</v>
      </c>
      <c r="O183" s="32">
        <v>122</v>
      </c>
      <c r="P183" s="50">
        <v>1.6E-2</v>
      </c>
      <c r="Q183" s="50">
        <v>0.11600000000000001</v>
      </c>
      <c r="R183" s="57">
        <f t="shared" si="99"/>
        <v>1.6595519546472086E-2</v>
      </c>
      <c r="S183" s="57">
        <f t="shared" si="100"/>
        <v>1.6587962869851952E-2</v>
      </c>
      <c r="T183" s="57">
        <f t="shared" si="100"/>
        <v>8.2644628099173556E-3</v>
      </c>
      <c r="U183" s="57">
        <f t="shared" si="101"/>
        <v>8.9999999999999976E-4</v>
      </c>
      <c r="V183" s="58">
        <f t="shared" si="101"/>
        <v>1.8200000000000008E-2</v>
      </c>
    </row>
    <row r="184" spans="1:22">
      <c r="A184" s="168">
        <v>161</v>
      </c>
      <c r="B184" s="165" t="s">
        <v>218</v>
      </c>
      <c r="C184" s="166" t="s">
        <v>49</v>
      </c>
      <c r="D184" s="29">
        <v>2988120970.9400001</v>
      </c>
      <c r="E184" s="30">
        <f t="shared" si="97"/>
        <v>5.0384249000464829E-2</v>
      </c>
      <c r="F184" s="33">
        <v>7097.08</v>
      </c>
      <c r="G184" s="33">
        <v>7160.82</v>
      </c>
      <c r="H184" s="32">
        <v>2342</v>
      </c>
      <c r="I184" s="50">
        <v>9.9000000000000008E-3</v>
      </c>
      <c r="J184" s="50">
        <v>0.1125</v>
      </c>
      <c r="K184" s="29">
        <v>3081619757.1999998</v>
      </c>
      <c r="L184" s="30">
        <f t="shared" si="98"/>
        <v>5.1063368570506126E-2</v>
      </c>
      <c r="M184" s="33">
        <v>7276.94</v>
      </c>
      <c r="N184" s="33">
        <v>7342.57</v>
      </c>
      <c r="O184" s="32">
        <v>2356</v>
      </c>
      <c r="P184" s="50">
        <v>2.5399999999999999E-2</v>
      </c>
      <c r="Q184" s="50">
        <v>0.14069999999999999</v>
      </c>
      <c r="R184" s="57">
        <f t="shared" si="99"/>
        <v>3.1290160997259425E-2</v>
      </c>
      <c r="S184" s="57">
        <f t="shared" si="100"/>
        <v>2.5381171430087616E-2</v>
      </c>
      <c r="T184" s="57">
        <f t="shared" si="100"/>
        <v>5.9777967549103327E-3</v>
      </c>
      <c r="U184" s="57">
        <f t="shared" si="101"/>
        <v>1.5499999999999998E-2</v>
      </c>
      <c r="V184" s="58">
        <f t="shared" si="101"/>
        <v>2.8199999999999989E-2</v>
      </c>
    </row>
    <row r="185" spans="1:22">
      <c r="A185" s="168">
        <v>162</v>
      </c>
      <c r="B185" s="165" t="s">
        <v>219</v>
      </c>
      <c r="C185" s="165" t="s">
        <v>101</v>
      </c>
      <c r="D185" s="29">
        <v>111284921.7</v>
      </c>
      <c r="E185" s="30">
        <f t="shared" si="97"/>
        <v>1.8764324669111991E-3</v>
      </c>
      <c r="F185" s="33">
        <v>1172.77</v>
      </c>
      <c r="G185" s="33">
        <v>1188.7</v>
      </c>
      <c r="H185" s="32">
        <v>11</v>
      </c>
      <c r="I185" s="50">
        <v>7.0278734372966056E-3</v>
      </c>
      <c r="J185" s="50">
        <v>5.8999999999999997E-2</v>
      </c>
      <c r="K185" s="29">
        <v>111916745.77</v>
      </c>
      <c r="L185" s="30">
        <f t="shared" si="98"/>
        <v>1.8544942234072794E-3</v>
      </c>
      <c r="M185" s="33">
        <v>1179.4100000000001</v>
      </c>
      <c r="N185" s="33">
        <v>1195.47</v>
      </c>
      <c r="O185" s="32">
        <v>11</v>
      </c>
      <c r="P185" s="50">
        <v>7.0278734372966056E-3</v>
      </c>
      <c r="Q185" s="50">
        <v>6.5100000000000005E-2</v>
      </c>
      <c r="R185" s="57">
        <f t="shared" si="99"/>
        <v>5.6775352882329688E-3</v>
      </c>
      <c r="S185" s="57">
        <f t="shared" si="100"/>
        <v>5.6952973836964594E-3</v>
      </c>
      <c r="T185" s="57">
        <f t="shared" si="100"/>
        <v>0</v>
      </c>
      <c r="U185" s="57">
        <f t="shared" si="101"/>
        <v>0</v>
      </c>
      <c r="V185" s="58">
        <f t="shared" si="101"/>
        <v>6.1000000000000082E-3</v>
      </c>
    </row>
    <row r="186" spans="1:22">
      <c r="A186" s="168">
        <v>163</v>
      </c>
      <c r="B186" s="165" t="s">
        <v>220</v>
      </c>
      <c r="C186" s="165" t="s">
        <v>84</v>
      </c>
      <c r="D186" s="29">
        <v>754431155.69923091</v>
      </c>
      <c r="E186" s="30">
        <f t="shared" si="97"/>
        <v>1.2720852861087782E-2</v>
      </c>
      <c r="F186" s="33">
        <v>1.4400467429703609</v>
      </c>
      <c r="G186" s="33">
        <v>1.4400467429703609</v>
      </c>
      <c r="H186" s="32">
        <v>43</v>
      </c>
      <c r="I186" s="50">
        <v>2.6945405277858845E-3</v>
      </c>
      <c r="J186" s="50">
        <v>7.0127956609638276E-2</v>
      </c>
      <c r="K186" s="29">
        <v>756514367.77461898</v>
      </c>
      <c r="L186" s="30">
        <f t="shared" si="98"/>
        <v>1.2535671184058956E-2</v>
      </c>
      <c r="M186" s="33">
        <v>1.4440231465711624</v>
      </c>
      <c r="N186" s="33">
        <v>1.4440231465711624</v>
      </c>
      <c r="O186" s="32">
        <v>43</v>
      </c>
      <c r="P186" s="50">
        <v>2.7613017564966369E-3</v>
      </c>
      <c r="Q186" s="50">
        <v>7.308290281590063E-2</v>
      </c>
      <c r="R186" s="57">
        <f t="shared" si="99"/>
        <v>2.7613017564966369E-3</v>
      </c>
      <c r="S186" s="57">
        <f t="shared" si="100"/>
        <v>2.7613017564967115E-3</v>
      </c>
      <c r="T186" s="57">
        <f t="shared" si="100"/>
        <v>0</v>
      </c>
      <c r="U186" s="57">
        <f t="shared" si="101"/>
        <v>6.6761228710752411E-5</v>
      </c>
      <c r="V186" s="58">
        <f t="shared" si="101"/>
        <v>2.9549462062623544E-3</v>
      </c>
    </row>
    <row r="187" spans="1:22">
      <c r="A187" s="168">
        <v>164</v>
      </c>
      <c r="B187" s="165" t="s">
        <v>221</v>
      </c>
      <c r="C187" s="166" t="s">
        <v>52</v>
      </c>
      <c r="D187" s="33">
        <v>2411814717.6599998</v>
      </c>
      <c r="E187" s="30">
        <f t="shared" si="97"/>
        <v>4.0666851998077028E-2</v>
      </c>
      <c r="F187" s="33">
        <v>2.1682000000000001</v>
      </c>
      <c r="G187" s="33">
        <v>2.1829000000000001</v>
      </c>
      <c r="H187" s="32">
        <v>2320</v>
      </c>
      <c r="I187" s="50">
        <v>1.26E-2</v>
      </c>
      <c r="J187" s="50">
        <v>9.6500000000000002E-2</v>
      </c>
      <c r="K187" s="33">
        <v>2427882835.98</v>
      </c>
      <c r="L187" s="54">
        <f t="shared" si="98"/>
        <v>4.0230750666103765E-2</v>
      </c>
      <c r="M187" s="33">
        <v>2.1821000000000002</v>
      </c>
      <c r="N187" s="33">
        <v>2.1968999999999999</v>
      </c>
      <c r="O187" s="32">
        <v>2329</v>
      </c>
      <c r="P187" s="50">
        <v>6.4000000000000003E-3</v>
      </c>
      <c r="Q187" s="50">
        <v>0.1036</v>
      </c>
      <c r="R187" s="57">
        <f t="shared" si="99"/>
        <v>6.6622523705261423E-3</v>
      </c>
      <c r="S187" s="57">
        <f t="shared" si="100"/>
        <v>6.4134866462044939E-3</v>
      </c>
      <c r="T187" s="57">
        <f t="shared" si="100"/>
        <v>3.8793103448275862E-3</v>
      </c>
      <c r="U187" s="57">
        <f t="shared" si="101"/>
        <v>-6.1999999999999998E-3</v>
      </c>
      <c r="V187" s="58">
        <f t="shared" si="101"/>
        <v>7.0999999999999952E-3</v>
      </c>
    </row>
    <row r="188" spans="1:22">
      <c r="A188" s="168">
        <v>165</v>
      </c>
      <c r="B188" s="165" t="s">
        <v>222</v>
      </c>
      <c r="C188" s="166" t="s">
        <v>52</v>
      </c>
      <c r="D188" s="33">
        <v>1360280802.0799999</v>
      </c>
      <c r="E188" s="30">
        <f t="shared" si="97"/>
        <v>2.2936396253392149E-2</v>
      </c>
      <c r="F188" s="33">
        <v>1.6509</v>
      </c>
      <c r="G188" s="33">
        <v>1.6605000000000001</v>
      </c>
      <c r="H188" s="32">
        <v>930</v>
      </c>
      <c r="I188" s="50">
        <v>9.7999999999999997E-3</v>
      </c>
      <c r="J188" s="50">
        <v>8.6599999999999996E-2</v>
      </c>
      <c r="K188" s="33">
        <v>1374361863.3</v>
      </c>
      <c r="L188" s="54">
        <f t="shared" si="98"/>
        <v>2.277359048304568E-2</v>
      </c>
      <c r="M188" s="33">
        <v>1.6682999999999999</v>
      </c>
      <c r="N188" s="33">
        <v>1.6781999999999999</v>
      </c>
      <c r="O188" s="32">
        <v>934</v>
      </c>
      <c r="P188" s="50">
        <v>1.0500000000000001E-2</v>
      </c>
      <c r="Q188" s="50">
        <v>9.8100000000000007E-2</v>
      </c>
      <c r="R188" s="57">
        <f t="shared" si="99"/>
        <v>1.0351584171789188E-2</v>
      </c>
      <c r="S188" s="57">
        <f t="shared" si="100"/>
        <v>1.0659439927732505E-2</v>
      </c>
      <c r="T188" s="57">
        <f t="shared" si="100"/>
        <v>4.3010752688172043E-3</v>
      </c>
      <c r="U188" s="57">
        <f t="shared" si="101"/>
        <v>7.0000000000000097E-4</v>
      </c>
      <c r="V188" s="58">
        <f t="shared" si="101"/>
        <v>1.150000000000001E-2</v>
      </c>
    </row>
    <row r="189" spans="1:22">
      <c r="A189" s="168">
        <v>166</v>
      </c>
      <c r="B189" s="165" t="s">
        <v>223</v>
      </c>
      <c r="C189" s="166" t="s">
        <v>105</v>
      </c>
      <c r="D189" s="29">
        <v>10142985027.09</v>
      </c>
      <c r="E189" s="30">
        <f t="shared" si="97"/>
        <v>0.17102610241784305</v>
      </c>
      <c r="F189" s="33">
        <v>589.09</v>
      </c>
      <c r="G189" s="33">
        <v>596.02</v>
      </c>
      <c r="H189" s="32">
        <v>35</v>
      </c>
      <c r="I189" s="50">
        <v>5.8999999999999999E-3</v>
      </c>
      <c r="J189" s="50">
        <v>0.13880000000000001</v>
      </c>
      <c r="K189" s="29">
        <v>10261269678.08</v>
      </c>
      <c r="L189" s="54">
        <v>5.2058</v>
      </c>
      <c r="M189" s="33">
        <v>595.71</v>
      </c>
      <c r="N189" s="33">
        <v>602.74</v>
      </c>
      <c r="O189" s="32">
        <v>35</v>
      </c>
      <c r="P189" s="50">
        <v>1.1267709547005733E-2</v>
      </c>
      <c r="Q189" s="50">
        <v>0.15160000000000001</v>
      </c>
      <c r="R189" s="57">
        <f t="shared" si="99"/>
        <v>1.1661719964496031E-2</v>
      </c>
      <c r="S189" s="57">
        <f t="shared" si="100"/>
        <v>1.1274789436596133E-2</v>
      </c>
      <c r="T189" s="57">
        <f t="shared" si="100"/>
        <v>0</v>
      </c>
      <c r="U189" s="57">
        <f t="shared" si="101"/>
        <v>5.3677095470057333E-3</v>
      </c>
      <c r="V189" s="58">
        <f t="shared" si="101"/>
        <v>1.2800000000000006E-2</v>
      </c>
    </row>
    <row r="190" spans="1:22">
      <c r="A190" s="36"/>
      <c r="B190" s="37"/>
      <c r="C190" s="38" t="s">
        <v>53</v>
      </c>
      <c r="D190" s="75">
        <f>SUM(D161:D189)</f>
        <v>59306649006.764648</v>
      </c>
      <c r="E190" s="40">
        <f>(D190/$D$222)</f>
        <v>1.1377951127736846E-2</v>
      </c>
      <c r="F190" s="41"/>
      <c r="G190" s="76"/>
      <c r="H190" s="43">
        <f>SUM(H161:H189)</f>
        <v>70208</v>
      </c>
      <c r="I190" s="82"/>
      <c r="J190" s="82"/>
      <c r="K190" s="75">
        <f>SUM(K161:K189)</f>
        <v>60348931993.098541</v>
      </c>
      <c r="L190" s="40">
        <f>(K190/$K$222)</f>
        <v>1.1391526553302216E-2</v>
      </c>
      <c r="M190" s="41"/>
      <c r="N190" s="76"/>
      <c r="O190" s="43">
        <f>SUM(O161:O189)</f>
        <v>70255</v>
      </c>
      <c r="P190" s="82"/>
      <c r="Q190" s="82"/>
      <c r="R190" s="57">
        <f t="shared" ref="R190" si="107">((K190-D190)/D190)</f>
        <v>1.7574471054923501E-2</v>
      </c>
      <c r="S190" s="57" t="e">
        <f t="shared" ref="S190" si="108">((N190-G190)/G190)</f>
        <v>#DIV/0!</v>
      </c>
      <c r="T190" s="57">
        <f t="shared" ref="T190" si="109">((O190-H190)/H190)</f>
        <v>6.6943938012762076E-4</v>
      </c>
      <c r="U190" s="57">
        <f t="shared" ref="U190" si="110">P190-I190</f>
        <v>0</v>
      </c>
      <c r="V190" s="58">
        <f t="shared" ref="V190" si="111">Q190-J190</f>
        <v>0</v>
      </c>
    </row>
    <row r="191" spans="1:22" ht="5.25" customHeight="1">
      <c r="A191" s="36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</row>
    <row r="192" spans="1:22" ht="15" customHeight="1">
      <c r="A192" s="181" t="s">
        <v>224</v>
      </c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</row>
    <row r="193" spans="1:24" ht="16.2" customHeight="1">
      <c r="A193" s="164">
        <v>167</v>
      </c>
      <c r="B193" s="165" t="s">
        <v>225</v>
      </c>
      <c r="C193" s="166" t="s">
        <v>23</v>
      </c>
      <c r="D193" s="78">
        <v>1115629133.1800001</v>
      </c>
      <c r="E193" s="30">
        <f>(D193/$D$196)</f>
        <v>0.16079361214867505</v>
      </c>
      <c r="F193" s="77">
        <v>72.715699999999998</v>
      </c>
      <c r="G193" s="77">
        <v>74.908100000000005</v>
      </c>
      <c r="H193" s="34">
        <v>1771</v>
      </c>
      <c r="I193" s="51">
        <v>0.20080000000000001</v>
      </c>
      <c r="J193" s="51">
        <v>0.18090000000000001</v>
      </c>
      <c r="K193" s="78">
        <v>1152493856.04</v>
      </c>
      <c r="L193" s="54">
        <f>(K193/$K$196)</f>
        <v>0.16254340579742835</v>
      </c>
      <c r="M193" s="77">
        <v>74.764700000000005</v>
      </c>
      <c r="N193" s="77">
        <v>77.018900000000002</v>
      </c>
      <c r="O193" s="34">
        <v>1771</v>
      </c>
      <c r="P193" s="51">
        <v>0.14693000000000001</v>
      </c>
      <c r="Q193" s="51">
        <v>0.25569999999999998</v>
      </c>
      <c r="R193" s="57">
        <f>((K193-D193)/D193)</f>
        <v>3.3043886864912116E-2</v>
      </c>
      <c r="S193" s="57">
        <f t="shared" ref="S193:T196" si="112">((N193-G193)/G193)</f>
        <v>2.8178528089752609E-2</v>
      </c>
      <c r="T193" s="57">
        <f t="shared" si="112"/>
        <v>0</v>
      </c>
      <c r="U193" s="57">
        <f t="shared" ref="U193:V196" si="113">P193-I193</f>
        <v>-5.3870000000000001E-2</v>
      </c>
      <c r="V193" s="58">
        <f t="shared" si="113"/>
        <v>7.4799999999999978E-2</v>
      </c>
    </row>
    <row r="194" spans="1:24">
      <c r="A194" s="164">
        <v>168</v>
      </c>
      <c r="B194" s="165" t="s">
        <v>226</v>
      </c>
      <c r="C194" s="166" t="s">
        <v>227</v>
      </c>
      <c r="D194" s="78">
        <v>1098712829.6099999</v>
      </c>
      <c r="E194" s="30">
        <f>(D194/$D$196)</f>
        <v>0.15835549586582875</v>
      </c>
      <c r="F194" s="77">
        <v>30.635200000000001</v>
      </c>
      <c r="G194" s="77">
        <v>30.9282</v>
      </c>
      <c r="H194" s="32">
        <v>1490</v>
      </c>
      <c r="I194" s="50">
        <v>3.27E-2</v>
      </c>
      <c r="J194" s="50">
        <v>0.1507</v>
      </c>
      <c r="K194" s="78">
        <v>1131462305.8900001</v>
      </c>
      <c r="L194" s="54">
        <f>(K194/$K$196)</f>
        <v>0.15957719493854655</v>
      </c>
      <c r="M194" s="77">
        <v>31.555900000000001</v>
      </c>
      <c r="N194" s="77">
        <v>31.863900000000001</v>
      </c>
      <c r="O194" s="32">
        <v>1491</v>
      </c>
      <c r="P194" s="50">
        <v>3.4700000000000002E-2</v>
      </c>
      <c r="Q194" s="50">
        <v>0.18629999999999999</v>
      </c>
      <c r="R194" s="57">
        <f>((K194-D194)/D194)</f>
        <v>2.980713012300493E-2</v>
      </c>
      <c r="S194" s="57">
        <f t="shared" si="112"/>
        <v>3.0253943003472578E-2</v>
      </c>
      <c r="T194" s="57">
        <f t="shared" si="112"/>
        <v>6.711409395973154E-4</v>
      </c>
      <c r="U194" s="57">
        <f t="shared" si="113"/>
        <v>2.0000000000000018E-3</v>
      </c>
      <c r="V194" s="58">
        <f t="shared" si="113"/>
        <v>3.5599999999999993E-2</v>
      </c>
    </row>
    <row r="195" spans="1:24">
      <c r="A195" s="164">
        <v>169</v>
      </c>
      <c r="B195" s="165" t="s">
        <v>228</v>
      </c>
      <c r="C195" s="166" t="s">
        <v>49</v>
      </c>
      <c r="D195" s="44">
        <v>4723925784.7399998</v>
      </c>
      <c r="E195" s="30">
        <f>(D195/$D$196)</f>
        <v>0.6808508919854962</v>
      </c>
      <c r="F195" s="77">
        <v>3.25</v>
      </c>
      <c r="G195" s="77">
        <v>3.29</v>
      </c>
      <c r="H195" s="32">
        <v>10370</v>
      </c>
      <c r="I195" s="50">
        <v>2.1700000000000001E-2</v>
      </c>
      <c r="J195" s="50">
        <v>0.13450000000000001</v>
      </c>
      <c r="K195" s="44">
        <v>4806419792.6400003</v>
      </c>
      <c r="L195" s="54">
        <f>(K195/$K$196)</f>
        <v>0.67787939926402507</v>
      </c>
      <c r="M195" s="77">
        <v>3.35</v>
      </c>
      <c r="N195" s="77">
        <v>3.39</v>
      </c>
      <c r="O195" s="32">
        <v>10380</v>
      </c>
      <c r="P195" s="50">
        <v>3.04E-2</v>
      </c>
      <c r="Q195" s="50">
        <v>0.16900000000000001</v>
      </c>
      <c r="R195" s="57">
        <f>((K195-D195)/D195)</f>
        <v>1.7463019458621949E-2</v>
      </c>
      <c r="S195" s="57">
        <f t="shared" si="112"/>
        <v>3.0395136778115527E-2</v>
      </c>
      <c r="T195" s="57">
        <f t="shared" si="112"/>
        <v>9.6432015429122472E-4</v>
      </c>
      <c r="U195" s="57">
        <f t="shared" si="113"/>
        <v>8.6999999999999994E-3</v>
      </c>
      <c r="V195" s="58">
        <f t="shared" si="113"/>
        <v>3.4500000000000003E-2</v>
      </c>
    </row>
    <row r="196" spans="1:24">
      <c r="A196" s="36"/>
      <c r="B196" s="37"/>
      <c r="C196" s="71" t="s">
        <v>53</v>
      </c>
      <c r="D196" s="75">
        <f>SUM(D193:D195)</f>
        <v>6938267747.5299997</v>
      </c>
      <c r="E196" s="40">
        <f>(D196/$D$222)</f>
        <v>1.3311032180143023E-3</v>
      </c>
      <c r="F196" s="41"/>
      <c r="G196" s="76"/>
      <c r="H196" s="43">
        <f>SUM(H193:H195)</f>
        <v>13631</v>
      </c>
      <c r="I196" s="82"/>
      <c r="J196" s="82"/>
      <c r="K196" s="75">
        <f>SUM(K193:K195)</f>
        <v>7090375954.5700006</v>
      </c>
      <c r="L196" s="40">
        <f>(K196/$K$222)</f>
        <v>1.3383866672009462E-3</v>
      </c>
      <c r="M196" s="41"/>
      <c r="N196" s="76"/>
      <c r="O196" s="43">
        <f>SUM(O193:O195)</f>
        <v>13642</v>
      </c>
      <c r="P196" s="82"/>
      <c r="Q196" s="82"/>
      <c r="R196" s="57">
        <f>((K196-D196)/D196)</f>
        <v>2.192308117456997E-2</v>
      </c>
      <c r="S196" s="57" t="e">
        <f t="shared" si="112"/>
        <v>#DIV/0!</v>
      </c>
      <c r="T196" s="57">
        <f t="shared" si="112"/>
        <v>8.0698408040495923E-4</v>
      </c>
      <c r="U196" s="57">
        <f t="shared" si="113"/>
        <v>0</v>
      </c>
      <c r="V196" s="58">
        <f t="shared" si="113"/>
        <v>0</v>
      </c>
    </row>
    <row r="197" spans="1:24" ht="6" customHeight="1">
      <c r="A197" s="36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</row>
    <row r="198" spans="1:24" ht="15" customHeight="1">
      <c r="A198" s="182" t="s">
        <v>229</v>
      </c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</row>
    <row r="199" spans="1:24">
      <c r="A199" s="183" t="s">
        <v>230</v>
      </c>
      <c r="B199" s="183"/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</row>
    <row r="200" spans="1:24">
      <c r="A200" s="164">
        <v>170</v>
      </c>
      <c r="B200" s="165" t="s">
        <v>231</v>
      </c>
      <c r="C200" s="166" t="s">
        <v>232</v>
      </c>
      <c r="D200" s="47">
        <v>5377311265.3699999</v>
      </c>
      <c r="E200" s="30">
        <f>(D200/$D$221)</f>
        <v>9.2536099665275873E-2</v>
      </c>
      <c r="F200" s="79">
        <v>2.34</v>
      </c>
      <c r="G200" s="79">
        <v>2.39</v>
      </c>
      <c r="H200" s="46">
        <v>15023</v>
      </c>
      <c r="I200" s="53">
        <v>-7.7999999999999996E-3</v>
      </c>
      <c r="J200" s="53">
        <v>3.2800000000000003E-2</v>
      </c>
      <c r="K200" s="47">
        <v>5594579149.2399998</v>
      </c>
      <c r="L200" s="30">
        <f>(K200/$K$221)</f>
        <v>9.4824785990086258E-2</v>
      </c>
      <c r="M200" s="79">
        <v>2.42</v>
      </c>
      <c r="N200" s="79">
        <v>2.46</v>
      </c>
      <c r="O200" s="46">
        <v>15031</v>
      </c>
      <c r="P200" s="53">
        <v>3.1600000000000003E-2</v>
      </c>
      <c r="Q200" s="53">
        <v>4.6100000000000002E-2</v>
      </c>
      <c r="R200" s="57">
        <f>((K200-D200)/D200)</f>
        <v>4.0404557807395255E-2</v>
      </c>
      <c r="S200" s="57">
        <f>((N200-G200)/G200)</f>
        <v>2.9288702928870224E-2</v>
      </c>
      <c r="T200" s="57">
        <f>((O200-H200)/H200)</f>
        <v>5.3251680756173864E-4</v>
      </c>
      <c r="U200" s="57">
        <f>P200-I200</f>
        <v>3.9400000000000004E-2</v>
      </c>
      <c r="V200" s="58">
        <f>Q200-J200</f>
        <v>1.3299999999999999E-2</v>
      </c>
    </row>
    <row r="201" spans="1:24">
      <c r="A201" s="164">
        <v>171</v>
      </c>
      <c r="B201" s="165" t="s">
        <v>233</v>
      </c>
      <c r="C201" s="166" t="s">
        <v>49</v>
      </c>
      <c r="D201" s="47">
        <v>993043453.30999994</v>
      </c>
      <c r="E201" s="30">
        <f>(D201/$D$221)</f>
        <v>1.7088906227027009E-2</v>
      </c>
      <c r="F201" s="79">
        <v>585.33000000000004</v>
      </c>
      <c r="G201" s="79">
        <v>592.9</v>
      </c>
      <c r="H201" s="46">
        <v>967</v>
      </c>
      <c r="I201" s="53">
        <v>2.4500000000000001E-2</v>
      </c>
      <c r="J201" s="53">
        <v>0.17480000000000001</v>
      </c>
      <c r="K201" s="47">
        <v>1064984218.64</v>
      </c>
      <c r="L201" s="30">
        <f>(K201/$K$221)</f>
        <v>1.805084849484628E-2</v>
      </c>
      <c r="M201" s="79">
        <v>609.78</v>
      </c>
      <c r="N201" s="79">
        <v>617.48</v>
      </c>
      <c r="O201" s="46">
        <v>978</v>
      </c>
      <c r="P201" s="53">
        <v>4.1500000000000002E-2</v>
      </c>
      <c r="Q201" s="53">
        <v>0.2235</v>
      </c>
      <c r="R201" s="57">
        <f>((K201-D201)/D201)</f>
        <v>7.2444730480028835E-2</v>
      </c>
      <c r="S201" s="57">
        <f>((N201-G201)/G201)</f>
        <v>4.1457244054646722E-2</v>
      </c>
      <c r="T201" s="57">
        <f>((O201-H201)/H201)</f>
        <v>1.1375387797311272E-2</v>
      </c>
      <c r="U201" s="57">
        <f>P201-I201</f>
        <v>1.7000000000000001E-2</v>
      </c>
      <c r="V201" s="58">
        <f>Q201-J201</f>
        <v>4.8699999999999993E-2</v>
      </c>
    </row>
    <row r="202" spans="1:24" ht="6" customHeight="1">
      <c r="A202" s="36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</row>
    <row r="203" spans="1:24" ht="15" customHeight="1">
      <c r="A203" s="183" t="s">
        <v>173</v>
      </c>
      <c r="B203" s="183"/>
      <c r="C203" s="18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</row>
    <row r="204" spans="1:24">
      <c r="A204" s="164">
        <v>172</v>
      </c>
      <c r="B204" s="165" t="s">
        <v>293</v>
      </c>
      <c r="C204" s="166" t="s">
        <v>23</v>
      </c>
      <c r="D204" s="29">
        <v>1272754863.5699999</v>
      </c>
      <c r="E204" s="30">
        <f>(D204/$D$221)</f>
        <v>2.190235325659063E-2</v>
      </c>
      <c r="F204" s="77">
        <v>1.0664</v>
      </c>
      <c r="G204" s="77">
        <v>1.0664</v>
      </c>
      <c r="H204" s="32">
        <v>587</v>
      </c>
      <c r="I204" s="50">
        <v>0.12740000000000001</v>
      </c>
      <c r="J204" s="50">
        <v>0.15740000000000001</v>
      </c>
      <c r="K204" s="29">
        <v>1285777740.53</v>
      </c>
      <c r="L204" s="30">
        <f t="shared" ref="L204:L216" si="114">(K204/$K$221)</f>
        <v>2.1793167247108607E-2</v>
      </c>
      <c r="M204" s="77">
        <v>1.069</v>
      </c>
      <c r="N204" s="77">
        <v>1.069</v>
      </c>
      <c r="O204" s="32">
        <v>594</v>
      </c>
      <c r="P204" s="50">
        <v>0.12709999999999999</v>
      </c>
      <c r="Q204" s="50">
        <v>0.15609999999999999</v>
      </c>
      <c r="R204" s="57">
        <f>((K204-D204)/D204)</f>
        <v>1.0232038653124186E-2</v>
      </c>
      <c r="S204" s="57">
        <f>((N204-G204)/G204)</f>
        <v>2.4381095273817853E-3</v>
      </c>
      <c r="T204" s="57">
        <f>((O204-H204)/H204)</f>
        <v>1.192504258943782E-2</v>
      </c>
      <c r="U204" s="57">
        <f>P204-I204</f>
        <v>-3.0000000000002247E-4</v>
      </c>
      <c r="V204" s="58">
        <f>Q204-J204</f>
        <v>-1.3000000000000234E-3</v>
      </c>
      <c r="X204" s="83"/>
    </row>
    <row r="205" spans="1:24">
      <c r="A205" s="164">
        <v>173</v>
      </c>
      <c r="B205" s="165" t="s">
        <v>234</v>
      </c>
      <c r="C205" s="166" t="s">
        <v>235</v>
      </c>
      <c r="D205" s="29">
        <v>348170193.43000001</v>
      </c>
      <c r="E205" s="30">
        <f>(D205/$D$221)</f>
        <v>5.9915281317641919E-3</v>
      </c>
      <c r="F205" s="77">
        <v>1064.03</v>
      </c>
      <c r="G205" s="77">
        <v>1064.0319999999999</v>
      </c>
      <c r="H205" s="32">
        <v>18</v>
      </c>
      <c r="I205" s="50">
        <v>1.4E-3</v>
      </c>
      <c r="J205" s="50">
        <v>3.2599999999999997E-2</v>
      </c>
      <c r="K205" s="29">
        <v>348493376.70999998</v>
      </c>
      <c r="L205" s="30">
        <f t="shared" si="114"/>
        <v>5.9067552686205881E-3</v>
      </c>
      <c r="M205" s="77">
        <v>1065.02</v>
      </c>
      <c r="N205" s="77">
        <v>1065.02</v>
      </c>
      <c r="O205" s="32">
        <v>18</v>
      </c>
      <c r="P205" s="50">
        <v>3.2599999999999997E-2</v>
      </c>
      <c r="Q205" s="50">
        <v>3.4000000000000002E-2</v>
      </c>
      <c r="R205" s="57">
        <f>((K205-D205)/D205)</f>
        <v>9.2823362280420978E-4</v>
      </c>
      <c r="S205" s="57">
        <f>((N205-G205)/G205)</f>
        <v>9.2854350245110719E-4</v>
      </c>
      <c r="T205" s="57">
        <f>((O205-H205)/H205)</f>
        <v>0</v>
      </c>
      <c r="U205" s="57">
        <f>P205-I205</f>
        <v>3.1199999999999999E-2</v>
      </c>
      <c r="V205" s="58">
        <f>Q205-J205</f>
        <v>1.4000000000000054E-3</v>
      </c>
      <c r="X205" s="83"/>
    </row>
    <row r="206" spans="1:24">
      <c r="A206" s="164">
        <v>174</v>
      </c>
      <c r="B206" s="165" t="s">
        <v>236</v>
      </c>
      <c r="C206" s="166" t="s">
        <v>67</v>
      </c>
      <c r="D206" s="29">
        <v>211462896.47</v>
      </c>
      <c r="E206" s="30">
        <f>(D206/$D$221)</f>
        <v>3.63898437296607E-3</v>
      </c>
      <c r="F206" s="77">
        <v>119.92</v>
      </c>
      <c r="G206" s="77">
        <v>119.92</v>
      </c>
      <c r="H206" s="32">
        <v>75</v>
      </c>
      <c r="I206" s="50">
        <v>1.8E-3</v>
      </c>
      <c r="J206" s="50">
        <v>0.112</v>
      </c>
      <c r="K206" s="29">
        <v>221590649.34</v>
      </c>
      <c r="L206" s="30">
        <f t="shared" si="114"/>
        <v>3.7558295879903995E-3</v>
      </c>
      <c r="M206" s="77">
        <v>116.55</v>
      </c>
      <c r="N206" s="77">
        <v>116.55</v>
      </c>
      <c r="O206" s="32">
        <v>75</v>
      </c>
      <c r="P206" s="50">
        <v>1.6999999999999999E-3</v>
      </c>
      <c r="Q206" s="50">
        <v>0.112</v>
      </c>
      <c r="R206" s="57">
        <f t="shared" ref="R206:R222" si="115">((K206-D206)/D206)</f>
        <v>4.7893758380618878E-2</v>
      </c>
      <c r="S206" s="57">
        <f t="shared" ref="S206:S221" si="116">((N206-G206)/G206)</f>
        <v>-2.8102068045363613E-2</v>
      </c>
      <c r="T206" s="57">
        <f t="shared" ref="T206:T221" si="117">((O206-H206)/H206)</f>
        <v>0</v>
      </c>
      <c r="U206" s="57">
        <f t="shared" ref="U206:U221" si="118">P206-I206</f>
        <v>-1.0000000000000005E-4</v>
      </c>
      <c r="V206" s="58">
        <f t="shared" ref="V206:V221" si="119">Q206-J206</f>
        <v>0</v>
      </c>
    </row>
    <row r="207" spans="1:24">
      <c r="A207" s="164">
        <v>175</v>
      </c>
      <c r="B207" s="171" t="s">
        <v>237</v>
      </c>
      <c r="C207" s="166" t="s">
        <v>72</v>
      </c>
      <c r="D207" s="44">
        <v>62134333.32</v>
      </c>
      <c r="E207" s="30">
        <f>(D207/$D$221)</f>
        <v>1.0692460556938526E-3</v>
      </c>
      <c r="F207" s="77">
        <v>101.91</v>
      </c>
      <c r="G207" s="77">
        <v>101.91</v>
      </c>
      <c r="H207" s="32">
        <v>15</v>
      </c>
      <c r="I207" s="50">
        <v>1.4E-3</v>
      </c>
      <c r="J207" s="50">
        <v>4.9799999999999997E-2</v>
      </c>
      <c r="K207" s="44">
        <v>62252068.920000002</v>
      </c>
      <c r="L207" s="30">
        <f t="shared" si="114"/>
        <v>1.0551355080177932E-3</v>
      </c>
      <c r="M207" s="77">
        <v>102.1</v>
      </c>
      <c r="N207" s="77">
        <v>102.1</v>
      </c>
      <c r="O207" s="32">
        <v>14</v>
      </c>
      <c r="P207" s="50">
        <v>2E-3</v>
      </c>
      <c r="Q207" s="50">
        <v>5.1799999999999999E-2</v>
      </c>
      <c r="R207" s="57">
        <f t="shared" si="115"/>
        <v>1.8948557698953274E-3</v>
      </c>
      <c r="S207" s="57">
        <f t="shared" si="116"/>
        <v>1.8643901481699317E-3</v>
      </c>
      <c r="T207" s="57">
        <f t="shared" si="117"/>
        <v>-6.6666666666666666E-2</v>
      </c>
      <c r="U207" s="57">
        <f t="shared" si="118"/>
        <v>6.0000000000000006E-4</v>
      </c>
      <c r="V207" s="58">
        <f t="shared" si="119"/>
        <v>2.0000000000000018E-3</v>
      </c>
    </row>
    <row r="208" spans="1:24">
      <c r="A208" s="164">
        <v>176</v>
      </c>
      <c r="B208" s="165" t="s">
        <v>238</v>
      </c>
      <c r="C208" s="166" t="s">
        <v>75</v>
      </c>
      <c r="D208" s="44">
        <v>110695276.73</v>
      </c>
      <c r="E208" s="30">
        <v>0</v>
      </c>
      <c r="F208" s="77">
        <v>1.0817000000000001</v>
      </c>
      <c r="G208" s="77">
        <v>1.0817000000000001</v>
      </c>
      <c r="H208" s="32">
        <v>40</v>
      </c>
      <c r="I208" s="50">
        <v>1.1000000000000001E-3</v>
      </c>
      <c r="J208" s="50">
        <v>0.1171</v>
      </c>
      <c r="K208" s="44">
        <v>111044140.68000001</v>
      </c>
      <c r="L208" s="30">
        <f t="shared" si="114"/>
        <v>1.8821320772384556E-3</v>
      </c>
      <c r="M208" s="77">
        <v>1.0842000000000001</v>
      </c>
      <c r="N208" s="77">
        <v>1.0842000000000001</v>
      </c>
      <c r="O208" s="32">
        <v>44</v>
      </c>
      <c r="P208" s="50">
        <v>1.8E-3</v>
      </c>
      <c r="Q208" s="50">
        <v>0.1177</v>
      </c>
      <c r="R208" s="57">
        <f t="shared" ref="R208:R209" si="120">((K208-D208)/D208)</f>
        <v>3.1515703316856688E-3</v>
      </c>
      <c r="S208" s="57">
        <f t="shared" ref="S208:S209" si="121">((N208-G208)/G208)</f>
        <v>2.3111768512526082E-3</v>
      </c>
      <c r="T208" s="57">
        <f t="shared" ref="T208" si="122">((O208-H208)/H208)</f>
        <v>0.1</v>
      </c>
      <c r="U208" s="57">
        <f t="shared" ref="U208" si="123">P208-I208</f>
        <v>6.9999999999999988E-4</v>
      </c>
      <c r="V208" s="58">
        <f t="shared" ref="V208" si="124">Q208-J208</f>
        <v>6.0000000000000331E-4</v>
      </c>
    </row>
    <row r="209" spans="1:22">
      <c r="A209" s="164">
        <v>177</v>
      </c>
      <c r="B209" s="165" t="s">
        <v>239</v>
      </c>
      <c r="C209" s="166" t="s">
        <v>31</v>
      </c>
      <c r="D209" s="29">
        <v>5418118671.3000002</v>
      </c>
      <c r="E209" s="30">
        <f t="shared" ref="E209:E216" si="125">(D209/$D$221)</f>
        <v>9.3238338757615266E-2</v>
      </c>
      <c r="F209" s="77">
        <v>151.31</v>
      </c>
      <c r="G209" s="77">
        <v>151.31</v>
      </c>
      <c r="H209" s="32">
        <v>700</v>
      </c>
      <c r="I209" s="50">
        <v>2.7000000000000001E-3</v>
      </c>
      <c r="J209" s="50">
        <v>5.4600000000000003E-2</v>
      </c>
      <c r="K209" s="29">
        <v>5461974227.3100004</v>
      </c>
      <c r="L209" s="30">
        <f t="shared" si="114"/>
        <v>9.2577211506319687E-2</v>
      </c>
      <c r="M209" s="77">
        <v>151.69999999999999</v>
      </c>
      <c r="N209" s="77">
        <v>151.69999999999999</v>
      </c>
      <c r="O209" s="32">
        <v>702</v>
      </c>
      <c r="P209" s="50">
        <v>2.5999999999999999E-3</v>
      </c>
      <c r="Q209" s="50">
        <v>5.74E-2</v>
      </c>
      <c r="R209" s="57">
        <f t="shared" si="120"/>
        <v>8.0942405788018146E-3</v>
      </c>
      <c r="S209" s="57">
        <f t="shared" si="121"/>
        <v>2.5774899213534225E-3</v>
      </c>
      <c r="T209" s="57">
        <f t="shared" si="117"/>
        <v>2.8571428571428571E-3</v>
      </c>
      <c r="U209" s="57">
        <f t="shared" si="118"/>
        <v>-1.0000000000000026E-4</v>
      </c>
      <c r="V209" s="58">
        <f t="shared" si="119"/>
        <v>2.7999999999999969E-3</v>
      </c>
    </row>
    <row r="210" spans="1:22">
      <c r="A210" s="164">
        <v>178</v>
      </c>
      <c r="B210" s="165" t="s">
        <v>240</v>
      </c>
      <c r="C210" s="166" t="s">
        <v>65</v>
      </c>
      <c r="D210" s="29">
        <v>798359167.33790898</v>
      </c>
      <c r="E210" s="30">
        <f t="shared" si="125"/>
        <v>1.373865856589652E-2</v>
      </c>
      <c r="F210" s="35">
        <v>1242.39647821842</v>
      </c>
      <c r="G210" s="35">
        <v>1242.39647821842</v>
      </c>
      <c r="H210" s="32">
        <v>179</v>
      </c>
      <c r="I210" s="50">
        <v>9.558153238836585E-2</v>
      </c>
      <c r="J210" s="50">
        <v>0.13963540165122817</v>
      </c>
      <c r="K210" s="29">
        <v>813766955.86151505</v>
      </c>
      <c r="L210" s="30">
        <f t="shared" si="114"/>
        <v>1.3792865446519729E-2</v>
      </c>
      <c r="M210" s="35">
        <v>1245.0185365643399</v>
      </c>
      <c r="N210" s="35">
        <v>1245.0185365643399</v>
      </c>
      <c r="O210" s="32">
        <v>187</v>
      </c>
      <c r="P210" s="50">
        <v>0.110046684893693</v>
      </c>
      <c r="Q210" s="50">
        <v>0.138308519319814</v>
      </c>
      <c r="R210" s="57">
        <f t="shared" si="115"/>
        <v>1.9299319346432267E-2</v>
      </c>
      <c r="S210" s="57">
        <f t="shared" si="116"/>
        <v>2.110484367824243E-3</v>
      </c>
      <c r="T210" s="57">
        <f t="shared" si="117"/>
        <v>4.4692737430167599E-2</v>
      </c>
      <c r="U210" s="57">
        <f t="shared" si="118"/>
        <v>1.446515250532715E-2</v>
      </c>
      <c r="V210" s="58">
        <f t="shared" si="119"/>
        <v>-1.3268823314141753E-3</v>
      </c>
    </row>
    <row r="211" spans="1:22">
      <c r="A211" s="164">
        <v>179</v>
      </c>
      <c r="B211" s="165" t="s">
        <v>241</v>
      </c>
      <c r="C211" s="166" t="s">
        <v>232</v>
      </c>
      <c r="D211" s="29">
        <v>30779554858.330002</v>
      </c>
      <c r="E211" s="30">
        <f t="shared" si="125"/>
        <v>0.52967362599331913</v>
      </c>
      <c r="F211" s="35">
        <v>1243.33</v>
      </c>
      <c r="G211" s="35">
        <v>1243.33</v>
      </c>
      <c r="H211" s="32">
        <v>10225</v>
      </c>
      <c r="I211" s="50">
        <v>2.7000000000000001E-3</v>
      </c>
      <c r="J211" s="50">
        <v>4.3499999999999997E-2</v>
      </c>
      <c r="K211" s="29">
        <v>31275617863.759998</v>
      </c>
      <c r="L211" s="30">
        <f t="shared" si="114"/>
        <v>0.53010310365197688</v>
      </c>
      <c r="M211" s="35">
        <v>1246.5999999999999</v>
      </c>
      <c r="N211" s="35">
        <v>1246.5999999999999</v>
      </c>
      <c r="O211" s="32">
        <v>10357</v>
      </c>
      <c r="P211" s="50">
        <v>2.5999999999999999E-3</v>
      </c>
      <c r="Q211" s="50">
        <v>4.6100000000000002E-2</v>
      </c>
      <c r="R211" s="57">
        <f t="shared" si="115"/>
        <v>1.6116640013581769E-2</v>
      </c>
      <c r="S211" s="57">
        <f t="shared" si="116"/>
        <v>2.6300338606805771E-3</v>
      </c>
      <c r="T211" s="57">
        <f t="shared" si="117"/>
        <v>1.2909535452322738E-2</v>
      </c>
      <c r="U211" s="57">
        <f t="shared" si="118"/>
        <v>-1.0000000000000026E-4</v>
      </c>
      <c r="V211" s="58">
        <f t="shared" si="119"/>
        <v>2.6000000000000051E-3</v>
      </c>
    </row>
    <row r="212" spans="1:22">
      <c r="A212" s="164">
        <v>180</v>
      </c>
      <c r="B212" s="165" t="s">
        <v>242</v>
      </c>
      <c r="C212" s="166" t="s">
        <v>243</v>
      </c>
      <c r="D212" s="29">
        <v>503385423.69999999</v>
      </c>
      <c r="E212" s="30">
        <f t="shared" si="125"/>
        <v>8.6625678594309842E-3</v>
      </c>
      <c r="F212" s="79">
        <v>124.53</v>
      </c>
      <c r="G212" s="79">
        <v>125.56</v>
      </c>
      <c r="H212" s="46">
        <v>150</v>
      </c>
      <c r="I212" s="50">
        <v>7.7000000000000002E-3</v>
      </c>
      <c r="J212" s="50">
        <v>4.1999999999999997E-3</v>
      </c>
      <c r="K212" s="29">
        <v>510531819.56</v>
      </c>
      <c r="L212" s="30">
        <f t="shared" si="114"/>
        <v>8.6532104094876865E-3</v>
      </c>
      <c r="M212" s="79">
        <v>126.4774</v>
      </c>
      <c r="N212" s="79">
        <v>127.52249999999999</v>
      </c>
      <c r="O212" s="46">
        <v>159</v>
      </c>
      <c r="P212" s="50">
        <v>1.5E-3</v>
      </c>
      <c r="Q212" s="50">
        <v>1.9900000000000001E-2</v>
      </c>
      <c r="R212" s="57">
        <f t="shared" si="115"/>
        <v>1.4196668245719834E-2</v>
      </c>
      <c r="S212" s="57">
        <f t="shared" si="116"/>
        <v>1.562997769990436E-2</v>
      </c>
      <c r="T212" s="57">
        <f t="shared" si="117"/>
        <v>0.06</v>
      </c>
      <c r="U212" s="57">
        <f t="shared" si="118"/>
        <v>-6.2000000000000006E-3</v>
      </c>
      <c r="V212" s="58">
        <f t="shared" si="119"/>
        <v>1.5700000000000002E-2</v>
      </c>
    </row>
    <row r="213" spans="1:22">
      <c r="A213" s="164">
        <v>181</v>
      </c>
      <c r="B213" s="165" t="s">
        <v>244</v>
      </c>
      <c r="C213" s="166" t="s">
        <v>243</v>
      </c>
      <c r="D213" s="29">
        <v>182917741.36000001</v>
      </c>
      <c r="E213" s="30">
        <f t="shared" si="125"/>
        <v>3.1477616804597313E-3</v>
      </c>
      <c r="F213" s="79">
        <v>120.11</v>
      </c>
      <c r="G213" s="79">
        <v>120.11</v>
      </c>
      <c r="H213" s="46">
        <v>76</v>
      </c>
      <c r="I213" s="50">
        <v>3.0999999999999999E-3</v>
      </c>
      <c r="J213" s="50">
        <v>7.5399999999999995E-2</v>
      </c>
      <c r="K213" s="29">
        <v>183909407.50999999</v>
      </c>
      <c r="L213" s="30">
        <f t="shared" si="114"/>
        <v>3.1171549715349632E-3</v>
      </c>
      <c r="M213" s="79">
        <v>120.7974</v>
      </c>
      <c r="N213" s="79">
        <v>120.7974</v>
      </c>
      <c r="O213" s="46">
        <v>74</v>
      </c>
      <c r="P213" s="50">
        <v>4.5999999999999999E-3</v>
      </c>
      <c r="Q213" s="50">
        <v>8.1600000000000006E-2</v>
      </c>
      <c r="R213" s="57">
        <f t="shared" si="115"/>
        <v>5.4213776237717701E-3</v>
      </c>
      <c r="S213" s="57">
        <f t="shared" si="116"/>
        <v>5.7230871700940525E-3</v>
      </c>
      <c r="T213" s="57">
        <f t="shared" si="117"/>
        <v>-2.6315789473684209E-2</v>
      </c>
      <c r="U213" s="57">
        <f t="shared" si="118"/>
        <v>1.5E-3</v>
      </c>
      <c r="V213" s="58">
        <f t="shared" si="119"/>
        <v>6.2000000000000111E-3</v>
      </c>
    </row>
    <row r="214" spans="1:22" ht="13.5" customHeight="1">
      <c r="A214" s="164">
        <v>182</v>
      </c>
      <c r="B214" s="165" t="s">
        <v>245</v>
      </c>
      <c r="C214" s="166" t="s">
        <v>89</v>
      </c>
      <c r="D214" s="29">
        <v>1446064224</v>
      </c>
      <c r="E214" s="30">
        <f t="shared" si="125"/>
        <v>2.488476797246485E-2</v>
      </c>
      <c r="F214" s="60">
        <v>104.19</v>
      </c>
      <c r="G214" s="60">
        <v>104.19</v>
      </c>
      <c r="H214" s="32">
        <v>624</v>
      </c>
      <c r="I214" s="50">
        <v>2.8999999999999998E-3</v>
      </c>
      <c r="J214" s="50">
        <v>0.14169999999999999</v>
      </c>
      <c r="K214" s="29">
        <v>1448026282</v>
      </c>
      <c r="L214" s="30">
        <f t="shared" si="114"/>
        <v>2.4543183434507867E-2</v>
      </c>
      <c r="M214" s="60">
        <v>104.71</v>
      </c>
      <c r="N214" s="60">
        <v>104.71</v>
      </c>
      <c r="O214" s="32">
        <v>623</v>
      </c>
      <c r="P214" s="50">
        <v>2.5000000000000001E-3</v>
      </c>
      <c r="Q214" s="50">
        <v>9.5100000000000004E-2</v>
      </c>
      <c r="R214" s="57">
        <f t="shared" si="115"/>
        <v>1.3568263203225473E-3</v>
      </c>
      <c r="S214" s="57">
        <f t="shared" si="116"/>
        <v>4.9908820424224591E-3</v>
      </c>
      <c r="T214" s="57">
        <f t="shared" si="117"/>
        <v>-1.6025641025641025E-3</v>
      </c>
      <c r="U214" s="57">
        <f t="shared" si="118"/>
        <v>-3.9999999999999975E-4</v>
      </c>
      <c r="V214" s="58">
        <f t="shared" si="119"/>
        <v>-4.6599999999999989E-2</v>
      </c>
    </row>
    <row r="215" spans="1:22" ht="15.75" customHeight="1">
      <c r="A215" s="164">
        <v>183</v>
      </c>
      <c r="B215" s="165" t="s">
        <v>246</v>
      </c>
      <c r="C215" s="166" t="s">
        <v>49</v>
      </c>
      <c r="D215" s="29">
        <v>6186393361.3100004</v>
      </c>
      <c r="E215" s="30">
        <f t="shared" si="125"/>
        <v>0.10645928502176696</v>
      </c>
      <c r="F215" s="60">
        <v>135.94</v>
      </c>
      <c r="G215" s="60">
        <v>135.94</v>
      </c>
      <c r="H215" s="32">
        <v>1316</v>
      </c>
      <c r="I215" s="50">
        <v>2.0000000000000001E-4</v>
      </c>
      <c r="J215" s="50">
        <v>1.2200000000000001E-2</v>
      </c>
      <c r="K215" s="29">
        <v>6202235434.5500002</v>
      </c>
      <c r="L215" s="30">
        <f t="shared" si="114"/>
        <v>0.10512419827347116</v>
      </c>
      <c r="M215" s="60">
        <v>136.06</v>
      </c>
      <c r="N215" s="60">
        <v>136.06</v>
      </c>
      <c r="O215" s="32">
        <v>1324</v>
      </c>
      <c r="P215" s="50">
        <v>8.9999999999999998E-4</v>
      </c>
      <c r="Q215" s="50">
        <v>1.3100000000000001E-2</v>
      </c>
      <c r="R215" s="57">
        <f t="shared" si="115"/>
        <v>2.5607930687170416E-3</v>
      </c>
      <c r="S215" s="57">
        <f t="shared" si="116"/>
        <v>8.8274238634695123E-4</v>
      </c>
      <c r="T215" s="57">
        <f t="shared" si="117"/>
        <v>6.0790273556231003E-3</v>
      </c>
      <c r="U215" s="57">
        <f t="shared" si="118"/>
        <v>6.9999999999999999E-4</v>
      </c>
      <c r="V215" s="58">
        <f t="shared" si="119"/>
        <v>8.9999999999999976E-4</v>
      </c>
    </row>
    <row r="216" spans="1:22">
      <c r="A216" s="164">
        <v>184</v>
      </c>
      <c r="B216" s="165" t="s">
        <v>247</v>
      </c>
      <c r="C216" s="166" t="s">
        <v>52</v>
      </c>
      <c r="D216" s="29">
        <v>4153491978.4299998</v>
      </c>
      <c r="E216" s="30">
        <f t="shared" si="125"/>
        <v>7.1475860092037324E-2</v>
      </c>
      <c r="F216" s="60">
        <v>1.2591000000000001</v>
      </c>
      <c r="G216" s="60">
        <v>1.2591000000000001</v>
      </c>
      <c r="H216" s="32">
        <v>1596</v>
      </c>
      <c r="I216" s="50">
        <v>0.1231</v>
      </c>
      <c r="J216" s="50">
        <v>0.1033</v>
      </c>
      <c r="K216" s="29">
        <v>4131342728.4400001</v>
      </c>
      <c r="L216" s="30">
        <f t="shared" si="114"/>
        <v>7.0023799757885294E-2</v>
      </c>
      <c r="M216" s="60">
        <v>1.2612000000000001</v>
      </c>
      <c r="N216" s="60">
        <v>1.2612000000000001</v>
      </c>
      <c r="O216" s="32">
        <v>1606</v>
      </c>
      <c r="P216" s="50">
        <v>9.0800000000000006E-2</v>
      </c>
      <c r="Q216" s="50">
        <v>0.1026</v>
      </c>
      <c r="R216" s="57">
        <f t="shared" si="115"/>
        <v>-5.3326815376135818E-3</v>
      </c>
      <c r="S216" s="57">
        <f t="shared" si="116"/>
        <v>1.6678579938050914E-3</v>
      </c>
      <c r="T216" s="57">
        <f t="shared" si="117"/>
        <v>6.2656641604010022E-3</v>
      </c>
      <c r="U216" s="57">
        <f t="shared" si="118"/>
        <v>-3.2299999999999995E-2</v>
      </c>
      <c r="V216" s="58">
        <f t="shared" si="119"/>
        <v>-7.0000000000000617E-4</v>
      </c>
    </row>
    <row r="217" spans="1:22" ht="6" customHeight="1">
      <c r="A217" s="36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</row>
    <row r="218" spans="1:22">
      <c r="A218" s="183" t="s">
        <v>248</v>
      </c>
      <c r="B218" s="183"/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</row>
    <row r="219" spans="1:22">
      <c r="A219" s="167">
        <v>185</v>
      </c>
      <c r="B219" s="165" t="s">
        <v>249</v>
      </c>
      <c r="C219" s="166" t="s">
        <v>232</v>
      </c>
      <c r="D219" s="29">
        <v>207984740.53</v>
      </c>
      <c r="E219" s="30">
        <f t="shared" ref="E219" si="126">(D219/$D$221)</f>
        <v>3.5791301133125579E-3</v>
      </c>
      <c r="F219" s="35">
        <v>1065.1300000000001</v>
      </c>
      <c r="G219" s="35">
        <v>1065.1300000000001</v>
      </c>
      <c r="H219" s="32">
        <v>134</v>
      </c>
      <c r="I219" s="50">
        <v>-1.6199999999999999E-2</v>
      </c>
      <c r="J219" s="50">
        <v>-1.9699999999999999E-2</v>
      </c>
      <c r="K219" s="29">
        <v>222700009.15000001</v>
      </c>
      <c r="L219" s="30">
        <f t="shared" ref="L219" si="127">(K219/$K$221)</f>
        <v>3.7746325763409251E-3</v>
      </c>
      <c r="M219" s="35">
        <v>1264.95</v>
      </c>
      <c r="N219" s="35">
        <v>1264.95</v>
      </c>
      <c r="O219" s="32">
        <v>134</v>
      </c>
      <c r="P219" s="50">
        <v>2.0400000000000001E-2</v>
      </c>
      <c r="Q219" s="50">
        <v>-2.5999999999999999E-3</v>
      </c>
      <c r="R219" s="57">
        <f t="shared" ref="R219" si="128">((K219-D219)/D219)</f>
        <v>7.0751674293516045E-2</v>
      </c>
      <c r="S219" s="57">
        <f t="shared" ref="S219" si="129">((N219-G219)/G219)</f>
        <v>0.18760151343028542</v>
      </c>
      <c r="T219" s="57">
        <f t="shared" ref="T219" si="130">((O219-H219)/H219)</f>
        <v>0</v>
      </c>
      <c r="U219" s="57">
        <f t="shared" ref="U219" si="131">P219-I219</f>
        <v>3.6600000000000001E-2</v>
      </c>
      <c r="V219" s="58">
        <f t="shared" ref="V219" si="132">Q219-J219</f>
        <v>1.7099999999999997E-2</v>
      </c>
    </row>
    <row r="220" spans="1:22">
      <c r="A220" s="167">
        <v>186</v>
      </c>
      <c r="B220" s="165" t="s">
        <v>294</v>
      </c>
      <c r="C220" s="166" t="s">
        <v>295</v>
      </c>
      <c r="D220" s="29">
        <v>58573754.702350304</v>
      </c>
      <c r="E220" s="30">
        <f t="shared" ref="E220" si="133">(D220/$D$221)</f>
        <v>1.0079734156012556E-3</v>
      </c>
      <c r="F220" s="35">
        <v>101.12</v>
      </c>
      <c r="G220" s="35">
        <v>103.2</v>
      </c>
      <c r="H220" s="32">
        <v>150</v>
      </c>
      <c r="I220" s="50">
        <v>2.1600000000000001E-2</v>
      </c>
      <c r="J220" s="50">
        <v>0.12970000000000001</v>
      </c>
      <c r="K220" s="29">
        <v>60296265.1259958</v>
      </c>
      <c r="L220" s="30">
        <f t="shared" ref="L220" si="134">(K220/$K$221)</f>
        <v>1.0219857980471618E-3</v>
      </c>
      <c r="M220" s="35">
        <v>101.31</v>
      </c>
      <c r="N220" s="35">
        <v>103.39</v>
      </c>
      <c r="O220" s="32">
        <v>150</v>
      </c>
      <c r="P220" s="50">
        <v>2.35E-2</v>
      </c>
      <c r="Q220" s="50">
        <v>0.12970000000000001</v>
      </c>
      <c r="R220" s="57">
        <f t="shared" ref="R220" si="135">((K220-D220)/D220)</f>
        <v>2.94075466460814E-2</v>
      </c>
      <c r="S220" s="57">
        <f t="shared" ref="S220" si="136">((N220-G220)/G220)</f>
        <v>1.8410852713178073E-3</v>
      </c>
      <c r="T220" s="57">
        <f t="shared" ref="T220" si="137">((O220-H220)/H220)</f>
        <v>0</v>
      </c>
      <c r="U220" s="57">
        <f t="shared" ref="U220" si="138">P220-I220</f>
        <v>1.8999999999999989E-3</v>
      </c>
      <c r="V220" s="58">
        <f t="shared" ref="V220" si="139">Q220-J220</f>
        <v>0</v>
      </c>
    </row>
    <row r="221" spans="1:22">
      <c r="A221" s="36"/>
      <c r="B221" s="37"/>
      <c r="C221" s="71" t="s">
        <v>53</v>
      </c>
      <c r="D221" s="48">
        <f>SUM(D200:D220)</f>
        <v>58110416203.200249</v>
      </c>
      <c r="E221" s="40">
        <f>(D221/$D$222)</f>
        <v>1.1148454459078347E-2</v>
      </c>
      <c r="F221" s="41"/>
      <c r="G221" s="74"/>
      <c r="H221" s="84">
        <f>SUM(H200:H220)</f>
        <v>31875</v>
      </c>
      <c r="I221" s="81"/>
      <c r="J221" s="81"/>
      <c r="K221" s="48">
        <f>SUM(K200:K220)</f>
        <v>58999122337.327522</v>
      </c>
      <c r="L221" s="40">
        <f>(K221/$K$222)</f>
        <v>1.1136735092578806E-2</v>
      </c>
      <c r="M221" s="41"/>
      <c r="N221" s="74"/>
      <c r="O221" s="43">
        <f>SUM(O200:O220)</f>
        <v>32070</v>
      </c>
      <c r="P221" s="81"/>
      <c r="Q221" s="81"/>
      <c r="R221" s="57">
        <f t="shared" si="115"/>
        <v>1.5293405075944557E-2</v>
      </c>
      <c r="S221" s="57" t="e">
        <f t="shared" si="116"/>
        <v>#DIV/0!</v>
      </c>
      <c r="T221" s="57">
        <f t="shared" si="117"/>
        <v>6.1176470588235297E-3</v>
      </c>
      <c r="U221" s="57">
        <f t="shared" si="118"/>
        <v>0</v>
      </c>
      <c r="V221" s="58">
        <f t="shared" si="119"/>
        <v>0</v>
      </c>
    </row>
    <row r="222" spans="1:22">
      <c r="A222" s="85"/>
      <c r="B222" s="85"/>
      <c r="C222" s="86" t="s">
        <v>250</v>
      </c>
      <c r="D222" s="87">
        <f>SUM(D25,D70,D110,D150,D158,D190,D196,D221)</f>
        <v>5212419032297.3516</v>
      </c>
      <c r="E222" s="88"/>
      <c r="F222" s="88"/>
      <c r="G222" s="89"/>
      <c r="H222" s="87">
        <f>SUM(H25,H70,H110,H150,H158,H190,H196,H221)</f>
        <v>877454</v>
      </c>
      <c r="I222" s="111"/>
      <c r="J222" s="111"/>
      <c r="K222" s="87">
        <f>SUM(K25,K70,K110,K150,K158,K190,K196,K221)</f>
        <v>5297703666907.082</v>
      </c>
      <c r="L222" s="88"/>
      <c r="M222" s="88"/>
      <c r="N222" s="89"/>
      <c r="O222" s="87">
        <f>SUM(O25,O70,O110,O150,O158,O190,O196,O221)</f>
        <v>880955</v>
      </c>
      <c r="P222" s="112"/>
      <c r="Q222" s="87"/>
      <c r="R222" s="118">
        <f t="shared" si="115"/>
        <v>1.6361814750749545E-2</v>
      </c>
      <c r="S222" s="118"/>
      <c r="T222" s="118"/>
      <c r="U222" s="118"/>
      <c r="V222" s="118"/>
    </row>
    <row r="223" spans="1:22" ht="6.75" customHeight="1">
      <c r="A223" s="36"/>
      <c r="B223" s="179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37"/>
    </row>
    <row r="224" spans="1:22" ht="14.4" customHeight="1">
      <c r="A224" s="182" t="s">
        <v>251</v>
      </c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</row>
    <row r="225" spans="1:22" ht="14.4" customHeight="1">
      <c r="A225" s="164">
        <v>1</v>
      </c>
      <c r="B225" s="165" t="s">
        <v>323</v>
      </c>
      <c r="C225" s="166" t="s">
        <v>23</v>
      </c>
      <c r="D225" s="29">
        <v>0</v>
      </c>
      <c r="E225" s="30">
        <f t="shared" ref="E225:E227" si="140">(D225/$D$221)</f>
        <v>0</v>
      </c>
      <c r="F225" s="35">
        <v>0</v>
      </c>
      <c r="G225" s="35">
        <v>0</v>
      </c>
      <c r="H225" s="32">
        <v>0</v>
      </c>
      <c r="I225" s="50">
        <v>0</v>
      </c>
      <c r="J225" s="50">
        <v>0</v>
      </c>
      <c r="K225" s="29">
        <f>417010.92*1607.1327</f>
        <v>670191885.78908408</v>
      </c>
      <c r="L225" s="30">
        <f>(K225/$K$229)</f>
        <v>4.18015205261194E-2</v>
      </c>
      <c r="M225" s="35">
        <f>1.0002*1607.1327</f>
        <v>1607.4541265400001</v>
      </c>
      <c r="N225" s="35">
        <f>1.0002*1607.1327</f>
        <v>1607.4541265400001</v>
      </c>
      <c r="O225" s="32">
        <v>12</v>
      </c>
      <c r="P225" s="50">
        <v>1.04E-2</v>
      </c>
      <c r="Q225" s="50">
        <v>3.2000000000000002E-3</v>
      </c>
      <c r="R225" s="57" t="e">
        <f t="shared" ref="R225" si="141">((K225-D225)/D225)</f>
        <v>#DIV/0!</v>
      </c>
      <c r="S225" s="57" t="e">
        <f t="shared" ref="S225" si="142">((N225-G225)/G225)</f>
        <v>#DIV/0!</v>
      </c>
      <c r="T225" s="57" t="e">
        <f t="shared" ref="T225" si="143">((O225-H225)/H225)</f>
        <v>#DIV/0!</v>
      </c>
      <c r="U225" s="57">
        <f t="shared" ref="U225" si="144">P225-I225</f>
        <v>1.04E-2</v>
      </c>
      <c r="V225" s="58">
        <f t="shared" ref="V225" si="145">Q225-J225</f>
        <v>3.2000000000000002E-3</v>
      </c>
    </row>
    <row r="226" spans="1:22" ht="14.4" customHeight="1">
      <c r="A226" s="164">
        <v>2</v>
      </c>
      <c r="B226" s="165" t="s">
        <v>252</v>
      </c>
      <c r="C226" s="166" t="s">
        <v>188</v>
      </c>
      <c r="D226" s="29">
        <v>4273921261.3794274</v>
      </c>
      <c r="E226" s="30">
        <f t="shared" ref="E226" si="146">(D226/$D$221)</f>
        <v>7.3548281713116601E-2</v>
      </c>
      <c r="F226" s="35">
        <v>123.2</v>
      </c>
      <c r="G226" s="35">
        <v>123.2</v>
      </c>
      <c r="H226" s="32">
        <v>9</v>
      </c>
      <c r="I226" s="50">
        <v>0.29636714568596606</v>
      </c>
      <c r="J226" s="50">
        <v>0.22306116304714133</v>
      </c>
      <c r="K226" s="29">
        <v>4240486292.6557317</v>
      </c>
      <c r="L226" s="30">
        <f>(K226/$K$229)</f>
        <v>0.26448958658231442</v>
      </c>
      <c r="M226" s="35">
        <v>123.2</v>
      </c>
      <c r="N226" s="35">
        <v>123.2</v>
      </c>
      <c r="O226" s="32">
        <v>9</v>
      </c>
      <c r="P226" s="50">
        <v>0.29110507089752263</v>
      </c>
      <c r="Q226" s="50">
        <v>0.22062329497568711</v>
      </c>
      <c r="R226" s="57">
        <f t="shared" ref="R226" si="147">((K226-D226)/D226)</f>
        <v>-7.823019348958354E-3</v>
      </c>
      <c r="S226" s="57">
        <f t="shared" ref="S226" si="148">((N226-G226)/G226)</f>
        <v>0</v>
      </c>
      <c r="T226" s="57">
        <f t="shared" ref="T226" si="149">((O226-H226)/H226)</f>
        <v>0</v>
      </c>
      <c r="U226" s="57">
        <f t="shared" ref="U226" si="150">P226-I226</f>
        <v>-5.2620747884434271E-3</v>
      </c>
      <c r="V226" s="58">
        <f t="shared" ref="V226" si="151">Q226-J226</f>
        <v>-2.4378680714542134E-3</v>
      </c>
    </row>
    <row r="227" spans="1:22" ht="14.4" customHeight="1">
      <c r="A227" s="164">
        <v>3</v>
      </c>
      <c r="B227" s="165" t="s">
        <v>317</v>
      </c>
      <c r="C227" s="166" t="s">
        <v>31</v>
      </c>
      <c r="D227" s="29">
        <f>211052.17*1606</f>
        <v>338949785.02000004</v>
      </c>
      <c r="E227" s="30">
        <f t="shared" si="140"/>
        <v>5.8328576383752254E-3</v>
      </c>
      <c r="F227" s="35">
        <f>100.9*1606</f>
        <v>162045.40000000002</v>
      </c>
      <c r="G227" s="35">
        <f>100.9*1606</f>
        <v>162045.40000000002</v>
      </c>
      <c r="H227" s="32">
        <v>0</v>
      </c>
      <c r="I227" s="50">
        <v>1.1000000000000001E-3</v>
      </c>
      <c r="J227" s="50">
        <v>8.9999999999999993E-3</v>
      </c>
      <c r="K227" s="29">
        <f>211317.83*1607</f>
        <v>339587752.81</v>
      </c>
      <c r="L227" s="30">
        <f>(K227/$K$229)</f>
        <v>2.1180925523728845E-2</v>
      </c>
      <c r="M227" s="35">
        <f>101.02*1607</f>
        <v>162339.13999999998</v>
      </c>
      <c r="N227" s="35">
        <f>101.02*1607</f>
        <v>162339.13999999998</v>
      </c>
      <c r="O227" s="32">
        <v>0</v>
      </c>
      <c r="P227" s="50">
        <v>1.1999999999999999E-3</v>
      </c>
      <c r="Q227" s="50">
        <v>0</v>
      </c>
      <c r="R227" s="57">
        <f t="shared" ref="R227" si="152">((K227-D227)/D227)</f>
        <v>1.8821896876621946E-3</v>
      </c>
      <c r="S227" s="57">
        <f t="shared" ref="S227" si="153">((N227-G227)/G227)</f>
        <v>1.8127018724379807E-3</v>
      </c>
      <c r="T227" s="57" t="e">
        <f t="shared" ref="T227" si="154">((O227-H227)/H227)</f>
        <v>#DIV/0!</v>
      </c>
      <c r="U227" s="57">
        <f t="shared" ref="U227" si="155">P227-I227</f>
        <v>9.9999999999999829E-5</v>
      </c>
      <c r="V227" s="58">
        <f t="shared" ref="V227" si="156">Q227-J227</f>
        <v>-8.9999999999999993E-3</v>
      </c>
    </row>
    <row r="228" spans="1:22" ht="14.4" customHeight="1">
      <c r="A228" s="164">
        <v>4</v>
      </c>
      <c r="B228" s="165" t="s">
        <v>301</v>
      </c>
      <c r="C228" s="166" t="s">
        <v>41</v>
      </c>
      <c r="D228" s="29">
        <v>10706993873.639999</v>
      </c>
      <c r="E228" s="30">
        <f t="shared" ref="E228" si="157">(D228/$D$221)</f>
        <v>0.18425257592717681</v>
      </c>
      <c r="F228" s="35">
        <v>1.03</v>
      </c>
      <c r="G228" s="35">
        <v>1.03</v>
      </c>
      <c r="H228" s="32">
        <v>16</v>
      </c>
      <c r="I228" s="50">
        <v>5.1000000000000004E-3</v>
      </c>
      <c r="J228" s="50">
        <v>-4.2000000000000003E-2</v>
      </c>
      <c r="K228" s="29">
        <v>10782449562.200001</v>
      </c>
      <c r="L228" s="30">
        <f>(K228/$K$229)</f>
        <v>0.67252796736783726</v>
      </c>
      <c r="M228" s="35">
        <v>1.03</v>
      </c>
      <c r="N228" s="35">
        <v>1.03</v>
      </c>
      <c r="O228" s="32">
        <v>16</v>
      </c>
      <c r="P228" s="50">
        <v>7.0000000000000001E-3</v>
      </c>
      <c r="Q228" s="50">
        <v>-2.01E-2</v>
      </c>
      <c r="R228" s="57">
        <f t="shared" ref="R228:R229" si="158">((K228-D228)/D228)</f>
        <v>7.0473271443415057E-3</v>
      </c>
      <c r="S228" s="57">
        <f t="shared" ref="S228" si="159">((N228-G228)/G228)</f>
        <v>0</v>
      </c>
      <c r="T228" s="57">
        <f t="shared" ref="T228" si="160">((O228-H228)/H228)</f>
        <v>0</v>
      </c>
      <c r="U228" s="57">
        <f t="shared" ref="U228" si="161">P228-I228</f>
        <v>1.8999999999999998E-3</v>
      </c>
      <c r="V228" s="58">
        <f t="shared" ref="V228" si="162">Q228-J228</f>
        <v>2.1900000000000003E-2</v>
      </c>
    </row>
    <row r="229" spans="1:22" ht="14.4" customHeight="1">
      <c r="A229" s="90"/>
      <c r="B229" s="90"/>
      <c r="C229" s="90" t="s">
        <v>53</v>
      </c>
      <c r="D229" s="90">
        <f>SUM(D225:D228)</f>
        <v>15319864920.039427</v>
      </c>
      <c r="E229" s="90"/>
      <c r="F229" s="90"/>
      <c r="G229" s="90"/>
      <c r="H229" s="90">
        <f>SUM(H225:H228)</f>
        <v>25</v>
      </c>
      <c r="I229" s="90"/>
      <c r="J229" s="90"/>
      <c r="K229" s="90">
        <f>SUM(K225:K228)</f>
        <v>16032715493.454817</v>
      </c>
      <c r="L229" s="40"/>
      <c r="M229" s="90"/>
      <c r="N229" s="90"/>
      <c r="O229" s="90">
        <f>SUM(O225:O228)</f>
        <v>37</v>
      </c>
      <c r="P229" s="90"/>
      <c r="Q229" s="90"/>
      <c r="R229" s="118">
        <f t="shared" si="158"/>
        <v>4.6531126556013748E-2</v>
      </c>
      <c r="S229" s="90"/>
      <c r="T229" s="90"/>
      <c r="U229" s="90"/>
      <c r="V229" s="90"/>
    </row>
    <row r="230" spans="1:22" ht="6" customHeight="1">
      <c r="A230" s="36"/>
      <c r="B230" s="133"/>
      <c r="C230" s="71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37"/>
    </row>
    <row r="231" spans="1:22" ht="15.6">
      <c r="A231" s="182" t="s">
        <v>253</v>
      </c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</row>
    <row r="232" spans="1:22">
      <c r="A232" s="164">
        <v>1</v>
      </c>
      <c r="B232" s="165" t="s">
        <v>254</v>
      </c>
      <c r="C232" s="166" t="s">
        <v>255</v>
      </c>
      <c r="D232" s="29">
        <v>117431274879</v>
      </c>
      <c r="E232" s="30">
        <f>(D232/$D$234)</f>
        <v>0.89598445605359511</v>
      </c>
      <c r="F232" s="60">
        <v>111.28</v>
      </c>
      <c r="G232" s="60">
        <v>111.28</v>
      </c>
      <c r="H232" s="32">
        <v>0</v>
      </c>
      <c r="I232" s="50">
        <v>0.23899999999999999</v>
      </c>
      <c r="J232" s="50">
        <v>0.23899999999999999</v>
      </c>
      <c r="K232" s="29">
        <v>117431274879</v>
      </c>
      <c r="L232" s="30">
        <f>(K232/$K$234)</f>
        <v>0.89562303334429627</v>
      </c>
      <c r="M232" s="60">
        <v>111.28</v>
      </c>
      <c r="N232" s="60">
        <v>111.28</v>
      </c>
      <c r="O232" s="32">
        <v>0</v>
      </c>
      <c r="P232" s="50">
        <v>0.23899999999999999</v>
      </c>
      <c r="Q232" s="50">
        <v>0.23899999999999999</v>
      </c>
      <c r="R232" s="57">
        <f>((K232-D232)/D232)</f>
        <v>0</v>
      </c>
      <c r="S232" s="57">
        <f>((N232-G232)/G232)</f>
        <v>0</v>
      </c>
      <c r="T232" s="57" t="e">
        <f>((O232-H232)/H232)</f>
        <v>#DIV/0!</v>
      </c>
      <c r="U232" s="57">
        <f>P232-I232</f>
        <v>0</v>
      </c>
      <c r="V232" s="58">
        <f>Q232-J232</f>
        <v>0</v>
      </c>
    </row>
    <row r="233" spans="1:22">
      <c r="A233" s="164">
        <v>2</v>
      </c>
      <c r="B233" s="165" t="s">
        <v>256</v>
      </c>
      <c r="C233" s="166" t="s">
        <v>52</v>
      </c>
      <c r="D233" s="29">
        <v>13632689552.07</v>
      </c>
      <c r="E233" s="30">
        <f>(D233/$D$234)</f>
        <v>0.10401554394640482</v>
      </c>
      <c r="F233" s="91">
        <v>1000000</v>
      </c>
      <c r="G233" s="91">
        <v>1000000</v>
      </c>
      <c r="H233" s="32">
        <v>26</v>
      </c>
      <c r="I233" s="50">
        <v>0.221</v>
      </c>
      <c r="J233" s="50" t="s">
        <v>315</v>
      </c>
      <c r="K233" s="29">
        <v>13685579541.889999</v>
      </c>
      <c r="L233" s="30">
        <f>(K233/$K$234)</f>
        <v>0.10437696665570376</v>
      </c>
      <c r="M233" s="91">
        <v>1000000</v>
      </c>
      <c r="N233" s="91">
        <v>1000000</v>
      </c>
      <c r="O233" s="32">
        <v>26</v>
      </c>
      <c r="P233" s="50">
        <v>0.22090000000000001</v>
      </c>
      <c r="Q233" s="50">
        <v>0.22090000000000001</v>
      </c>
      <c r="R233" s="57">
        <f>((K233-D233)/D233)</f>
        <v>3.8796445571496808E-3</v>
      </c>
      <c r="S233" s="57">
        <f>((N233-G233)/G233)</f>
        <v>0</v>
      </c>
      <c r="T233" s="57">
        <f>((O233-H233)/H233)</f>
        <v>0</v>
      </c>
      <c r="U233" s="57">
        <f>P233-I233</f>
        <v>-9.9999999999988987E-5</v>
      </c>
      <c r="V233" s="58" t="e">
        <f>Q233-J233</f>
        <v>#VALUE!</v>
      </c>
    </row>
    <row r="234" spans="1:22">
      <c r="A234" s="85"/>
      <c r="B234" s="85"/>
      <c r="C234" s="86" t="s">
        <v>257</v>
      </c>
      <c r="D234" s="90">
        <f>SUM(D232:D233)</f>
        <v>131063964431.07001</v>
      </c>
      <c r="E234" s="92"/>
      <c r="F234" s="93"/>
      <c r="G234" s="93"/>
      <c r="H234" s="90">
        <f>SUM(H232:H233)</f>
        <v>26</v>
      </c>
      <c r="I234" s="113"/>
      <c r="J234" s="113"/>
      <c r="K234" s="90">
        <f>SUM(K232:K233)</f>
        <v>131116854420.89</v>
      </c>
      <c r="L234" s="92"/>
      <c r="M234" s="93"/>
      <c r="N234" s="93"/>
      <c r="O234" s="90">
        <f>SUM(O232:O233)</f>
        <v>26</v>
      </c>
      <c r="P234" s="113"/>
      <c r="Q234" s="90"/>
      <c r="R234" s="118">
        <f>((K234-D234)/D234)</f>
        <v>4.0354333893057465E-4</v>
      </c>
      <c r="S234" s="119"/>
      <c r="T234" s="119"/>
      <c r="U234" s="118"/>
      <c r="V234" s="120"/>
    </row>
    <row r="235" spans="1:22" ht="4.5" customHeight="1">
      <c r="A235" s="36"/>
      <c r="B235" s="184"/>
      <c r="C235" s="184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</row>
    <row r="236" spans="1:22" ht="15.6">
      <c r="A236" s="182" t="s">
        <v>258</v>
      </c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</row>
    <row r="237" spans="1:22">
      <c r="A237" s="164">
        <v>1</v>
      </c>
      <c r="B237" s="165" t="s">
        <v>259</v>
      </c>
      <c r="C237" s="166" t="s">
        <v>82</v>
      </c>
      <c r="D237" s="94">
        <v>1012212655.2</v>
      </c>
      <c r="E237" s="95">
        <f t="shared" ref="E237:E248" si="163">(D237/$D$249)</f>
        <v>7.4624787779981841E-2</v>
      </c>
      <c r="F237" s="91">
        <v>247.33</v>
      </c>
      <c r="G237" s="91">
        <v>247.33</v>
      </c>
      <c r="H237" s="96">
        <v>266</v>
      </c>
      <c r="I237" s="52">
        <v>1.0954424688330189E-2</v>
      </c>
      <c r="J237" s="52">
        <v>7.8442487137001971E-2</v>
      </c>
      <c r="K237" s="94">
        <v>1040649717.97</v>
      </c>
      <c r="L237" s="95">
        <f t="shared" ref="L237:L248" si="164">(K237/$K$249)</f>
        <v>7.4901259628205152E-2</v>
      </c>
      <c r="M237" s="91">
        <v>254.27</v>
      </c>
      <c r="N237" s="91">
        <v>254.27</v>
      </c>
      <c r="O237" s="96">
        <v>266</v>
      </c>
      <c r="P237" s="52">
        <v>2.8059677354142165E-2</v>
      </c>
      <c r="Q237" s="52">
        <v>0.10870323537106485</v>
      </c>
      <c r="R237" s="57">
        <f>((K237-D237)/D237)</f>
        <v>2.8093960912177279E-2</v>
      </c>
      <c r="S237" s="57">
        <f>((N237-G237)/G237)</f>
        <v>2.8059677354142228E-2</v>
      </c>
      <c r="T237" s="57">
        <f>((O237-H237)/H237)</f>
        <v>0</v>
      </c>
      <c r="U237" s="57">
        <f>P237-I237</f>
        <v>1.7105252665811976E-2</v>
      </c>
      <c r="V237" s="58">
        <f>Q237-J237</f>
        <v>3.0260748234062884E-2</v>
      </c>
    </row>
    <row r="238" spans="1:22">
      <c r="A238" s="164">
        <v>2</v>
      </c>
      <c r="B238" s="165" t="s">
        <v>260</v>
      </c>
      <c r="C238" s="166" t="s">
        <v>232</v>
      </c>
      <c r="D238" s="94">
        <v>1150601183</v>
      </c>
      <c r="E238" s="95">
        <f t="shared" si="163"/>
        <v>8.482740129721611E-2</v>
      </c>
      <c r="F238" s="91">
        <v>32.729999999999997</v>
      </c>
      <c r="G238" s="91">
        <v>36.159999999999997</v>
      </c>
      <c r="H238" s="96">
        <v>230</v>
      </c>
      <c r="I238" s="52">
        <v>-9.1999999999999998E-3</v>
      </c>
      <c r="J238" s="52">
        <v>6.7500000000000004E-2</v>
      </c>
      <c r="K238" s="94">
        <v>1211300769.21</v>
      </c>
      <c r="L238" s="95">
        <f t="shared" si="164"/>
        <v>8.7183950406892183E-2</v>
      </c>
      <c r="M238" s="91">
        <v>34.450000000000003</v>
      </c>
      <c r="N238" s="91">
        <v>38.08</v>
      </c>
      <c r="O238" s="96">
        <v>230</v>
      </c>
      <c r="P238" s="52">
        <v>5.28E-2</v>
      </c>
      <c r="Q238" s="52">
        <v>0.12379999999999999</v>
      </c>
      <c r="R238" s="57">
        <f t="shared" ref="R238:R249" si="165">((K238-D238)/D238)</f>
        <v>5.2754670433882246E-2</v>
      </c>
      <c r="S238" s="57">
        <f t="shared" ref="S238:S249" si="166">((N238-G238)/G238)</f>
        <v>5.3097345132743418E-2</v>
      </c>
      <c r="T238" s="57">
        <f t="shared" ref="T238:T249" si="167">((O238-H238)/H238)</f>
        <v>0</v>
      </c>
      <c r="U238" s="57">
        <f t="shared" ref="U238:U249" si="168">P238-I238</f>
        <v>6.2E-2</v>
      </c>
      <c r="V238" s="58">
        <f t="shared" ref="V238:V249" si="169">Q238-J238</f>
        <v>5.6299999999999989E-2</v>
      </c>
    </row>
    <row r="239" spans="1:22">
      <c r="A239" s="164">
        <v>3</v>
      </c>
      <c r="B239" s="165" t="s">
        <v>261</v>
      </c>
      <c r="C239" s="166" t="s">
        <v>43</v>
      </c>
      <c r="D239" s="94">
        <v>405953456.03000003</v>
      </c>
      <c r="E239" s="95">
        <f t="shared" si="163"/>
        <v>2.9928681832972343E-2</v>
      </c>
      <c r="F239" s="91">
        <v>30.288492999999999</v>
      </c>
      <c r="G239" s="91">
        <v>30.536874999999998</v>
      </c>
      <c r="H239" s="96">
        <v>167</v>
      </c>
      <c r="I239" s="52">
        <v>2.9871824027153826E-2</v>
      </c>
      <c r="J239" s="52">
        <v>5.9131356159161985E-2</v>
      </c>
      <c r="K239" s="94">
        <v>407994385.77999997</v>
      </c>
      <c r="L239" s="95">
        <f t="shared" si="164"/>
        <v>2.9365590446485696E-2</v>
      </c>
      <c r="M239" s="91">
        <v>30.440769</v>
      </c>
      <c r="N239" s="91">
        <v>30.739346999999999</v>
      </c>
      <c r="O239" s="96">
        <v>167</v>
      </c>
      <c r="P239" s="52">
        <v>5.0274969203589759E-3</v>
      </c>
      <c r="Q239" s="52">
        <v>6.4456135790507796E-2</v>
      </c>
      <c r="R239" s="57">
        <f t="shared" si="165"/>
        <v>5.0274969203590557E-3</v>
      </c>
      <c r="S239" s="57">
        <f t="shared" si="166"/>
        <v>6.6304099551771495E-3</v>
      </c>
      <c r="T239" s="57">
        <f t="shared" si="167"/>
        <v>0</v>
      </c>
      <c r="U239" s="57">
        <f t="shared" si="168"/>
        <v>-2.484432710679485E-2</v>
      </c>
      <c r="V239" s="58">
        <f t="shared" si="169"/>
        <v>5.3247796313458107E-3</v>
      </c>
    </row>
    <row r="240" spans="1:22">
      <c r="A240" s="164">
        <v>4</v>
      </c>
      <c r="B240" s="165" t="s">
        <v>262</v>
      </c>
      <c r="C240" s="166" t="s">
        <v>43</v>
      </c>
      <c r="D240" s="94">
        <v>885147553.22000003</v>
      </c>
      <c r="E240" s="95">
        <f t="shared" si="163"/>
        <v>6.5256987228598989E-2</v>
      </c>
      <c r="F240" s="91">
        <v>66.420147999999998</v>
      </c>
      <c r="G240" s="91">
        <v>66.696617000000003</v>
      </c>
      <c r="H240" s="96">
        <v>460</v>
      </c>
      <c r="I240" s="52">
        <v>4.209662968324368E-3</v>
      </c>
      <c r="J240" s="52">
        <v>1.2354597869141948E-3</v>
      </c>
      <c r="K240" s="94">
        <v>891625834.88999999</v>
      </c>
      <c r="L240" s="95">
        <f t="shared" si="164"/>
        <v>6.4175194589574963E-2</v>
      </c>
      <c r="M240" s="91">
        <v>66.906267999999997</v>
      </c>
      <c r="N240" s="91">
        <v>67.240720999999994</v>
      </c>
      <c r="O240" s="96">
        <v>460</v>
      </c>
      <c r="P240" s="52">
        <v>7.3188720303560828E-3</v>
      </c>
      <c r="Q240" s="52">
        <v>8.5633739893491434E-3</v>
      </c>
      <c r="R240" s="57">
        <f t="shared" si="165"/>
        <v>7.3188720303560568E-3</v>
      </c>
      <c r="S240" s="57">
        <f t="shared" si="166"/>
        <v>8.157895024870453E-3</v>
      </c>
      <c r="T240" s="57">
        <f t="shared" si="167"/>
        <v>0</v>
      </c>
      <c r="U240" s="57">
        <f t="shared" si="168"/>
        <v>3.1092090620317148E-3</v>
      </c>
      <c r="V240" s="58">
        <f t="shared" si="169"/>
        <v>7.3279142024349486E-3</v>
      </c>
    </row>
    <row r="241" spans="1:26">
      <c r="A241" s="164">
        <v>5</v>
      </c>
      <c r="B241" s="165" t="s">
        <v>263</v>
      </c>
      <c r="C241" s="166" t="s">
        <v>264</v>
      </c>
      <c r="D241" s="94">
        <v>1627620913.9100001</v>
      </c>
      <c r="E241" s="95">
        <f t="shared" si="163"/>
        <v>0.11999540280673013</v>
      </c>
      <c r="F241" s="91">
        <v>47380</v>
      </c>
      <c r="G241" s="91">
        <v>50900</v>
      </c>
      <c r="H241" s="96">
        <v>228</v>
      </c>
      <c r="I241" s="52">
        <v>-1.0999999999999999E-2</v>
      </c>
      <c r="J241" s="52">
        <v>0.28999999999999998</v>
      </c>
      <c r="K241" s="94">
        <v>1669833928.47</v>
      </c>
      <c r="L241" s="95">
        <f t="shared" si="164"/>
        <v>0.12018709317127094</v>
      </c>
      <c r="M241" s="91">
        <v>46500</v>
      </c>
      <c r="N241" s="91">
        <v>49980</v>
      </c>
      <c r="O241" s="96">
        <v>236</v>
      </c>
      <c r="P241" s="52">
        <v>2.5999999999999999E-2</v>
      </c>
      <c r="Q241" s="52">
        <v>0.33</v>
      </c>
      <c r="R241" s="57">
        <f t="shared" si="165"/>
        <v>2.5935409283106649E-2</v>
      </c>
      <c r="S241" s="57">
        <f t="shared" si="166"/>
        <v>-1.8074656188605109E-2</v>
      </c>
      <c r="T241" s="57">
        <f t="shared" si="167"/>
        <v>3.5087719298245612E-2</v>
      </c>
      <c r="U241" s="57">
        <f t="shared" si="168"/>
        <v>3.6999999999999998E-2</v>
      </c>
      <c r="V241" s="58">
        <f t="shared" si="169"/>
        <v>4.0000000000000036E-2</v>
      </c>
    </row>
    <row r="242" spans="1:26">
      <c r="A242" s="164">
        <v>6</v>
      </c>
      <c r="B242" s="165" t="s">
        <v>265</v>
      </c>
      <c r="C242" s="166" t="s">
        <v>266</v>
      </c>
      <c r="D242" s="94">
        <v>1067327817.59</v>
      </c>
      <c r="E242" s="95">
        <f t="shared" si="163"/>
        <v>7.8688120989346147E-2</v>
      </c>
      <c r="F242" s="91">
        <v>270</v>
      </c>
      <c r="G242" s="91">
        <v>270</v>
      </c>
      <c r="H242" s="96">
        <v>145</v>
      </c>
      <c r="I242" s="52">
        <v>4.3700000000000003E-2</v>
      </c>
      <c r="J242" s="52">
        <v>8.09E-2</v>
      </c>
      <c r="K242" s="94">
        <v>1102890373.95</v>
      </c>
      <c r="L242" s="95">
        <f t="shared" si="164"/>
        <v>7.9381060518443E-2</v>
      </c>
      <c r="M242" s="91">
        <v>270</v>
      </c>
      <c r="N242" s="91">
        <v>270</v>
      </c>
      <c r="O242" s="96">
        <v>145</v>
      </c>
      <c r="P242" s="52">
        <v>3.3300000000000003E-2</v>
      </c>
      <c r="Q242" s="52">
        <v>0.13830000000000001</v>
      </c>
      <c r="R242" s="57">
        <f t="shared" si="165"/>
        <v>3.3319244353903744E-2</v>
      </c>
      <c r="S242" s="57">
        <f t="shared" si="166"/>
        <v>0</v>
      </c>
      <c r="T242" s="57">
        <f t="shared" si="167"/>
        <v>0</v>
      </c>
      <c r="U242" s="57">
        <f t="shared" si="168"/>
        <v>-1.04E-2</v>
      </c>
      <c r="V242" s="58">
        <f t="shared" si="169"/>
        <v>5.7400000000000007E-2</v>
      </c>
    </row>
    <row r="243" spans="1:26">
      <c r="A243" s="164">
        <v>7</v>
      </c>
      <c r="B243" s="165" t="s">
        <v>267</v>
      </c>
      <c r="C243" s="166" t="s">
        <v>266</v>
      </c>
      <c r="D243" s="94">
        <v>872397722.13</v>
      </c>
      <c r="E243" s="95">
        <f t="shared" si="163"/>
        <v>6.4317013365958561E-2</v>
      </c>
      <c r="F243" s="91">
        <v>322</v>
      </c>
      <c r="G243" s="91">
        <v>322</v>
      </c>
      <c r="H243" s="96">
        <v>645</v>
      </c>
      <c r="I243" s="52">
        <v>9.4000000000000004E-3</v>
      </c>
      <c r="J243" s="52">
        <v>4.2000000000000003E-2</v>
      </c>
      <c r="K243" s="94">
        <v>888513374.72000003</v>
      </c>
      <c r="L243" s="95">
        <f t="shared" si="164"/>
        <v>6.3951173784831589E-2</v>
      </c>
      <c r="M243" s="91">
        <v>321.39999999999998</v>
      </c>
      <c r="N243" s="91">
        <v>321.39999999999998</v>
      </c>
      <c r="O243" s="96">
        <v>645</v>
      </c>
      <c r="P243" s="52">
        <v>1.8499999999999999E-2</v>
      </c>
      <c r="Q243" s="52">
        <v>6.0999999999999999E-2</v>
      </c>
      <c r="R243" s="57">
        <f t="shared" si="165"/>
        <v>1.8472827451512495E-2</v>
      </c>
      <c r="S243" s="57">
        <f t="shared" si="166"/>
        <v>-1.8633540372671514E-3</v>
      </c>
      <c r="T243" s="57">
        <f t="shared" si="167"/>
        <v>0</v>
      </c>
      <c r="U243" s="57">
        <f t="shared" si="168"/>
        <v>9.0999999999999987E-3</v>
      </c>
      <c r="V243" s="58">
        <f t="shared" si="169"/>
        <v>1.8999999999999996E-2</v>
      </c>
    </row>
    <row r="244" spans="1:26">
      <c r="A244" s="164">
        <v>8</v>
      </c>
      <c r="B244" s="165" t="s">
        <v>268</v>
      </c>
      <c r="C244" s="166" t="s">
        <v>269</v>
      </c>
      <c r="D244" s="94">
        <v>70418754.269999996</v>
      </c>
      <c r="E244" s="95">
        <f t="shared" si="163"/>
        <v>5.1915815971408921E-3</v>
      </c>
      <c r="F244" s="91">
        <v>20.41</v>
      </c>
      <c r="G244" s="91">
        <v>20.51</v>
      </c>
      <c r="H244" s="96">
        <v>86</v>
      </c>
      <c r="I244" s="52">
        <v>0</v>
      </c>
      <c r="J244" s="52">
        <v>0.15409999999999999</v>
      </c>
      <c r="K244" s="94">
        <v>74271598.780000001</v>
      </c>
      <c r="L244" s="95">
        <f t="shared" si="164"/>
        <v>5.3457337345696916E-3</v>
      </c>
      <c r="M244" s="91">
        <v>21.51</v>
      </c>
      <c r="N244" s="91">
        <v>21.61</v>
      </c>
      <c r="O244" s="96">
        <v>88</v>
      </c>
      <c r="P244" s="52">
        <v>-4.2799999999999998E-2</v>
      </c>
      <c r="Q244" s="52">
        <v>0.1047</v>
      </c>
      <c r="R244" s="57">
        <f t="shared" si="165"/>
        <v>5.4713329565976222E-2</v>
      </c>
      <c r="S244" s="57">
        <f t="shared" si="166"/>
        <v>5.3632374451486969E-2</v>
      </c>
      <c r="T244" s="57">
        <f t="shared" si="167"/>
        <v>2.3255813953488372E-2</v>
      </c>
      <c r="U244" s="57">
        <f t="shared" si="168"/>
        <v>-4.2799999999999998E-2</v>
      </c>
      <c r="V244" s="58">
        <f t="shared" si="169"/>
        <v>-4.9399999999999986E-2</v>
      </c>
    </row>
    <row r="245" spans="1:26">
      <c r="A245" s="164">
        <v>9</v>
      </c>
      <c r="B245" s="165" t="s">
        <v>270</v>
      </c>
      <c r="C245" s="166" t="s">
        <v>269</v>
      </c>
      <c r="D245" s="97">
        <v>735334090.20000005</v>
      </c>
      <c r="E245" s="95">
        <f t="shared" si="163"/>
        <v>5.421207702418876E-2</v>
      </c>
      <c r="F245" s="91">
        <v>11.2</v>
      </c>
      <c r="G245" s="91">
        <v>11.3</v>
      </c>
      <c r="H245" s="96">
        <v>128</v>
      </c>
      <c r="I245" s="52">
        <v>0</v>
      </c>
      <c r="J245" s="52">
        <v>0.1651</v>
      </c>
      <c r="K245" s="97">
        <v>758196056.28999996</v>
      </c>
      <c r="L245" s="95">
        <f t="shared" si="164"/>
        <v>5.4571522656094808E-2</v>
      </c>
      <c r="M245" s="91">
        <v>11.55</v>
      </c>
      <c r="N245" s="91">
        <v>11.65</v>
      </c>
      <c r="O245" s="96">
        <v>129</v>
      </c>
      <c r="P245" s="52">
        <v>-7.0900000000000005E-2</v>
      </c>
      <c r="Q245" s="52">
        <v>8.2600000000000007E-2</v>
      </c>
      <c r="R245" s="57">
        <f t="shared" si="165"/>
        <v>3.1090583715195085E-2</v>
      </c>
      <c r="S245" s="57">
        <f t="shared" si="166"/>
        <v>3.0973451327433597E-2</v>
      </c>
      <c r="T245" s="57">
        <f t="shared" si="167"/>
        <v>7.8125E-3</v>
      </c>
      <c r="U245" s="57">
        <f t="shared" si="168"/>
        <v>-7.0900000000000005E-2</v>
      </c>
      <c r="V245" s="58">
        <f t="shared" si="169"/>
        <v>-8.249999999999999E-2</v>
      </c>
    </row>
    <row r="246" spans="1:26" ht="15" customHeight="1">
      <c r="A246" s="164">
        <v>10</v>
      </c>
      <c r="B246" s="165" t="s">
        <v>271</v>
      </c>
      <c r="C246" s="166" t="s">
        <v>269</v>
      </c>
      <c r="D246" s="94">
        <v>95989515.760000005</v>
      </c>
      <c r="E246" s="95">
        <f t="shared" si="163"/>
        <v>7.0767710775932434E-3</v>
      </c>
      <c r="F246" s="91">
        <v>131.19999999999999</v>
      </c>
      <c r="G246" s="91">
        <v>133.19999999999999</v>
      </c>
      <c r="H246" s="96">
        <v>305</v>
      </c>
      <c r="I246" s="52">
        <v>0</v>
      </c>
      <c r="J246" s="52">
        <v>0.22439999999999999</v>
      </c>
      <c r="K246" s="94">
        <v>95943077.409999996</v>
      </c>
      <c r="L246" s="95">
        <f t="shared" si="164"/>
        <v>6.9055487418318408E-3</v>
      </c>
      <c r="M246" s="91">
        <v>131.13999999999999</v>
      </c>
      <c r="N246" s="91">
        <v>133.13999999999999</v>
      </c>
      <c r="O246" s="96">
        <v>305</v>
      </c>
      <c r="P246" s="52">
        <v>-0.1173</v>
      </c>
      <c r="Q246" s="52">
        <v>8.0799999999999997E-2</v>
      </c>
      <c r="R246" s="57">
        <f t="shared" si="165"/>
        <v>-4.837856471337713E-4</v>
      </c>
      <c r="S246" s="57">
        <f t="shared" si="166"/>
        <v>-4.5045045045046753E-4</v>
      </c>
      <c r="T246" s="57">
        <f t="shared" si="167"/>
        <v>0</v>
      </c>
      <c r="U246" s="57">
        <f t="shared" si="168"/>
        <v>-0.1173</v>
      </c>
      <c r="V246" s="58">
        <f t="shared" si="169"/>
        <v>-0.14360000000000001</v>
      </c>
    </row>
    <row r="247" spans="1:26">
      <c r="A247" s="164">
        <v>11</v>
      </c>
      <c r="B247" s="165" t="s">
        <v>272</v>
      </c>
      <c r="C247" s="166" t="s">
        <v>269</v>
      </c>
      <c r="D247" s="94">
        <v>5582403432.25</v>
      </c>
      <c r="E247" s="95">
        <f t="shared" si="163"/>
        <v>0.41155943792422406</v>
      </c>
      <c r="F247" s="91">
        <v>39.619999999999997</v>
      </c>
      <c r="G247" s="91">
        <v>39.82</v>
      </c>
      <c r="H247" s="96">
        <v>296</v>
      </c>
      <c r="I247" s="52">
        <v>-1.7399999999999999E-2</v>
      </c>
      <c r="J247" s="52">
        <v>5.0500000000000003E-2</v>
      </c>
      <c r="K247" s="94">
        <v>5693070034.8800001</v>
      </c>
      <c r="L247" s="95">
        <f t="shared" si="164"/>
        <v>0.40976143019182049</v>
      </c>
      <c r="M247" s="91">
        <v>40.4</v>
      </c>
      <c r="N247" s="91">
        <v>40.6</v>
      </c>
      <c r="O247" s="96">
        <v>301</v>
      </c>
      <c r="P247" s="52">
        <v>1.77E-2</v>
      </c>
      <c r="Q247" s="52">
        <v>6.9099999999999995E-2</v>
      </c>
      <c r="R247" s="57">
        <f t="shared" si="165"/>
        <v>1.9824185760325047E-2</v>
      </c>
      <c r="S247" s="57">
        <f t="shared" si="166"/>
        <v>1.9588146659969892E-2</v>
      </c>
      <c r="T247" s="57">
        <f t="shared" si="167"/>
        <v>1.6891891891891893E-2</v>
      </c>
      <c r="U247" s="57">
        <f t="shared" si="168"/>
        <v>3.5099999999999999E-2</v>
      </c>
      <c r="V247" s="58">
        <f t="shared" si="169"/>
        <v>1.8599999999999992E-2</v>
      </c>
    </row>
    <row r="248" spans="1:26">
      <c r="A248" s="164">
        <v>12</v>
      </c>
      <c r="B248" s="165" t="s">
        <v>273</v>
      </c>
      <c r="C248" s="166" t="s">
        <v>269</v>
      </c>
      <c r="D248" s="97">
        <v>58620159.479999997</v>
      </c>
      <c r="E248" s="95">
        <f t="shared" si="163"/>
        <v>4.3217370760488495E-3</v>
      </c>
      <c r="F248" s="91">
        <v>33.57</v>
      </c>
      <c r="G248" s="91">
        <v>33.770000000000003</v>
      </c>
      <c r="H248" s="96">
        <v>76</v>
      </c>
      <c r="I248" s="52">
        <v>9.7000000000000003E-3</v>
      </c>
      <c r="J248" s="52">
        <v>-7.1999999999999998E-3</v>
      </c>
      <c r="K248" s="97">
        <v>59331904.700000003</v>
      </c>
      <c r="L248" s="95">
        <f t="shared" si="164"/>
        <v>4.2704421299797424E-3</v>
      </c>
      <c r="M248" s="91">
        <v>33.94</v>
      </c>
      <c r="N248" s="91">
        <v>34.14</v>
      </c>
      <c r="O248" s="96">
        <v>78</v>
      </c>
      <c r="P248" s="52">
        <v>9.7000000000000003E-3</v>
      </c>
      <c r="Q248" s="52">
        <v>-7.1999999999999998E-3</v>
      </c>
      <c r="R248" s="57">
        <f t="shared" si="165"/>
        <v>1.2141645916927934E-2</v>
      </c>
      <c r="S248" s="57">
        <f t="shared" si="166"/>
        <v>1.0956470239857786E-2</v>
      </c>
      <c r="T248" s="57">
        <f t="shared" si="167"/>
        <v>2.6315789473684209E-2</v>
      </c>
      <c r="U248" s="57">
        <f t="shared" si="168"/>
        <v>0</v>
      </c>
      <c r="V248" s="58">
        <f t="shared" si="169"/>
        <v>0</v>
      </c>
    </row>
    <row r="249" spans="1:26">
      <c r="A249" s="129"/>
      <c r="B249" s="129"/>
      <c r="C249" s="130" t="s">
        <v>274</v>
      </c>
      <c r="D249" s="90">
        <f>SUM(D237:D248)</f>
        <v>13564027253.040001</v>
      </c>
      <c r="E249" s="92"/>
      <c r="F249" s="92"/>
      <c r="G249" s="93"/>
      <c r="H249" s="90">
        <f>SUM(H237:H248)</f>
        <v>3032</v>
      </c>
      <c r="I249" s="113"/>
      <c r="J249" s="113"/>
      <c r="K249" s="90">
        <f>SUM(K237:K248)</f>
        <v>13893621057.049999</v>
      </c>
      <c r="L249" s="92"/>
      <c r="M249" s="92"/>
      <c r="N249" s="93"/>
      <c r="O249" s="90">
        <f>SUM(O237:O248)</f>
        <v>3050</v>
      </c>
      <c r="P249" s="113"/>
      <c r="Q249" s="113"/>
      <c r="R249" s="57">
        <f t="shared" si="165"/>
        <v>2.4299111013370237E-2</v>
      </c>
      <c r="S249" s="57" t="e">
        <f t="shared" si="166"/>
        <v>#DIV/0!</v>
      </c>
      <c r="T249" s="57">
        <f t="shared" si="167"/>
        <v>5.9366754617414244E-3</v>
      </c>
      <c r="U249" s="57">
        <f t="shared" si="168"/>
        <v>0</v>
      </c>
      <c r="V249" s="58">
        <f t="shared" si="169"/>
        <v>0</v>
      </c>
      <c r="Z249" s="65"/>
    </row>
    <row r="250" spans="1:26">
      <c r="A250" s="98"/>
      <c r="B250" s="98"/>
      <c r="C250" s="99" t="s">
        <v>275</v>
      </c>
      <c r="D250" s="100">
        <f>SUM(D222,D229,D234,D249)</f>
        <v>5372366888901.501</v>
      </c>
      <c r="E250" s="101"/>
      <c r="F250" s="101"/>
      <c r="G250" s="102"/>
      <c r="H250" s="100">
        <f>SUM(H222,H229,H234,H249)</f>
        <v>880537</v>
      </c>
      <c r="I250" s="114"/>
      <c r="J250" s="114"/>
      <c r="K250" s="100">
        <f>SUM(K222,K229,K234,K249)</f>
        <v>5458746857878.4766</v>
      </c>
      <c r="L250" s="101"/>
      <c r="M250" s="101"/>
      <c r="N250" s="100"/>
      <c r="O250" s="100">
        <f>SUM(O222,O229,O234,O249)</f>
        <v>884068</v>
      </c>
      <c r="P250" s="115"/>
      <c r="Q250" s="100"/>
      <c r="R250" s="121"/>
      <c r="S250" s="122"/>
      <c r="T250" s="122"/>
      <c r="U250" s="123"/>
      <c r="V250" s="123"/>
      <c r="Z250" s="65"/>
    </row>
    <row r="251" spans="1:26">
      <c r="A251" s="103" t="s">
        <v>276</v>
      </c>
      <c r="B251" s="127" t="s">
        <v>322</v>
      </c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</row>
    <row r="252" spans="1:26">
      <c r="B252" s="126"/>
    </row>
    <row r="253" spans="1:26">
      <c r="B253" s="126"/>
      <c r="C253" s="105"/>
      <c r="D253" s="106"/>
      <c r="K253" s="106"/>
    </row>
    <row r="254" spans="1:26" ht="15">
      <c r="B254" s="107"/>
      <c r="C254" s="108"/>
      <c r="D254" s="109"/>
      <c r="F254" s="110"/>
      <c r="G254" s="110"/>
      <c r="I254" s="116"/>
      <c r="J254" s="117"/>
    </row>
    <row r="257" spans="2:2">
      <c r="B257" s="105"/>
    </row>
  </sheetData>
  <sheetProtection algorithmName="SHA-512" hashValue="rUVql2UYgH/RAN29df52uJ96H/kYDYEXOBrB29GF+dyKDYFzwWAQX4KPd6G/r+r374QoKg05ESR5xrrmEsZXnA==" saltValue="cOlKaaUJVS4hjYMdzL2Wjg==" spinCount="100000" sheet="1" objects="1" scenarios="1"/>
  <sortState ref="A150:C177">
    <sortCondition descending="1" ref="A149"/>
  </sortState>
  <mergeCells count="34">
    <mergeCell ref="A224:V224"/>
    <mergeCell ref="A231:V231"/>
    <mergeCell ref="B235:V235"/>
    <mergeCell ref="A236:V236"/>
    <mergeCell ref="B202:V202"/>
    <mergeCell ref="A203:V203"/>
    <mergeCell ref="B217:V217"/>
    <mergeCell ref="A218:V218"/>
    <mergeCell ref="B223:U223"/>
    <mergeCell ref="B191:V191"/>
    <mergeCell ref="A192:V192"/>
    <mergeCell ref="B197:V197"/>
    <mergeCell ref="A198:V198"/>
    <mergeCell ref="A199:V199"/>
    <mergeCell ref="A132:V132"/>
    <mergeCell ref="B151:V151"/>
    <mergeCell ref="A152:V152"/>
    <mergeCell ref="B159:V159"/>
    <mergeCell ref="A160:V160"/>
    <mergeCell ref="A72:V72"/>
    <mergeCell ref="B111:V111"/>
    <mergeCell ref="A112:V112"/>
    <mergeCell ref="A113:V113"/>
    <mergeCell ref="B131:V131"/>
    <mergeCell ref="B4:V4"/>
    <mergeCell ref="A5:V5"/>
    <mergeCell ref="B26:V26"/>
    <mergeCell ref="A27:V27"/>
    <mergeCell ref="B71:V71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6 E96 E77 L49 E49 L34 E34 L136 E136" formula="1"/>
    <ignoredError sqref="S158 S25 T39 S70 S110 S150 S190 S196 S221 S249 T232:T233 R50:T50 R136 T169 R125:T125 R46:T46" evalError="1"/>
    <ignoredError sqref="I122 P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I9" sqref="I9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6">
      <c r="A1" s="136"/>
      <c r="B1" s="136"/>
      <c r="C1" s="136"/>
      <c r="D1" s="136"/>
      <c r="E1" s="19"/>
      <c r="F1" s="15"/>
    </row>
    <row r="2" spans="1:6" ht="27.6">
      <c r="A2" s="137" t="s">
        <v>277</v>
      </c>
      <c r="B2" s="138" t="s">
        <v>319</v>
      </c>
      <c r="C2" s="138" t="s">
        <v>325</v>
      </c>
      <c r="D2" s="139"/>
      <c r="E2" s="19"/>
      <c r="F2" s="15"/>
    </row>
    <row r="3" spans="1:6">
      <c r="A3" s="140" t="s">
        <v>17</v>
      </c>
      <c r="B3" s="141">
        <f t="shared" ref="B3:C10" si="0">B13</f>
        <v>38.729991583780006</v>
      </c>
      <c r="C3" s="141">
        <f t="shared" si="0"/>
        <v>40.052509206349995</v>
      </c>
      <c r="D3" s="139"/>
      <c r="E3" s="19"/>
      <c r="F3" s="15"/>
    </row>
    <row r="4" spans="1:6" ht="15.6" customHeight="1">
      <c r="A4" s="137" t="s">
        <v>54</v>
      </c>
      <c r="B4" s="142">
        <f t="shared" si="0"/>
        <v>2781.21197588317</v>
      </c>
      <c r="C4" s="142">
        <f t="shared" si="0"/>
        <v>2849.1350601006761</v>
      </c>
      <c r="D4" s="139"/>
      <c r="E4" s="19"/>
      <c r="F4" s="15"/>
    </row>
    <row r="5" spans="1:6" ht="16.2" customHeight="1">
      <c r="A5" s="137" t="s">
        <v>278</v>
      </c>
      <c r="B5" s="141">
        <f t="shared" si="0"/>
        <v>207.82839490242546</v>
      </c>
      <c r="C5" s="141">
        <f t="shared" si="0"/>
        <v>208.79129141770241</v>
      </c>
      <c r="D5" s="139"/>
      <c r="E5" s="19"/>
      <c r="F5" s="15"/>
    </row>
    <row r="6" spans="1:6">
      <c r="A6" s="137" t="s">
        <v>156</v>
      </c>
      <c r="B6" s="142">
        <f t="shared" si="0"/>
        <v>1957.9417952967215</v>
      </c>
      <c r="C6" s="142">
        <f t="shared" si="0"/>
        <v>1970.8456184068261</v>
      </c>
      <c r="D6" s="139"/>
      <c r="E6" s="19"/>
      <c r="F6" s="15"/>
    </row>
    <row r="7" spans="1:6">
      <c r="A7" s="137" t="s">
        <v>279</v>
      </c>
      <c r="B7" s="141">
        <f t="shared" si="0"/>
        <v>102.35154167375939</v>
      </c>
      <c r="C7" s="141">
        <f t="shared" si="0"/>
        <v>102.44075749053161</v>
      </c>
      <c r="D7" s="139"/>
      <c r="E7" s="19"/>
      <c r="F7" s="15"/>
    </row>
    <row r="8" spans="1:6">
      <c r="A8" s="137" t="s">
        <v>193</v>
      </c>
      <c r="B8" s="143">
        <f t="shared" si="0"/>
        <v>59.306649006764651</v>
      </c>
      <c r="C8" s="143">
        <f t="shared" si="0"/>
        <v>60.348931993098539</v>
      </c>
      <c r="D8" s="139"/>
      <c r="E8" s="19"/>
      <c r="F8" s="15"/>
    </row>
    <row r="9" spans="1:6">
      <c r="A9" s="137" t="s">
        <v>224</v>
      </c>
      <c r="B9" s="141">
        <f t="shared" si="0"/>
        <v>6.9382677475299994</v>
      </c>
      <c r="C9" s="141">
        <f t="shared" si="0"/>
        <v>7.0903759545700007</v>
      </c>
      <c r="D9" s="139"/>
      <c r="E9" s="19"/>
      <c r="F9" s="15"/>
    </row>
    <row r="10" spans="1:6">
      <c r="A10" s="137" t="s">
        <v>280</v>
      </c>
      <c r="B10" s="141">
        <f t="shared" si="0"/>
        <v>58.110416203200252</v>
      </c>
      <c r="C10" s="141">
        <f t="shared" si="0"/>
        <v>58.99912233732752</v>
      </c>
      <c r="D10" s="139"/>
      <c r="E10" s="19"/>
      <c r="F10" s="15"/>
    </row>
    <row r="11" spans="1:6">
      <c r="A11" s="137"/>
      <c r="B11" s="141"/>
      <c r="C11" s="141"/>
      <c r="D11" s="139"/>
      <c r="E11" s="19"/>
      <c r="F11" s="15"/>
    </row>
    <row r="12" spans="1:6">
      <c r="A12" s="136"/>
      <c r="B12" s="136"/>
      <c r="C12" s="136"/>
      <c r="D12" s="136"/>
      <c r="E12" s="19"/>
      <c r="F12" s="15"/>
    </row>
    <row r="13" spans="1:6">
      <c r="A13" s="144" t="s">
        <v>17</v>
      </c>
      <c r="B13" s="145">
        <f>'Weekly Valuation'!D25/1000000000</f>
        <v>38.729991583780006</v>
      </c>
      <c r="C13" s="146">
        <f>'Weekly Valuation'!K25/1000000000</f>
        <v>40.052509206349995</v>
      </c>
      <c r="D13" s="136"/>
      <c r="E13" s="19"/>
      <c r="F13" s="15"/>
    </row>
    <row r="14" spans="1:6">
      <c r="A14" s="147" t="s">
        <v>54</v>
      </c>
      <c r="B14" s="145">
        <f>'Weekly Valuation'!D70/1000000000</f>
        <v>2781.21197588317</v>
      </c>
      <c r="C14" s="148">
        <f>'Weekly Valuation'!K70/1000000000</f>
        <v>2849.1350601006761</v>
      </c>
      <c r="D14" s="136"/>
      <c r="E14" s="19"/>
      <c r="F14" s="15"/>
    </row>
    <row r="15" spans="1:6">
      <c r="A15" s="147" t="s">
        <v>278</v>
      </c>
      <c r="B15" s="145">
        <f>'Weekly Valuation'!D110/1000000000</f>
        <v>207.82839490242546</v>
      </c>
      <c r="C15" s="146">
        <f>'Weekly Valuation'!K110/1000000000</f>
        <v>208.79129141770241</v>
      </c>
      <c r="D15" s="136"/>
      <c r="E15" s="19"/>
      <c r="F15" s="15"/>
    </row>
    <row r="16" spans="1:6">
      <c r="A16" s="147" t="s">
        <v>156</v>
      </c>
      <c r="B16" s="145">
        <f>'Weekly Valuation'!D150/1000000000</f>
        <v>1957.9417952967215</v>
      </c>
      <c r="C16" s="148">
        <f>'Weekly Valuation'!K150/1000000000</f>
        <v>1970.8456184068261</v>
      </c>
      <c r="D16" s="136"/>
      <c r="E16" s="19"/>
      <c r="F16" s="15"/>
    </row>
    <row r="17" spans="1:6">
      <c r="A17" s="147" t="s">
        <v>279</v>
      </c>
      <c r="B17" s="145">
        <f>'Weekly Valuation'!D158/1000000000</f>
        <v>102.35154167375939</v>
      </c>
      <c r="C17" s="146">
        <f>'Weekly Valuation'!K158/1000000000</f>
        <v>102.44075749053161</v>
      </c>
      <c r="D17" s="136"/>
      <c r="E17" s="19"/>
      <c r="F17" s="15"/>
    </row>
    <row r="18" spans="1:6">
      <c r="A18" s="147" t="s">
        <v>193</v>
      </c>
      <c r="B18" s="145">
        <f>'Weekly Valuation'!D190/1000000000</f>
        <v>59.306649006764651</v>
      </c>
      <c r="C18" s="149">
        <f>'Weekly Valuation'!K190/1000000000</f>
        <v>60.348931993098539</v>
      </c>
      <c r="D18" s="136"/>
      <c r="E18" s="19"/>
      <c r="F18" s="15"/>
    </row>
    <row r="19" spans="1:6">
      <c r="A19" s="147" t="s">
        <v>224</v>
      </c>
      <c r="B19" s="145">
        <f>'Weekly Valuation'!D196/1000000000</f>
        <v>6.9382677475299994</v>
      </c>
      <c r="C19" s="146">
        <f>'Weekly Valuation'!K196/1000000000</f>
        <v>7.0903759545700007</v>
      </c>
      <c r="D19" s="136"/>
      <c r="E19" s="19"/>
      <c r="F19" s="15"/>
    </row>
    <row r="20" spans="1:6">
      <c r="A20" s="147" t="s">
        <v>280</v>
      </c>
      <c r="B20" s="145">
        <f>'Weekly Valuation'!D221/1000000000</f>
        <v>58.110416203200252</v>
      </c>
      <c r="C20" s="146">
        <f>'Weekly Valuation'!K221/1000000000</f>
        <v>58.99912233732752</v>
      </c>
      <c r="D20" s="136"/>
      <c r="E20" s="19"/>
      <c r="F20" s="15"/>
    </row>
    <row r="21" spans="1:6">
      <c r="A21" s="150"/>
      <c r="B21" s="136"/>
      <c r="C21" s="151"/>
      <c r="D21" s="136"/>
      <c r="E21" s="19"/>
      <c r="F21" s="15"/>
    </row>
    <row r="22" spans="1:6">
      <c r="A22" s="150"/>
      <c r="B22" s="136"/>
      <c r="C22" s="152"/>
      <c r="D22" s="136"/>
      <c r="E22" s="19"/>
      <c r="F22" s="15"/>
    </row>
    <row r="23" spans="1:6">
      <c r="A23" s="153"/>
      <c r="B23" s="154"/>
      <c r="C23" s="155"/>
      <c r="D23" s="19"/>
      <c r="E23" s="19"/>
      <c r="F23" s="15"/>
    </row>
    <row r="24" spans="1:6">
      <c r="A24" s="153"/>
      <c r="B24" s="154"/>
      <c r="C24" s="154"/>
      <c r="D24" s="19"/>
      <c r="E24" s="19"/>
      <c r="F24" s="15"/>
    </row>
    <row r="25" spans="1:6">
      <c r="A25" s="21"/>
      <c r="B25" s="22"/>
      <c r="C25" s="22"/>
      <c r="D25" s="15"/>
      <c r="E25" s="19"/>
      <c r="F25" s="15"/>
    </row>
    <row r="26" spans="1:6">
      <c r="A26" s="153"/>
      <c r="B26" s="154"/>
      <c r="C26" s="154"/>
      <c r="D26" s="19"/>
      <c r="E26" s="19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kqNeMOxsv3+CB7gfv7wEjCw0M/nPr9pflmCIFsdEnFIxWCWJ3OKxd8g1dekGsG2Tsi04TtC5jOh7fncnTl6Brg==" saltValue="zTRKB/D6KCgBeXo8VVWQZ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H10" sqref="H10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56" t="s">
        <v>277</v>
      </c>
      <c r="B1" s="157">
        <v>45786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50" t="s">
        <v>224</v>
      </c>
      <c r="B2" s="152">
        <f>'Weekly Valuation'!K196</f>
        <v>7090375954.5700006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50" t="s">
        <v>17</v>
      </c>
      <c r="B3" s="152">
        <f>'Weekly Valuation'!K25</f>
        <v>40052509206.349998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50" t="s">
        <v>280</v>
      </c>
      <c r="B4" s="155">
        <f>'Weekly Valuation'!K221</f>
        <v>58999122337.327522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50" t="s">
        <v>193</v>
      </c>
      <c r="B5" s="152">
        <f>'Weekly Valuation'!K190</f>
        <v>60348931993.098541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50" t="s">
        <v>279</v>
      </c>
      <c r="B6" s="152">
        <f>'Weekly Valuation'!K158</f>
        <v>102440757490.53162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50" t="s">
        <v>278</v>
      </c>
      <c r="B7" s="152">
        <f>'Weekly Valuation'!K110</f>
        <v>208791291417.70242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50" t="s">
        <v>156</v>
      </c>
      <c r="B8" s="151">
        <f>'Weekly Valuation'!K150</f>
        <v>1970845618406.8262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50" t="s">
        <v>54</v>
      </c>
      <c r="B9" s="151">
        <f>'Weekly Valuation'!K70</f>
        <v>2849135060100.6763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36"/>
      <c r="B10" s="136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50"/>
      <c r="B11" s="158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50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54"/>
      <c r="B13" s="154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54"/>
      <c r="B14" s="154"/>
      <c r="C14" s="19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50"/>
      <c r="B15" s="155"/>
      <c r="C15" s="19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54"/>
      <c r="B16" s="154"/>
      <c r="C16" s="19"/>
      <c r="D16" s="19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54"/>
      <c r="B17" s="154"/>
      <c r="C17" s="19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74"/>
      <c r="B18" s="154"/>
      <c r="C18" s="19"/>
      <c r="D18" s="1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74"/>
      <c r="B19" s="174"/>
      <c r="C19" s="19"/>
      <c r="D19" s="19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74"/>
      <c r="B20" s="174"/>
      <c r="C20" s="19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53"/>
      <c r="B21" s="174"/>
      <c r="C21" s="19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9"/>
      <c r="B22" s="174"/>
      <c r="C22" s="19"/>
      <c r="D22" s="19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9"/>
      <c r="B23" s="19"/>
      <c r="C23" s="19"/>
      <c r="D23" s="19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9"/>
      <c r="B24" s="19"/>
      <c r="C24" s="19"/>
      <c r="D24" s="19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9"/>
      <c r="B25" s="19"/>
      <c r="C25" s="19"/>
      <c r="D25" s="1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20"/>
    </row>
    <row r="33" spans="1:17" ht="15" customHeight="1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20"/>
    </row>
  </sheetData>
  <sheetProtection algorithmName="SHA-512" hashValue="RGL8//bToWlYg/sKfsMAniexbuWlk2dGSBOsBod4JFX6r64314A59xh29NC0N6art96qFUU+7fI00sGP899kdg==" saltValue="MLz4ns63cydZOF+q3amk0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C8" sqref="C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59" t="s">
        <v>281</v>
      </c>
      <c r="B2" s="160">
        <v>45737</v>
      </c>
      <c r="C2" s="160">
        <v>45744</v>
      </c>
      <c r="D2" s="160">
        <v>45751</v>
      </c>
      <c r="E2" s="160">
        <v>45758</v>
      </c>
      <c r="F2" s="160">
        <v>45764</v>
      </c>
      <c r="G2" s="160">
        <v>45772</v>
      </c>
      <c r="H2" s="160">
        <v>45779</v>
      </c>
      <c r="I2" s="160">
        <v>45786</v>
      </c>
      <c r="J2" s="19"/>
      <c r="K2" s="19"/>
      <c r="L2" s="15"/>
      <c r="M2" s="15"/>
    </row>
    <row r="3" spans="1:13">
      <c r="A3" s="159" t="s">
        <v>282</v>
      </c>
      <c r="B3" s="161">
        <f t="shared" ref="B3:I3" si="0">B4</f>
        <v>4719.0196974991832</v>
      </c>
      <c r="C3" s="161">
        <f t="shared" si="0"/>
        <v>4783.453626583896</v>
      </c>
      <c r="D3" s="161">
        <f t="shared" si="0"/>
        <v>4920.9783287926193</v>
      </c>
      <c r="E3" s="161">
        <f t="shared" si="0"/>
        <v>5027.3059345650499</v>
      </c>
      <c r="F3" s="161">
        <f t="shared" si="0"/>
        <v>5068.1363340060261</v>
      </c>
      <c r="G3" s="161">
        <f t="shared" si="0"/>
        <v>5133.5118080609327</v>
      </c>
      <c r="H3" s="161">
        <f t="shared" si="0"/>
        <v>5212.4190322973518</v>
      </c>
      <c r="I3" s="161">
        <f t="shared" si="0"/>
        <v>5297.7036669070822</v>
      </c>
      <c r="J3" s="19"/>
      <c r="K3" s="19"/>
      <c r="L3" s="15"/>
      <c r="M3" s="15"/>
    </row>
    <row r="4" spans="1:13">
      <c r="A4" s="19"/>
      <c r="B4" s="162">
        <f>'NAV Trend'!C10/1000000000</f>
        <v>4719.0196974991832</v>
      </c>
      <c r="C4" s="162">
        <f>'NAV Trend'!D10/1000000000</f>
        <v>4783.453626583896</v>
      </c>
      <c r="D4" s="162">
        <f>'NAV Trend'!E10/1000000000</f>
        <v>4920.9783287926193</v>
      </c>
      <c r="E4" s="162">
        <f>'NAV Trend'!F10/1000000000</f>
        <v>5027.3059345650499</v>
      </c>
      <c r="F4" s="162">
        <f>'NAV Trend'!G10/1000000000</f>
        <v>5068.1363340060261</v>
      </c>
      <c r="G4" s="162">
        <f>'NAV Trend'!H10/1000000000</f>
        <v>5133.5118080609327</v>
      </c>
      <c r="H4" s="163">
        <f>'NAV Trend'!I10/1000000000</f>
        <v>5212.4190322973518</v>
      </c>
      <c r="I4" s="163">
        <f>'NAV Trend'!J10/1000000000</f>
        <v>5297.7036669070822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5"/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/+Grp6hNS7WoXf8c5awq2Flw/z2nE52BZnX8YuYpYN9F/LMjS3uxkstwvRHrZ7dDV6ycnaoV2sdA5jGW32/Nzg==" saltValue="Zi0mnDA7d5/FmAD4anmPp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E7" sqref="E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5"/>
    </row>
    <row r="2" spans="1:14">
      <c r="A2" s="159" t="s">
        <v>281</v>
      </c>
      <c r="B2" s="160">
        <v>45737</v>
      </c>
      <c r="C2" s="160">
        <v>45744</v>
      </c>
      <c r="D2" s="160">
        <v>45751</v>
      </c>
      <c r="E2" s="160">
        <v>45758</v>
      </c>
      <c r="F2" s="160">
        <v>45764</v>
      </c>
      <c r="G2" s="160">
        <v>45772</v>
      </c>
      <c r="H2" s="160">
        <v>45779</v>
      </c>
      <c r="I2" s="160">
        <v>45786</v>
      </c>
      <c r="J2" s="19"/>
      <c r="K2" s="19"/>
      <c r="L2" s="19"/>
      <c r="M2" s="19"/>
      <c r="N2" s="15"/>
    </row>
    <row r="3" spans="1:14">
      <c r="A3" s="159" t="s">
        <v>283</v>
      </c>
      <c r="B3" s="161">
        <f t="shared" ref="B3:I3" si="0">B4</f>
        <v>13.115951569109791</v>
      </c>
      <c r="C3" s="161">
        <f t="shared" si="0"/>
        <v>13.246875880158331</v>
      </c>
      <c r="D3" s="161">
        <f t="shared" si="0"/>
        <v>13.252536997856778</v>
      </c>
      <c r="E3" s="161">
        <f t="shared" si="0"/>
        <v>13.325340046259999</v>
      </c>
      <c r="F3" s="161">
        <f t="shared" si="0"/>
        <v>13.257768084610001</v>
      </c>
      <c r="G3" s="161">
        <f t="shared" si="0"/>
        <v>13.511956801399998</v>
      </c>
      <c r="H3" s="161">
        <f t="shared" si="0"/>
        <v>13.564027253040001</v>
      </c>
      <c r="I3" s="161">
        <f t="shared" si="0"/>
        <v>13.89362105705</v>
      </c>
      <c r="J3" s="19"/>
      <c r="K3" s="19"/>
      <c r="L3" s="19"/>
      <c r="M3" s="19"/>
      <c r="N3" s="15"/>
    </row>
    <row r="4" spans="1:14">
      <c r="A4" s="19"/>
      <c r="B4" s="162">
        <f>'NAV Trend'!C16/1000000000</f>
        <v>13.115951569109791</v>
      </c>
      <c r="C4" s="162">
        <f>'NAV Trend'!D16/1000000000</f>
        <v>13.246875880158331</v>
      </c>
      <c r="D4" s="162">
        <f>'NAV Trend'!E16/1000000000</f>
        <v>13.252536997856778</v>
      </c>
      <c r="E4" s="162">
        <f>'NAV Trend'!F16/1000000000</f>
        <v>13.325340046259999</v>
      </c>
      <c r="F4" s="162">
        <f>'NAV Trend'!G16/1000000000</f>
        <v>13.257768084610001</v>
      </c>
      <c r="G4" s="162">
        <f>'NAV Trend'!H16/1000000000</f>
        <v>13.511956801399998</v>
      </c>
      <c r="H4" s="162">
        <f>'NAV Trend'!I16/1000000000</f>
        <v>13.564027253040001</v>
      </c>
      <c r="I4" s="163">
        <f>'NAV Trend'!J16/1000000000</f>
        <v>13.89362105705</v>
      </c>
      <c r="J4" s="19"/>
      <c r="K4" s="19"/>
      <c r="L4" s="19"/>
      <c r="M4" s="19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  <c r="N7" s="15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o71XGKPUUp33ChyWxFOIc4PgQavqu7nh6mk5P8fqFqfOzlk5ZkodaY30EhrtuHZfhl/EvbfP1CW1r8okwFGczQ==" saltValue="0zgz33jxI1GS63n5D0Rqa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277</v>
      </c>
      <c r="B1" s="2">
        <v>45730</v>
      </c>
      <c r="C1" s="2">
        <v>45737</v>
      </c>
      <c r="D1" s="2">
        <v>45744</v>
      </c>
      <c r="E1" s="2">
        <v>45751</v>
      </c>
      <c r="F1" s="2">
        <v>45758</v>
      </c>
      <c r="G1" s="2">
        <v>45764</v>
      </c>
      <c r="H1" s="2">
        <v>45772</v>
      </c>
      <c r="I1" s="2">
        <v>45779</v>
      </c>
      <c r="J1" s="2">
        <v>45786</v>
      </c>
    </row>
    <row r="2" spans="1:11">
      <c r="A2" s="3" t="s">
        <v>17</v>
      </c>
      <c r="B2" s="4">
        <v>37398821266.276306</v>
      </c>
      <c r="C2" s="4">
        <v>36993931889.602303</v>
      </c>
      <c r="D2" s="4">
        <v>37656201173.972603</v>
      </c>
      <c r="E2" s="4">
        <v>37097805539.873703</v>
      </c>
      <c r="F2" s="4">
        <v>36611510201.959999</v>
      </c>
      <c r="G2" s="4">
        <v>36683565580.029999</v>
      </c>
      <c r="H2" s="4">
        <v>37720290975.739998</v>
      </c>
      <c r="I2" s="4">
        <v>38729991583.780006</v>
      </c>
      <c r="J2" s="4">
        <v>40052509206.349998</v>
      </c>
    </row>
    <row r="3" spans="1:11">
      <c r="A3" s="3" t="s">
        <v>54</v>
      </c>
      <c r="B3" s="4">
        <v>2332451611056.791</v>
      </c>
      <c r="C3" s="4">
        <v>2419975361780.4546</v>
      </c>
      <c r="D3" s="4">
        <v>2481105692224.7939</v>
      </c>
      <c r="E3" s="4">
        <v>2556130628664.9053</v>
      </c>
      <c r="F3" s="4">
        <v>2628962377044.7275</v>
      </c>
      <c r="G3" s="4">
        <v>2676748756640.1934</v>
      </c>
      <c r="H3" s="4">
        <v>2723282785142.8521</v>
      </c>
      <c r="I3" s="4">
        <v>2781211975883.1699</v>
      </c>
      <c r="J3" s="4">
        <v>2849135060100.6763</v>
      </c>
    </row>
    <row r="4" spans="1:11">
      <c r="A4" s="3" t="s">
        <v>278</v>
      </c>
      <c r="B4" s="5">
        <v>195446236973.35144</v>
      </c>
      <c r="C4" s="5">
        <v>198728860225.19843</v>
      </c>
      <c r="D4" s="5">
        <v>198334798103.43573</v>
      </c>
      <c r="E4" s="5">
        <v>200662148582.12146</v>
      </c>
      <c r="F4" s="5">
        <v>208697208780.68359</v>
      </c>
      <c r="G4" s="5">
        <v>208401097853.44882</v>
      </c>
      <c r="H4" s="5">
        <v>208855945686.08514</v>
      </c>
      <c r="I4" s="5">
        <v>207828394902.42545</v>
      </c>
      <c r="J4" s="5">
        <v>208791291417.70242</v>
      </c>
    </row>
    <row r="5" spans="1:11">
      <c r="A5" s="3" t="s">
        <v>156</v>
      </c>
      <c r="B5" s="4">
        <v>1822153380010.8662</v>
      </c>
      <c r="C5" s="4">
        <v>1842785877653.4534</v>
      </c>
      <c r="D5" s="4">
        <v>1844962894751.3052</v>
      </c>
      <c r="E5" s="4">
        <v>1905436495754.9351</v>
      </c>
      <c r="F5" s="4">
        <v>1931287068703.0198</v>
      </c>
      <c r="G5" s="4">
        <v>1923487330363.6252</v>
      </c>
      <c r="H5" s="4">
        <v>1938221468200.9041</v>
      </c>
      <c r="I5" s="4">
        <v>1957941795296.7214</v>
      </c>
      <c r="J5" s="4">
        <v>1970845618406.8262</v>
      </c>
    </row>
    <row r="6" spans="1:11">
      <c r="A6" s="3" t="s">
        <v>279</v>
      </c>
      <c r="B6" s="6">
        <v>101227556666.0634</v>
      </c>
      <c r="C6" s="6">
        <v>101283752942.61555</v>
      </c>
      <c r="D6" s="6">
        <v>101362794513.52859</v>
      </c>
      <c r="E6" s="6">
        <v>101416084299.50922</v>
      </c>
      <c r="F6" s="6">
        <v>101448900231.00531</v>
      </c>
      <c r="G6" s="6">
        <v>101489098873.64462</v>
      </c>
      <c r="H6" s="6">
        <v>102301113357.0766</v>
      </c>
      <c r="I6" s="6">
        <v>102351541673.75938</v>
      </c>
      <c r="J6" s="6">
        <v>102440757490.53162</v>
      </c>
    </row>
    <row r="7" spans="1:11">
      <c r="A7" s="3" t="s">
        <v>193</v>
      </c>
      <c r="B7" s="7">
        <v>57195873585.465897</v>
      </c>
      <c r="C7" s="7">
        <v>56948936665.773132</v>
      </c>
      <c r="D7" s="7">
        <v>57062758533.043762</v>
      </c>
      <c r="E7" s="7">
        <v>57167466185.858185</v>
      </c>
      <c r="F7" s="7">
        <v>57125272136.110069</v>
      </c>
      <c r="G7" s="7">
        <v>57583359181.10791</v>
      </c>
      <c r="H7" s="7">
        <v>58607779909.068443</v>
      </c>
      <c r="I7" s="7">
        <v>59306649006.764648</v>
      </c>
      <c r="J7" s="7">
        <v>60348931993.098541</v>
      </c>
    </row>
    <row r="8" spans="1:11">
      <c r="A8" s="3" t="s">
        <v>224</v>
      </c>
      <c r="B8" s="6">
        <v>6647856625.3699999</v>
      </c>
      <c r="C8" s="6">
        <v>6567080938.7299995</v>
      </c>
      <c r="D8" s="6">
        <v>6677158300.1700001</v>
      </c>
      <c r="E8" s="6">
        <v>6808986112.6900005</v>
      </c>
      <c r="F8" s="6">
        <v>6789293199.9500008</v>
      </c>
      <c r="G8" s="6">
        <v>6651248992.7700005</v>
      </c>
      <c r="H8" s="6">
        <v>6859652223.0999994</v>
      </c>
      <c r="I8" s="6">
        <v>6938267747.5299997</v>
      </c>
      <c r="J8" s="6">
        <v>7090375954.5700006</v>
      </c>
    </row>
    <row r="9" spans="1:11">
      <c r="A9" s="3" t="s">
        <v>280</v>
      </c>
      <c r="B9" s="6">
        <v>54957865523.779152</v>
      </c>
      <c r="C9" s="6">
        <v>55735895403.355507</v>
      </c>
      <c r="D9" s="6">
        <v>56291328983.646774</v>
      </c>
      <c r="E9" s="6">
        <v>56258713652.725334</v>
      </c>
      <c r="F9" s="6">
        <v>56384304267.594231</v>
      </c>
      <c r="G9" s="6">
        <v>57091876521.208221</v>
      </c>
      <c r="H9" s="6">
        <v>57662772566.107521</v>
      </c>
      <c r="I9" s="6">
        <v>58110416203.200249</v>
      </c>
      <c r="J9" s="6">
        <v>58999122337.327522</v>
      </c>
    </row>
    <row r="10" spans="1:11" ht="15.6">
      <c r="A10" s="8" t="s">
        <v>284</v>
      </c>
      <c r="B10" s="9">
        <f t="shared" ref="B10:J10" si="0">SUM(B2:B9)</f>
        <v>4607479201707.9639</v>
      </c>
      <c r="C10" s="9">
        <f t="shared" si="0"/>
        <v>4719019697499.1836</v>
      </c>
      <c r="D10" s="9">
        <f t="shared" si="0"/>
        <v>4783453626583.8965</v>
      </c>
      <c r="E10" s="9">
        <f t="shared" si="0"/>
        <v>4920978328792.6191</v>
      </c>
      <c r="F10" s="9">
        <f t="shared" si="0"/>
        <v>5027305934565.0498</v>
      </c>
      <c r="G10" s="9">
        <f t="shared" si="0"/>
        <v>5068136334006.0264</v>
      </c>
      <c r="H10" s="9">
        <f t="shared" si="0"/>
        <v>5133511808060.9326</v>
      </c>
      <c r="I10" s="9">
        <f t="shared" si="0"/>
        <v>5212419032297.3516</v>
      </c>
      <c r="J10" s="9">
        <f t="shared" si="0"/>
        <v>5297703666907.082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285</v>
      </c>
      <c r="B12" s="124" t="s">
        <v>286</v>
      </c>
      <c r="C12" s="13">
        <f>(B10+C10)/2</f>
        <v>4663249449603.5742</v>
      </c>
      <c r="D12" s="14">
        <f t="shared" ref="D12:J12" si="1">(C10+D10)/2</f>
        <v>4751236662041.54</v>
      </c>
      <c r="E12" s="14">
        <f t="shared" si="1"/>
        <v>4852215977688.2578</v>
      </c>
      <c r="F12" s="14">
        <f t="shared" si="1"/>
        <v>4974142131678.834</v>
      </c>
      <c r="G12" s="14">
        <f t="shared" si="1"/>
        <v>5047721134285.5381</v>
      </c>
      <c r="H12" s="14">
        <f t="shared" si="1"/>
        <v>5100824071033.4795</v>
      </c>
      <c r="I12" s="14">
        <f t="shared" si="1"/>
        <v>5172965420179.1426</v>
      </c>
      <c r="J12" s="14">
        <f t="shared" si="1"/>
        <v>5255061349602.2168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45730</v>
      </c>
      <c r="C15" s="2">
        <v>45737</v>
      </c>
      <c r="D15" s="2">
        <v>45744</v>
      </c>
      <c r="E15" s="2">
        <v>45751</v>
      </c>
      <c r="F15" s="2">
        <v>45758</v>
      </c>
      <c r="G15" s="2">
        <v>45764</v>
      </c>
      <c r="H15" s="2">
        <v>45772</v>
      </c>
      <c r="I15" s="2">
        <v>45779</v>
      </c>
      <c r="J15" s="2">
        <v>45786</v>
      </c>
      <c r="K15" s="15"/>
    </row>
    <row r="16" spans="1:11">
      <c r="A16" s="16" t="s">
        <v>287</v>
      </c>
      <c r="B16" s="17">
        <v>13225205337.489792</v>
      </c>
      <c r="C16" s="17">
        <v>13115951569.109791</v>
      </c>
      <c r="D16" s="17">
        <v>13246875880.158331</v>
      </c>
      <c r="E16" s="17">
        <v>13252536997.856777</v>
      </c>
      <c r="F16" s="17">
        <v>13325340046.259998</v>
      </c>
      <c r="G16" s="17">
        <v>13257768084.610001</v>
      </c>
      <c r="H16" s="17">
        <v>13511956801.399998</v>
      </c>
      <c r="I16" s="17">
        <v>13564027253.040001</v>
      </c>
      <c r="J16" s="17">
        <v>13893621057.049999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1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PvysTkig+/ZZdyI92WYfnEyi9YQgcYbhYIRIaM9AKR7x3GSu048iA7btXQv2/s53kgWRq0CNA/ouXr3jz1gCtQ==" saltValue="LmeGrLdaS7Q3FabPxrVqM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2025-05-20T11:50:22Z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