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40" i="1" l="1"/>
  <c r="M140" i="1"/>
  <c r="K140" i="1"/>
  <c r="N120" i="1" l="1"/>
  <c r="M120" i="1"/>
  <c r="K120" i="1"/>
  <c r="N126" i="1" l="1"/>
  <c r="M126" i="1"/>
  <c r="K126" i="1"/>
  <c r="N134" i="1"/>
  <c r="M134" i="1"/>
  <c r="K134" i="1"/>
  <c r="N148" i="1" l="1"/>
  <c r="M148" i="1"/>
  <c r="K148" i="1"/>
  <c r="N121" i="1"/>
  <c r="M121" i="1"/>
  <c r="K121" i="1"/>
  <c r="N149" i="1" l="1"/>
  <c r="M149" i="1"/>
  <c r="K149" i="1"/>
  <c r="N125" i="1"/>
  <c r="M125" i="1"/>
  <c r="K125" i="1"/>
  <c r="K124" i="1" l="1"/>
  <c r="N136" i="1"/>
  <c r="M136" i="1"/>
  <c r="K136" i="1"/>
  <c r="N142" i="1"/>
  <c r="M142" i="1"/>
  <c r="K142" i="1"/>
  <c r="N145" i="1" l="1"/>
  <c r="M145" i="1"/>
  <c r="K145" i="1"/>
  <c r="N133" i="1"/>
  <c r="M133" i="1"/>
  <c r="K133" i="1"/>
  <c r="N115" i="1"/>
  <c r="M115" i="1"/>
  <c r="K115" i="1"/>
  <c r="N129" i="1"/>
  <c r="M129" i="1"/>
  <c r="K129" i="1"/>
  <c r="N138" i="1" l="1"/>
  <c r="M138" i="1"/>
  <c r="N114" i="1" l="1"/>
  <c r="M114" i="1"/>
  <c r="K114" i="1"/>
  <c r="N128" i="1"/>
  <c r="M128" i="1"/>
  <c r="K128" i="1"/>
  <c r="N139" i="1" l="1"/>
  <c r="M139" i="1"/>
  <c r="K139" i="1"/>
  <c r="N143" i="1"/>
  <c r="M143" i="1"/>
  <c r="K143" i="1"/>
  <c r="V53" i="1" l="1"/>
  <c r="U53" i="1"/>
  <c r="T53" i="1"/>
  <c r="S53" i="1"/>
  <c r="R53" i="1"/>
  <c r="N124" i="1" l="1"/>
  <c r="N123" i="1"/>
  <c r="M124" i="1"/>
  <c r="M123" i="1"/>
  <c r="K123" i="1"/>
  <c r="N127" i="1"/>
  <c r="M127" i="1"/>
  <c r="K127" i="1"/>
  <c r="N146" i="1"/>
  <c r="M146" i="1"/>
  <c r="K146" i="1"/>
  <c r="N130" i="1"/>
  <c r="M130" i="1"/>
  <c r="K130" i="1"/>
  <c r="N141" i="1"/>
  <c r="M141" i="1"/>
  <c r="N118" i="1"/>
  <c r="M118" i="1"/>
  <c r="K118" i="1"/>
  <c r="N117" i="1"/>
  <c r="N116" i="1"/>
  <c r="M116" i="1"/>
  <c r="M117" i="1"/>
  <c r="K117" i="1"/>
  <c r="K116" i="1"/>
  <c r="N119" i="1"/>
  <c r="M119" i="1"/>
  <c r="K119" i="1"/>
  <c r="G149" i="1"/>
  <c r="F149" i="1"/>
  <c r="G148" i="1"/>
  <c r="F148" i="1"/>
  <c r="G146" i="1"/>
  <c r="F146" i="1"/>
  <c r="G145" i="1"/>
  <c r="F145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6" i="1"/>
  <c r="F136" i="1"/>
  <c r="G134" i="1"/>
  <c r="F134" i="1"/>
  <c r="G133" i="1"/>
  <c r="F133" i="1"/>
  <c r="D149" i="1"/>
  <c r="D148" i="1"/>
  <c r="D146" i="1"/>
  <c r="D145" i="1"/>
  <c r="D143" i="1"/>
  <c r="D142" i="1"/>
  <c r="D140" i="1"/>
  <c r="D139" i="1"/>
  <c r="D136" i="1"/>
  <c r="D134" i="1"/>
  <c r="D133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D130" i="1"/>
  <c r="D129" i="1"/>
  <c r="D128" i="1"/>
  <c r="D127" i="1"/>
  <c r="D126" i="1"/>
  <c r="D125" i="1"/>
  <c r="D124" i="1"/>
  <c r="D123" i="1"/>
  <c r="D121" i="1"/>
  <c r="D120" i="1"/>
  <c r="D119" i="1"/>
  <c r="D118" i="1"/>
  <c r="D117" i="1"/>
  <c r="D116" i="1"/>
  <c r="D115" i="1"/>
  <c r="D114" i="1"/>
  <c r="R148" i="1" l="1"/>
  <c r="S148" i="1"/>
  <c r="V148" i="1" l="1"/>
  <c r="U148" i="1"/>
  <c r="T148" i="1"/>
  <c r="R166" i="1" l="1"/>
  <c r="S166" i="1"/>
  <c r="T166" i="1"/>
  <c r="U166" i="1"/>
  <c r="V166" i="1"/>
  <c r="R143" i="1" l="1"/>
  <c r="S143" i="1"/>
  <c r="V143" i="1" l="1"/>
  <c r="U143" i="1"/>
  <c r="T143" i="1"/>
  <c r="R59" i="1"/>
  <c r="V59" i="1"/>
  <c r="U59" i="1"/>
  <c r="S59" i="1"/>
  <c r="T59" i="1"/>
  <c r="V231" i="1" l="1"/>
  <c r="R32" i="1" l="1"/>
  <c r="V32" i="1"/>
  <c r="U32" i="1"/>
  <c r="T32" i="1"/>
  <c r="S32" i="1"/>
  <c r="R125" i="1" l="1"/>
  <c r="S125" i="1"/>
  <c r="T137" i="1" l="1"/>
  <c r="V125" i="1" l="1"/>
  <c r="U125" i="1"/>
  <c r="T125" i="1"/>
  <c r="R46" i="1"/>
  <c r="S46" i="1"/>
  <c r="T46" i="1"/>
  <c r="U46" i="1"/>
  <c r="V46" i="1"/>
  <c r="O227" i="1" l="1"/>
  <c r="K227" i="1"/>
  <c r="L225" i="1" s="1"/>
  <c r="H227" i="1"/>
  <c r="D227" i="1"/>
  <c r="V225" i="1"/>
  <c r="U225" i="1"/>
  <c r="T225" i="1"/>
  <c r="S225" i="1"/>
  <c r="R225" i="1"/>
  <c r="R136" i="1" l="1"/>
  <c r="V136" i="1"/>
  <c r="U136" i="1"/>
  <c r="T136" i="1"/>
  <c r="S136" i="1"/>
  <c r="V83" i="1"/>
  <c r="U83" i="1"/>
  <c r="T83" i="1"/>
  <c r="S83" i="1"/>
  <c r="R83" i="1"/>
  <c r="R171" i="1" l="1"/>
  <c r="V23" i="1" l="1"/>
  <c r="U23" i="1"/>
  <c r="T23" i="1"/>
  <c r="S23" i="1"/>
  <c r="R23" i="1"/>
  <c r="O221" i="1"/>
  <c r="K221" i="1"/>
  <c r="H221" i="1"/>
  <c r="D221" i="1"/>
  <c r="V220" i="1"/>
  <c r="U220" i="1"/>
  <c r="T220" i="1"/>
  <c r="S220" i="1"/>
  <c r="R220" i="1"/>
  <c r="L220" i="1" l="1"/>
  <c r="L214" i="1"/>
  <c r="E220" i="1"/>
  <c r="E225" i="1"/>
  <c r="R31" i="1"/>
  <c r="K150" i="1" l="1"/>
  <c r="B8" i="3" l="1"/>
  <c r="L143" i="1"/>
  <c r="L135" i="1"/>
  <c r="L125" i="1"/>
  <c r="R117" i="1"/>
  <c r="S117" i="1"/>
  <c r="T117" i="1"/>
  <c r="U117" i="1"/>
  <c r="V117" i="1"/>
  <c r="R54" i="1" l="1"/>
  <c r="R213" i="1" l="1"/>
  <c r="V205" i="1" l="1"/>
  <c r="U205" i="1"/>
  <c r="T205" i="1"/>
  <c r="S205" i="1"/>
  <c r="R205" i="1"/>
  <c r="R145" i="1"/>
  <c r="S145" i="1"/>
  <c r="T145" i="1"/>
  <c r="U145" i="1"/>
  <c r="V145" i="1"/>
  <c r="R6" i="1" l="1"/>
  <c r="V189" i="1" l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R95" i="1" l="1"/>
  <c r="V34" i="1" l="1"/>
  <c r="U34" i="1"/>
  <c r="T34" i="1"/>
  <c r="S34" i="1"/>
  <c r="R34" i="1"/>
  <c r="V77" i="1" l="1"/>
  <c r="V50" i="1" l="1"/>
  <c r="U50" i="1"/>
  <c r="T50" i="1"/>
  <c r="S50" i="1"/>
  <c r="R50" i="1"/>
  <c r="J10" i="4" l="1"/>
  <c r="I4" i="5" s="1"/>
  <c r="I3" i="5" s="1"/>
  <c r="I10" i="4"/>
  <c r="H10" i="4"/>
  <c r="G4" i="5" s="1"/>
  <c r="G3" i="5" s="1"/>
  <c r="G10" i="4"/>
  <c r="F10" i="4"/>
  <c r="E4" i="5" s="1"/>
  <c r="E3" i="5" s="1"/>
  <c r="E10" i="4"/>
  <c r="D10" i="4"/>
  <c r="C10" i="4"/>
  <c r="B4" i="5" s="1"/>
  <c r="B3" i="5" s="1"/>
  <c r="B10" i="4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47" i="1"/>
  <c r="U247" i="1"/>
  <c r="S247" i="1"/>
  <c r="O247" i="1"/>
  <c r="K247" i="1"/>
  <c r="H247" i="1"/>
  <c r="D247" i="1"/>
  <c r="E245" i="1" s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O232" i="1"/>
  <c r="K232" i="1"/>
  <c r="L231" i="1" s="1"/>
  <c r="H232" i="1"/>
  <c r="D232" i="1"/>
  <c r="E231" i="1" s="1"/>
  <c r="U231" i="1"/>
  <c r="T231" i="1"/>
  <c r="S231" i="1"/>
  <c r="R231" i="1"/>
  <c r="V230" i="1"/>
  <c r="U230" i="1"/>
  <c r="T230" i="1"/>
  <c r="S230" i="1"/>
  <c r="R230" i="1"/>
  <c r="L226" i="1"/>
  <c r="V226" i="1"/>
  <c r="U226" i="1"/>
  <c r="T226" i="1"/>
  <c r="S226" i="1"/>
  <c r="R226" i="1"/>
  <c r="V221" i="1"/>
  <c r="U221" i="1"/>
  <c r="S221" i="1"/>
  <c r="V219" i="1"/>
  <c r="U219" i="1"/>
  <c r="T219" i="1"/>
  <c r="S219" i="1"/>
  <c r="R219" i="1"/>
  <c r="V216" i="1"/>
  <c r="U216" i="1"/>
  <c r="T216" i="1"/>
  <c r="S216" i="1"/>
  <c r="R216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4" i="1"/>
  <c r="U204" i="1"/>
  <c r="T204" i="1"/>
  <c r="S204" i="1"/>
  <c r="R204" i="1"/>
  <c r="V201" i="1"/>
  <c r="U201" i="1"/>
  <c r="T201" i="1"/>
  <c r="S201" i="1"/>
  <c r="R201" i="1"/>
  <c r="V200" i="1"/>
  <c r="U200" i="1"/>
  <c r="T200" i="1"/>
  <c r="S200" i="1"/>
  <c r="R200" i="1"/>
  <c r="V196" i="1"/>
  <c r="U196" i="1"/>
  <c r="S196" i="1"/>
  <c r="O196" i="1"/>
  <c r="K196" i="1"/>
  <c r="H196" i="1"/>
  <c r="D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H190" i="1"/>
  <c r="D190" i="1"/>
  <c r="E166" i="1" s="1"/>
  <c r="V158" i="1"/>
  <c r="U158" i="1"/>
  <c r="S158" i="1"/>
  <c r="O158" i="1"/>
  <c r="K158" i="1"/>
  <c r="B6" i="3" s="1"/>
  <c r="H158" i="1"/>
  <c r="D158" i="1"/>
  <c r="E156" i="1" s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R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V142" i="1"/>
  <c r="U142" i="1"/>
  <c r="T142" i="1"/>
  <c r="S142" i="1"/>
  <c r="V141" i="1"/>
  <c r="U141" i="1"/>
  <c r="T141" i="1"/>
  <c r="R141" i="1"/>
  <c r="S141" i="1"/>
  <c r="V140" i="1"/>
  <c r="U140" i="1"/>
  <c r="T140" i="1"/>
  <c r="S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S134" i="1"/>
  <c r="V133" i="1"/>
  <c r="U133" i="1"/>
  <c r="T133" i="1"/>
  <c r="S133" i="1"/>
  <c r="R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R128" i="1"/>
  <c r="V127" i="1"/>
  <c r="U127" i="1"/>
  <c r="T127" i="1"/>
  <c r="S127" i="1"/>
  <c r="V126" i="1"/>
  <c r="U126" i="1"/>
  <c r="T126" i="1"/>
  <c r="S126" i="1"/>
  <c r="R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V119" i="1"/>
  <c r="U119" i="1"/>
  <c r="T119" i="1"/>
  <c r="S119" i="1"/>
  <c r="V118" i="1"/>
  <c r="U118" i="1"/>
  <c r="T118" i="1"/>
  <c r="S118" i="1"/>
  <c r="R118" i="1"/>
  <c r="V116" i="1"/>
  <c r="U116" i="1"/>
  <c r="T116" i="1"/>
  <c r="S116" i="1"/>
  <c r="V115" i="1"/>
  <c r="U115" i="1"/>
  <c r="T115" i="1"/>
  <c r="S115" i="1"/>
  <c r="V114" i="1"/>
  <c r="U114" i="1"/>
  <c r="T114" i="1"/>
  <c r="R114" i="1"/>
  <c r="S114" i="1"/>
  <c r="V110" i="1"/>
  <c r="U110" i="1"/>
  <c r="S110" i="1"/>
  <c r="O110" i="1"/>
  <c r="K110" i="1"/>
  <c r="H110" i="1"/>
  <c r="D110" i="1"/>
  <c r="E136" i="1" s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0" i="1"/>
  <c r="U70" i="1"/>
  <c r="S70" i="1"/>
  <c r="O70" i="1"/>
  <c r="K70" i="1"/>
  <c r="H70" i="1"/>
  <c r="D70" i="1"/>
  <c r="B14" i="2" s="1"/>
  <c r="B4" i="2" s="1"/>
  <c r="V69" i="1"/>
  <c r="U69" i="1"/>
  <c r="T69" i="1"/>
  <c r="S69" i="1"/>
  <c r="R69" i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V52" i="1"/>
  <c r="U52" i="1"/>
  <c r="T52" i="1"/>
  <c r="S52" i="1"/>
  <c r="R52" i="1"/>
  <c r="V51" i="1"/>
  <c r="U51" i="1"/>
  <c r="T51" i="1"/>
  <c r="S51" i="1"/>
  <c r="R51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59" i="1" l="1"/>
  <c r="E53" i="1"/>
  <c r="L53" i="1"/>
  <c r="L168" i="1"/>
  <c r="L166" i="1"/>
  <c r="L79" i="1"/>
  <c r="L109" i="1"/>
  <c r="H12" i="4"/>
  <c r="B9" i="3"/>
  <c r="E59" i="1"/>
  <c r="L105" i="1"/>
  <c r="L45" i="1"/>
  <c r="L36" i="1"/>
  <c r="L32" i="1"/>
  <c r="L93" i="1"/>
  <c r="E12" i="4"/>
  <c r="E46" i="1"/>
  <c r="E32" i="1"/>
  <c r="L104" i="1"/>
  <c r="L35" i="1"/>
  <c r="L46" i="1"/>
  <c r="C12" i="4"/>
  <c r="L98" i="1"/>
  <c r="L81" i="1"/>
  <c r="L23" i="1"/>
  <c r="L15" i="1"/>
  <c r="L83" i="1"/>
  <c r="L136" i="1"/>
  <c r="F12" i="4"/>
  <c r="B15" i="2"/>
  <c r="B5" i="2" s="1"/>
  <c r="E83" i="1"/>
  <c r="L44" i="1"/>
  <c r="L88" i="1"/>
  <c r="L90" i="1"/>
  <c r="L62" i="1"/>
  <c r="B20" i="2"/>
  <c r="B10" i="2" s="1"/>
  <c r="E205" i="1"/>
  <c r="L209" i="1"/>
  <c r="L205" i="1"/>
  <c r="E189" i="1"/>
  <c r="E177" i="1"/>
  <c r="E164" i="1"/>
  <c r="E187" i="1"/>
  <c r="E175" i="1"/>
  <c r="E162" i="1"/>
  <c r="E182" i="1"/>
  <c r="E170" i="1"/>
  <c r="E180" i="1"/>
  <c r="E185" i="1"/>
  <c r="E173" i="1"/>
  <c r="E163" i="1"/>
  <c r="E172" i="1"/>
  <c r="E178" i="1"/>
  <c r="E165" i="1"/>
  <c r="E184" i="1"/>
  <c r="E183" i="1"/>
  <c r="E171" i="1"/>
  <c r="E168" i="1"/>
  <c r="E188" i="1"/>
  <c r="E176" i="1"/>
  <c r="E181" i="1"/>
  <c r="E169" i="1"/>
  <c r="E179" i="1"/>
  <c r="E167" i="1"/>
  <c r="E186" i="1"/>
  <c r="E174" i="1"/>
  <c r="E161" i="1"/>
  <c r="L182" i="1"/>
  <c r="L170" i="1"/>
  <c r="L180" i="1"/>
  <c r="L187" i="1"/>
  <c r="L175" i="1"/>
  <c r="L162" i="1"/>
  <c r="L185" i="1"/>
  <c r="L178" i="1"/>
  <c r="L165" i="1"/>
  <c r="L172" i="1"/>
  <c r="L173" i="1"/>
  <c r="L183" i="1"/>
  <c r="L171" i="1"/>
  <c r="L169" i="1"/>
  <c r="L188" i="1"/>
  <c r="L176" i="1"/>
  <c r="L163" i="1"/>
  <c r="L184" i="1"/>
  <c r="L177" i="1"/>
  <c r="L181" i="1"/>
  <c r="L164" i="1"/>
  <c r="L186" i="1"/>
  <c r="L174" i="1"/>
  <c r="L161" i="1"/>
  <c r="L179" i="1"/>
  <c r="L167" i="1"/>
  <c r="B2" i="3"/>
  <c r="L194" i="1"/>
  <c r="L34" i="1"/>
  <c r="L12" i="1"/>
  <c r="L106" i="1"/>
  <c r="L74" i="1"/>
  <c r="E14" i="1"/>
  <c r="E34" i="1"/>
  <c r="E50" i="1"/>
  <c r="L50" i="1"/>
  <c r="R227" i="1"/>
  <c r="B5" i="3"/>
  <c r="L21" i="1"/>
  <c r="L7" i="1"/>
  <c r="D4" i="5"/>
  <c r="D3" i="5" s="1"/>
  <c r="B4" i="3"/>
  <c r="L207" i="1"/>
  <c r="R247" i="1"/>
  <c r="E243" i="1"/>
  <c r="E241" i="1"/>
  <c r="E239" i="1"/>
  <c r="E8" i="1"/>
  <c r="L216" i="1"/>
  <c r="E201" i="1"/>
  <c r="T247" i="1"/>
  <c r="J12" i="4"/>
  <c r="E12" i="1"/>
  <c r="E10" i="1"/>
  <c r="E6" i="1"/>
  <c r="E18" i="1"/>
  <c r="E206" i="1"/>
  <c r="E230" i="1"/>
  <c r="E237" i="1"/>
  <c r="E88" i="1"/>
  <c r="E22" i="1"/>
  <c r="E49" i="1"/>
  <c r="E20" i="1"/>
  <c r="E16" i="1"/>
  <c r="E76" i="1"/>
  <c r="E108" i="1"/>
  <c r="E104" i="1"/>
  <c r="E79" i="1"/>
  <c r="E102" i="1"/>
  <c r="S149" i="1"/>
  <c r="E235" i="1"/>
  <c r="E246" i="1"/>
  <c r="E100" i="1"/>
  <c r="E98" i="1"/>
  <c r="E81" i="1"/>
  <c r="E73" i="1"/>
  <c r="E75" i="1"/>
  <c r="E154" i="1"/>
  <c r="T196" i="1"/>
  <c r="E94" i="1"/>
  <c r="E86" i="1"/>
  <c r="E106" i="1"/>
  <c r="E92" i="1"/>
  <c r="E74" i="1"/>
  <c r="E84" i="1"/>
  <c r="E90" i="1"/>
  <c r="L24" i="1"/>
  <c r="E97" i="1"/>
  <c r="E99" i="1"/>
  <c r="E101" i="1"/>
  <c r="E103" i="1"/>
  <c r="E105" i="1"/>
  <c r="E107" i="1"/>
  <c r="E109" i="1"/>
  <c r="E236" i="1"/>
  <c r="E238" i="1"/>
  <c r="E240" i="1"/>
  <c r="E242" i="1"/>
  <c r="E244" i="1"/>
  <c r="E78" i="1"/>
  <c r="E80" i="1"/>
  <c r="E82" i="1"/>
  <c r="E85" i="1"/>
  <c r="E87" i="1"/>
  <c r="E89" i="1"/>
  <c r="E91" i="1"/>
  <c r="E93" i="1"/>
  <c r="E95" i="1"/>
  <c r="T150" i="1"/>
  <c r="L11" i="1"/>
  <c r="L153" i="1"/>
  <c r="L157" i="1"/>
  <c r="L246" i="1"/>
  <c r="T70" i="1"/>
  <c r="L193" i="1"/>
  <c r="L195" i="1"/>
  <c r="E209" i="1"/>
  <c r="E211" i="1"/>
  <c r="E213" i="1"/>
  <c r="E215" i="1"/>
  <c r="T221" i="1"/>
  <c r="L6" i="1"/>
  <c r="L10" i="1"/>
  <c r="L14" i="1"/>
  <c r="L18" i="1"/>
  <c r="L22" i="1"/>
  <c r="E200" i="1"/>
  <c r="E204" i="1"/>
  <c r="E207" i="1"/>
  <c r="E219" i="1"/>
  <c r="H222" i="1"/>
  <c r="H248" i="1" s="1"/>
  <c r="R232" i="1"/>
  <c r="D150" i="1"/>
  <c r="E143" i="1" s="1"/>
  <c r="T110" i="1"/>
  <c r="L156" i="1"/>
  <c r="T158" i="1"/>
  <c r="T190" i="1"/>
  <c r="E210" i="1"/>
  <c r="E212" i="1"/>
  <c r="E214" i="1"/>
  <c r="E216" i="1"/>
  <c r="C4" i="5"/>
  <c r="C3" i="5" s="1"/>
  <c r="D12" i="4"/>
  <c r="G12" i="4"/>
  <c r="H4" i="5"/>
  <c r="H3" i="5" s="1"/>
  <c r="I12" i="4"/>
  <c r="E96" i="1"/>
  <c r="L68" i="1"/>
  <c r="L84" i="1"/>
  <c r="L108" i="1"/>
  <c r="L64" i="1"/>
  <c r="L60" i="1"/>
  <c r="L57" i="1"/>
  <c r="L66" i="1"/>
  <c r="L55" i="1"/>
  <c r="L52" i="1"/>
  <c r="E58" i="1"/>
  <c r="E61" i="1"/>
  <c r="E63" i="1"/>
  <c r="E65" i="1"/>
  <c r="E67" i="1"/>
  <c r="E69" i="1"/>
  <c r="E56" i="1"/>
  <c r="E54" i="1"/>
  <c r="E51" i="1"/>
  <c r="L204" i="1"/>
  <c r="L210" i="1"/>
  <c r="L200" i="1"/>
  <c r="L208" i="1"/>
  <c r="L212" i="1"/>
  <c r="L238" i="1"/>
  <c r="L242" i="1"/>
  <c r="L236" i="1"/>
  <c r="L240" i="1"/>
  <c r="L244" i="1"/>
  <c r="L235" i="1"/>
  <c r="L237" i="1"/>
  <c r="L239" i="1"/>
  <c r="L241" i="1"/>
  <c r="L243" i="1"/>
  <c r="L245" i="1"/>
  <c r="L92" i="1"/>
  <c r="L100" i="1"/>
  <c r="L76" i="1"/>
  <c r="E77" i="1"/>
  <c r="L49" i="1"/>
  <c r="L86" i="1"/>
  <c r="L94" i="1"/>
  <c r="L102" i="1"/>
  <c r="R158" i="1"/>
  <c r="L154" i="1"/>
  <c r="L155" i="1"/>
  <c r="L28" i="1"/>
  <c r="E29" i="1"/>
  <c r="L30" i="1"/>
  <c r="E31" i="1"/>
  <c r="L33" i="1"/>
  <c r="E35" i="1"/>
  <c r="E37" i="1"/>
  <c r="L38" i="1"/>
  <c r="E39" i="1"/>
  <c r="L40" i="1"/>
  <c r="E41" i="1"/>
  <c r="L42" i="1"/>
  <c r="E43" i="1"/>
  <c r="E45" i="1"/>
  <c r="L47" i="1"/>
  <c r="E48" i="1"/>
  <c r="L8" i="1"/>
  <c r="L9" i="1"/>
  <c r="L13" i="1"/>
  <c r="L16" i="1"/>
  <c r="L17" i="1"/>
  <c r="L20" i="1"/>
  <c r="R190" i="1"/>
  <c r="B7" i="3"/>
  <c r="C15" i="2"/>
  <c r="C5" i="2" s="1"/>
  <c r="R116" i="1"/>
  <c r="R119" i="1"/>
  <c r="R120" i="1"/>
  <c r="R127" i="1"/>
  <c r="E7" i="1"/>
  <c r="E9" i="1"/>
  <c r="E11" i="1"/>
  <c r="E13" i="1"/>
  <c r="E15" i="1"/>
  <c r="E17" i="1"/>
  <c r="E19" i="1"/>
  <c r="E21" i="1"/>
  <c r="E24" i="1"/>
  <c r="B3" i="3"/>
  <c r="C13" i="2"/>
  <c r="C3" i="2" s="1"/>
  <c r="O222" i="1"/>
  <c r="O248" i="1" s="1"/>
  <c r="E28" i="1"/>
  <c r="L29" i="1"/>
  <c r="E30" i="1"/>
  <c r="L31" i="1"/>
  <c r="E33" i="1"/>
  <c r="E36" i="1"/>
  <c r="L37" i="1"/>
  <c r="E38" i="1"/>
  <c r="L39" i="1"/>
  <c r="E40" i="1"/>
  <c r="L41" i="1"/>
  <c r="E42" i="1"/>
  <c r="L43" i="1"/>
  <c r="E44" i="1"/>
  <c r="E47" i="1"/>
  <c r="L48" i="1"/>
  <c r="L51" i="1"/>
  <c r="E52" i="1"/>
  <c r="L54" i="1"/>
  <c r="E55" i="1"/>
  <c r="L56" i="1"/>
  <c r="E57" i="1"/>
  <c r="L58" i="1"/>
  <c r="E60" i="1"/>
  <c r="L61" i="1"/>
  <c r="E62" i="1"/>
  <c r="L63" i="1"/>
  <c r="E64" i="1"/>
  <c r="L65" i="1"/>
  <c r="E66" i="1"/>
  <c r="L67" i="1"/>
  <c r="E68" i="1"/>
  <c r="L69" i="1"/>
  <c r="R70" i="1"/>
  <c r="L73" i="1"/>
  <c r="L75" i="1"/>
  <c r="L77" i="1"/>
  <c r="L78" i="1"/>
  <c r="L80" i="1"/>
  <c r="L82" i="1"/>
  <c r="L85" i="1"/>
  <c r="L87" i="1"/>
  <c r="L89" i="1"/>
  <c r="L91" i="1"/>
  <c r="L95" i="1"/>
  <c r="L97" i="1"/>
  <c r="L99" i="1"/>
  <c r="L101" i="1"/>
  <c r="L103" i="1"/>
  <c r="L107" i="1"/>
  <c r="R110" i="1"/>
  <c r="R115" i="1"/>
  <c r="R130" i="1"/>
  <c r="R134" i="1"/>
  <c r="S138" i="1"/>
  <c r="B19" i="2"/>
  <c r="B9" i="2" s="1"/>
  <c r="E195" i="1"/>
  <c r="E193" i="1"/>
  <c r="B13" i="2"/>
  <c r="B3" i="2" s="1"/>
  <c r="R25" i="1"/>
  <c r="T25" i="1"/>
  <c r="C14" i="2"/>
  <c r="C4" i="2" s="1"/>
  <c r="L96" i="1"/>
  <c r="R140" i="1"/>
  <c r="R142" i="1"/>
  <c r="R146" i="1"/>
  <c r="B17" i="2"/>
  <c r="B7" i="2" s="1"/>
  <c r="E157" i="1"/>
  <c r="E155" i="1"/>
  <c r="E153" i="1"/>
  <c r="B18" i="2"/>
  <c r="B8" i="2" s="1"/>
  <c r="E194" i="1"/>
  <c r="R196" i="1"/>
  <c r="L201" i="1"/>
  <c r="L206" i="1"/>
  <c r="L211" i="1"/>
  <c r="L213" i="1"/>
  <c r="L215" i="1"/>
  <c r="L219" i="1"/>
  <c r="R221" i="1"/>
  <c r="E226" i="1"/>
  <c r="L230" i="1"/>
  <c r="C17" i="2"/>
  <c r="C7" i="2" s="1"/>
  <c r="C18" i="2"/>
  <c r="C8" i="2" s="1"/>
  <c r="C19" i="2"/>
  <c r="C9" i="2" s="1"/>
  <c r="C20" i="2"/>
  <c r="C10" i="2" s="1"/>
  <c r="E117" i="1" l="1"/>
  <c r="E125" i="1"/>
  <c r="L117" i="1"/>
  <c r="E130" i="1"/>
  <c r="E145" i="1"/>
  <c r="L127" i="1"/>
  <c r="L145" i="1"/>
  <c r="E133" i="1"/>
  <c r="E138" i="1"/>
  <c r="E139" i="1"/>
  <c r="E129" i="1"/>
  <c r="E114" i="1"/>
  <c r="E119" i="1"/>
  <c r="E134" i="1"/>
  <c r="D222" i="1"/>
  <c r="E70" i="1" s="1"/>
  <c r="E127" i="1"/>
  <c r="E146" i="1"/>
  <c r="E135" i="1"/>
  <c r="E116" i="1"/>
  <c r="E118" i="1"/>
  <c r="E149" i="1"/>
  <c r="E142" i="1"/>
  <c r="E121" i="1"/>
  <c r="E137" i="1"/>
  <c r="E122" i="1"/>
  <c r="E141" i="1"/>
  <c r="E140" i="1"/>
  <c r="E124" i="1"/>
  <c r="E144" i="1"/>
  <c r="E126" i="1"/>
  <c r="B16" i="2"/>
  <c r="B6" i="2" s="1"/>
  <c r="E128" i="1"/>
  <c r="E123" i="1"/>
  <c r="E115" i="1"/>
  <c r="L142" i="1"/>
  <c r="K222" i="1"/>
  <c r="L150" i="1" s="1"/>
  <c r="L134" i="1"/>
  <c r="L116" i="1"/>
  <c r="C16" i="2"/>
  <c r="C6" i="2" s="1"/>
  <c r="L147" i="1"/>
  <c r="L138" i="1"/>
  <c r="L149" i="1"/>
  <c r="L144" i="1"/>
  <c r="L141" i="1"/>
  <c r="R150" i="1"/>
  <c r="L139" i="1"/>
  <c r="L137" i="1"/>
  <c r="L133" i="1"/>
  <c r="L129" i="1"/>
  <c r="L124" i="1"/>
  <c r="L122" i="1"/>
  <c r="L114" i="1"/>
  <c r="L128" i="1"/>
  <c r="L126" i="1"/>
  <c r="L123" i="1"/>
  <c r="L121" i="1"/>
  <c r="L118" i="1"/>
  <c r="L115" i="1"/>
  <c r="L146" i="1"/>
  <c r="L140" i="1"/>
  <c r="L130" i="1"/>
  <c r="L119" i="1"/>
  <c r="L120" i="1"/>
  <c r="E196" i="1" l="1"/>
  <c r="E110" i="1"/>
  <c r="E190" i="1"/>
  <c r="E158" i="1"/>
  <c r="E221" i="1"/>
  <c r="D248" i="1"/>
  <c r="E25" i="1"/>
  <c r="E150" i="1"/>
  <c r="K248" i="1"/>
  <c r="R222" i="1"/>
  <c r="L196" i="1"/>
  <c r="L25" i="1"/>
  <c r="L190" i="1"/>
  <c r="L158" i="1"/>
  <c r="L70" i="1"/>
  <c r="L110" i="1"/>
  <c r="L221" i="1"/>
</calcChain>
</file>

<file path=xl/sharedStrings.xml><?xml version="1.0" encoding="utf-8"?>
<sst xmlns="http://schemas.openxmlformats.org/spreadsheetml/2006/main" count="508" uniqueCount="322">
  <si>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</si>
  <si>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</si>
  <si>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</si>
  <si>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</si>
  <si>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</si>
  <si>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</si>
  <si>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</si>
  <si>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</si>
  <si>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</si>
  <si>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</si>
  <si>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</si>
  <si>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</si>
  <si>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</si>
  <si>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</si>
  <si>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</si>
  <si>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</si>
  <si>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</si>
  <si>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</si>
  <si>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</si>
  <si>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</si>
  <si>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</si>
  <si>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</si>
  <si>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</si>
  <si>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</si>
  <si>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</si>
  <si>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</si>
  <si>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</si>
  <si>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</si>
  <si>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</si>
  <si>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</si>
  <si>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</si>
  <si>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</si>
  <si>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</si>
  <si>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</si>
  <si>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</si>
  <si>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</si>
  <si>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</si>
  <si>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</si>
  <si>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</si>
  <si>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</si>
  <si>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</si>
  <si>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</si>
  <si>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</si>
  <si>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</si>
  <si>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</si>
  <si>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</si>
  <si>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</si>
  <si>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</si>
  <si>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</si>
  <si>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</si>
  <si>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</si>
  <si>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</si>
  <si>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</si>
  <si>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</si>
  <si>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</si>
  <si>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</si>
  <si>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</si>
  <si>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</si>
  <si>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</si>
  <si>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</si>
  <si>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</si>
  <si>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</si>
  <si>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</si>
  <si>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</si>
  <si>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</si>
  <si>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</si>
  <si>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</si>
  <si>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</si>
  <si>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</si>
  <si>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</si>
  <si>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</si>
  <si>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</si>
  <si>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</si>
  <si>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</si>
  <si>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</si>
  <si>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</si>
  <si>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</si>
  <si>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</si>
  <si>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</si>
  <si>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</si>
  <si>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</si>
  <si>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</si>
  <si>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</si>
  <si>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</si>
  <si>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</si>
  <si>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</si>
  <si>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</si>
  <si>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</si>
  <si>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</si>
  <si>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</si>
  <si>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</si>
  <si>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</si>
  <si>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</si>
  <si>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</si>
  <si>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</si>
  <si>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</si>
  <si>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</si>
  <si>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</si>
  <si>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</si>
  <si>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</si>
  <si>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</si>
  <si>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</si>
  <si>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</si>
  <si>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</si>
  <si>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</si>
  <si>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</si>
  <si>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</si>
  <si>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</si>
  <si>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</si>
  <si>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</si>
  <si>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</si>
  <si>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</si>
  <si>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</si>
  <si>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</si>
  <si>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</si>
  <si>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</si>
  <si>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</si>
  <si>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</si>
  <si>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</si>
  <si>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</si>
  <si>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</si>
  <si>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</si>
  <si>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</si>
  <si>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</si>
  <si>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</si>
  <si>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</si>
  <si>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</si>
  <si>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</si>
  <si>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</si>
  <si>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</si>
  <si>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</si>
  <si>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</si>
  <si>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</si>
  <si>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</si>
  <si>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</si>
  <si>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</si>
  <si>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</si>
  <si>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</si>
  <si>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</si>
  <si>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</si>
  <si>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</si>
  <si>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</si>
  <si>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</si>
  <si>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</si>
  <si>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</si>
  <si>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</si>
  <si>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</si>
  <si>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</si>
  <si>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</si>
  <si>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</si>
  <si>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</si>
  <si>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</si>
  <si>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</si>
  <si>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</si>
  <si>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</si>
  <si>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</si>
  <si>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</si>
  <si>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</si>
  <si>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</si>
  <si>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</si>
  <si>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</si>
  <si>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</si>
  <si>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</si>
  <si>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</si>
  <si>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</si>
  <si>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</si>
  <si>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</si>
  <si>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</si>
  <si>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</si>
  <si>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</si>
  <si>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</si>
  <si>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</si>
  <si>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</si>
  <si>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</si>
  <si>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</si>
  <si>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</si>
  <si>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</si>
  <si>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</si>
  <si>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</si>
  <si>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</si>
  <si>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</si>
  <si>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</si>
  <si>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</si>
  <si>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</si>
  <si>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</si>
  <si>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</si>
  <si>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</si>
  <si>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</si>
  <si>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</si>
  <si>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</si>
  <si>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</si>
  <si>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</si>
  <si>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</si>
  <si>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</si>
  <si>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</si>
  <si>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</si>
  <si>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</si>
  <si>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</si>
  <si>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</si>
  <si>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</si>
  <si>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</si>
  <si>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</si>
  <si>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</si>
  <si>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</si>
  <si>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</si>
  <si>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</si>
  <si>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</si>
  <si>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</si>
  <si>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</si>
  <si>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</si>
  <si>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</si>
  <si>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</si>
  <si>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</si>
  <si>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</si>
  <si>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</si>
  <si>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</si>
  <si>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</si>
  <si>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</si>
  <si>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</si>
  <si>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</si>
  <si>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</si>
  <si>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</si>
  <si>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</si>
  <si>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</si>
  <si>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</si>
  <si>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</si>
  <si>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</si>
  <si>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</si>
  <si>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</si>
  <si>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</si>
  <si>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</si>
  <si>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</si>
  <si>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</si>
  <si>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</si>
  <si>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</si>
  <si>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</si>
  <si>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</si>
  <si>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</si>
  <si>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</si>
  <si>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</si>
  <si>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</si>
  <si>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</si>
  <si>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</si>
  <si>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</si>
  <si>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</si>
  <si>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</si>
  <si>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</si>
  <si>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</si>
  <si>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</si>
  <si>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</si>
  <si>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</si>
  <si>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</si>
  <si>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</si>
  <si>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</si>
  <si>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</si>
  <si>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</si>
  <si>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</si>
  <si>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</si>
  <si>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</si>
  <si>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</si>
  <si>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</si>
  <si>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</si>
  <si>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</si>
  <si>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</si>
  <si>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</si>
  <si>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</si>
  <si>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</si>
  <si>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</si>
  <si>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</si>
  <si>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</si>
  <si>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</si>
  <si>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</si>
  <si>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</si>
  <si>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</si>
  <si>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</si>
  <si>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</si>
  <si>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</si>
  <si>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</si>
  <si>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</si>
  <si>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</si>
  <si>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</si>
  <si>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</si>
  <si>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</si>
  <si>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</si>
  <si>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</si>
  <si>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</si>
  <si>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</si>
  <si>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</si>
  <si>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</si>
  <si>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</si>
  <si>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</si>
  <si>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</si>
  <si>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</si>
  <si>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</si>
  <si>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</si>
  <si>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</si>
  <si>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</si>
  <si>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</si>
  <si>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</si>
  <si>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</si>
  <si>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</si>
  <si>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</si>
  <si>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</si>
  <si>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</si>
  <si>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</si>
  <si>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</si>
  <si>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</si>
  <si>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</si>
  <si>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</si>
  <si>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</si>
  <si>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</si>
  <si>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NAV, Unit Price and Yield as at Week Ended April 17, 2025</t>
  </si>
  <si>
    <t>CardinalStone Balanced Fund</t>
  </si>
  <si>
    <t>0.07%</t>
  </si>
  <si>
    <t>Vetiva USD Fixed Income Fund</t>
  </si>
  <si>
    <t>Week Ended April 17, 2025</t>
  </si>
  <si>
    <t>WEEKLY VALUATION REPORT OF COLLECTIVE INVESTMENT SCHEMES AS AT WEEK ENDED THURSDAY, APRIL 25, 2025</t>
  </si>
  <si>
    <t>NAV, Unit Price and Yield as at Week Ended April 25, 2025</t>
  </si>
  <si>
    <t>NFEM RATE NG₦/US$ as at 25th April, 2025 = N1,599.5491</t>
  </si>
  <si>
    <t>Mango Asset Management Limited</t>
  </si>
  <si>
    <t>Mango Naira Money Market Fund</t>
  </si>
  <si>
    <t>Week Ended April 25,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</si>
</sst>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42" fillId="0" borderId="0" xfId="0" applyFont="1" applyBorder="1" applyAlignment="1">
      <alignment horizontal="right"/>
    </xf>
    <xf numFmtId="16" fontId="43" fillId="2" borderId="0" xfId="0" applyNumberFormat="1" applyFont="1" applyFill="1" applyBorder="1"/>
    <xf numFmtId="0" fontId="43" fillId="0" borderId="0" xfId="0" applyFont="1" applyBorder="1" applyAlignment="1">
      <alignment horizontal="right"/>
    </xf>
    <xf numFmtId="4" fontId="44" fillId="2" borderId="0" xfId="0" applyNumberFormat="1" applyFont="1" applyFill="1" applyBorder="1"/>
    <xf numFmtId="164" fontId="44" fillId="2" borderId="0" xfId="1" applyFont="1" applyFill="1" applyBorder="1" applyAlignment="1">
      <alignment horizontal="right" vertical="top" wrapText="1"/>
    </xf>
    <xf numFmtId="4" fontId="44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4" fontId="44" fillId="2" borderId="0" xfId="0" applyNumberFormat="1" applyFont="1" applyFill="1"/>
    <xf numFmtId="0" fontId="41" fillId="0" borderId="0" xfId="0" applyFont="1"/>
    <xf numFmtId="16" fontId="45" fillId="2" borderId="0" xfId="0" applyNumberFormat="1" applyFont="1" applyFill="1"/>
    <xf numFmtId="164" fontId="46" fillId="0" borderId="0" xfId="1" applyFont="1"/>
    <xf numFmtId="43" fontId="46" fillId="0" borderId="0" xfId="0" applyNumberFormat="1" applyFont="1"/>
    <xf numFmtId="4" fontId="46" fillId="0" borderId="0" xfId="0" applyNumberFormat="1" applyFont="1"/>
    <xf numFmtId="0" fontId="47" fillId="0" borderId="0" xfId="0" applyFont="1" applyBorder="1" applyAlignment="1">
      <alignment horizontal="right"/>
    </xf>
    <xf numFmtId="16" fontId="47" fillId="2" borderId="0" xfId="0" applyNumberFormat="1" applyFont="1" applyFill="1" applyBorder="1" applyAlignment="1">
      <alignment horizontal="center" wrapText="1"/>
    </xf>
    <xf numFmtId="0" fontId="48" fillId="0" borderId="0" xfId="0" applyFont="1" applyBorder="1"/>
    <xf numFmtId="0" fontId="47" fillId="0" borderId="0" xfId="0" applyFont="1" applyBorder="1" applyAlignment="1">
      <alignment horizontal="right" wrapText="1"/>
    </xf>
    <xf numFmtId="4" fontId="49" fillId="2" borderId="0" xfId="0" applyNumberFormat="1" applyFont="1" applyFill="1" applyBorder="1"/>
    <xf numFmtId="4" fontId="49" fillId="2" borderId="0" xfId="0" applyNumberFormat="1" applyFont="1" applyFill="1" applyBorder="1" applyAlignment="1">
      <alignment horizontal="right"/>
    </xf>
    <xf numFmtId="164" fontId="49" fillId="2" borderId="0" xfId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right" wrapText="1"/>
    </xf>
    <xf numFmtId="164" fontId="51" fillId="0" borderId="0" xfId="1" applyFont="1" applyBorder="1"/>
    <xf numFmtId="4" fontId="51" fillId="2" borderId="0" xfId="0" applyNumberFormat="1" applyFont="1" applyFill="1" applyBorder="1"/>
    <xf numFmtId="0" fontId="50" fillId="0" borderId="0" xfId="0" applyFont="1" applyBorder="1" applyAlignment="1">
      <alignment horizontal="right"/>
    </xf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43" fillId="0" borderId="0" xfId="0" applyFont="1" applyAlignment="1">
      <alignment horizontal="right"/>
    </xf>
    <xf numFmtId="0" fontId="16" fillId="0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49" fontId="16" fillId="2" borderId="1" xfId="0" applyNumberFormat="1" applyFont="1" applyFill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April 17,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36.683565580029999</c:v>
                </c:pt>
                <c:pt idx="1">
                  <c:v>2676.7487566401933</c:v>
                </c:pt>
                <c:pt idx="2">
                  <c:v>208.40109785344882</c:v>
                </c:pt>
                <c:pt idx="3">
                  <c:v>1923.4873303636252</c:v>
                </c:pt>
                <c:pt idx="4">
                  <c:v>101.48909887364462</c:v>
                </c:pt>
                <c:pt idx="5" formatCode="_-* #,##0.00_-;\-* #,##0.00_-;_-* &quot;-&quot;??_-;_-@_-">
                  <c:v>57.583359181107909</c:v>
                </c:pt>
                <c:pt idx="6">
                  <c:v>6.6512489927700003</c:v>
                </c:pt>
                <c:pt idx="7">
                  <c:v>57.091876521208221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April 25,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37.720290975739999</c:v>
                </c:pt>
                <c:pt idx="1">
                  <c:v>2723.2827851428519</c:v>
                </c:pt>
                <c:pt idx="2">
                  <c:v>208.85594568608514</c:v>
                </c:pt>
                <c:pt idx="3">
                  <c:v>1938.2214682009042</c:v>
                </c:pt>
                <c:pt idx="4">
                  <c:v>102.3011133570766</c:v>
                </c:pt>
                <c:pt idx="5" formatCode="_-* #,##0.00_-;\-* #,##0.00_-;_-* &quot;-&quot;??_-;_-@_-">
                  <c:v>58.607779909068441</c:v>
                </c:pt>
                <c:pt idx="6">
                  <c:v>6.8596522230999994</c:v>
                </c:pt>
                <c:pt idx="7">
                  <c:v>57.66277256610752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25TH APRIL,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956203935692616"/>
          <c:y val="4.039749557222198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25-Apr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6859652223.0999994</c:v>
                </c:pt>
                <c:pt idx="1">
                  <c:v>37720290975.739998</c:v>
                </c:pt>
                <c:pt idx="2" formatCode="_-* #,##0.00_-;\-* #,##0.00_-;_-* &quot;-&quot;??_-;_-@_-">
                  <c:v>57662772566.107521</c:v>
                </c:pt>
                <c:pt idx="3">
                  <c:v>58607779909.068443</c:v>
                </c:pt>
                <c:pt idx="4">
                  <c:v>102301113357.0766</c:v>
                </c:pt>
                <c:pt idx="5">
                  <c:v>208855945686.08514</c:v>
                </c:pt>
                <c:pt idx="6">
                  <c:v>1938221468200.9041</c:v>
                </c:pt>
                <c:pt idx="7">
                  <c:v>2723282785142.8521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45723</c:v>
                </c:pt>
                <c:pt idx="1">
                  <c:v>45730</c:v>
                </c:pt>
                <c:pt idx="2">
                  <c:v>45737</c:v>
                </c:pt>
                <c:pt idx="3">
                  <c:v>45744</c:v>
                </c:pt>
                <c:pt idx="4">
                  <c:v>45751</c:v>
                </c:pt>
                <c:pt idx="5">
                  <c:v>45758</c:v>
                </c:pt>
                <c:pt idx="6">
                  <c:v>45764</c:v>
                </c:pt>
                <c:pt idx="7">
                  <c:v>45772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4472.6943933207594</c:v>
                </c:pt>
                <c:pt idx="1">
                  <c:v>4607.4792017079635</c:v>
                </c:pt>
                <c:pt idx="2">
                  <c:v>4719.0196974991832</c:v>
                </c:pt>
                <c:pt idx="3">
                  <c:v>4783.453626583896</c:v>
                </c:pt>
                <c:pt idx="4">
                  <c:v>4920.9783287926193</c:v>
                </c:pt>
                <c:pt idx="5">
                  <c:v>5027.3059345650499</c:v>
                </c:pt>
                <c:pt idx="6">
                  <c:v>5068.1363340060261</c:v>
                </c:pt>
                <c:pt idx="7">
                  <c:v>5133.5118080609327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45723</c:v>
                </c:pt>
                <c:pt idx="1">
                  <c:v>45730</c:v>
                </c:pt>
                <c:pt idx="2">
                  <c:v>45737</c:v>
                </c:pt>
                <c:pt idx="3">
                  <c:v>45744</c:v>
                </c:pt>
                <c:pt idx="4">
                  <c:v>45751</c:v>
                </c:pt>
                <c:pt idx="5">
                  <c:v>45758</c:v>
                </c:pt>
                <c:pt idx="6">
                  <c:v>45764</c:v>
                </c:pt>
                <c:pt idx="7">
                  <c:v>45772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13.40889556580691</c:v>
                </c:pt>
                <c:pt idx="1">
                  <c:v>13.225205337489792</c:v>
                </c:pt>
                <c:pt idx="2">
                  <c:v>13.115951569109791</c:v>
                </c:pt>
                <c:pt idx="3">
                  <c:v>13.246875880158331</c:v>
                </c:pt>
                <c:pt idx="4">
                  <c:v>13.252536997856778</c:v>
                </c:pt>
                <c:pt idx="5">
                  <c:v>13.325340046259999</c:v>
                </c:pt>
                <c:pt idx="6">
                  <c:v>13.257768084610001</c:v>
                </c:pt>
                <c:pt idx="7">
                  <c:v>13.511956801399998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5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76" t="s">
        <v>316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25" ht="15" customHeight="1">
      <c r="A2" s="138"/>
      <c r="B2" s="23"/>
      <c r="C2" s="126"/>
      <c r="D2" s="177" t="s">
        <v>311</v>
      </c>
      <c r="E2" s="177"/>
      <c r="F2" s="177"/>
      <c r="G2" s="177"/>
      <c r="H2" s="177"/>
      <c r="I2" s="177"/>
      <c r="J2" s="177"/>
      <c r="K2" s="177" t="s">
        <v>317</v>
      </c>
      <c r="L2" s="177"/>
      <c r="M2" s="177"/>
      <c r="N2" s="177"/>
      <c r="O2" s="177"/>
      <c r="P2" s="177"/>
      <c r="Q2" s="177"/>
      <c r="R2" s="177" t="s">
        <v>0</v>
      </c>
      <c r="S2" s="177"/>
      <c r="T2" s="177"/>
      <c r="U2" s="177" t="s">
        <v>1</v>
      </c>
      <c r="V2" s="177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289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39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5" spans="1:25" ht="15" customHeight="1">
      <c r="A5" s="179" t="s">
        <v>17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</row>
    <row r="6" spans="1:25">
      <c r="A6" s="140">
        <v>1</v>
      </c>
      <c r="B6" s="133" t="s">
        <v>18</v>
      </c>
      <c r="C6" s="134" t="s">
        <v>19</v>
      </c>
      <c r="D6" s="29">
        <v>1481854707.3199999</v>
      </c>
      <c r="E6" s="30">
        <f t="shared" ref="E6:E22" si="0">(D6/$D$25)</f>
        <v>4.03956017875945E-2</v>
      </c>
      <c r="F6" s="31">
        <v>408.46480000000003</v>
      </c>
      <c r="G6" s="31">
        <v>412.14609999999999</v>
      </c>
      <c r="H6" s="32">
        <v>1816</v>
      </c>
      <c r="I6" s="50">
        <v>-1.5599999999999999E-2</v>
      </c>
      <c r="J6" s="50">
        <v>2.76E-2</v>
      </c>
      <c r="K6" s="29">
        <v>1534576927.6300001</v>
      </c>
      <c r="L6" s="30">
        <f t="shared" ref="L6:L22" si="1">(K6/$K$25)</f>
        <v>4.0683061766861005E-2</v>
      </c>
      <c r="M6" s="31">
        <v>428.31939999999997</v>
      </c>
      <c r="N6" s="31">
        <v>431.75330000000002</v>
      </c>
      <c r="O6" s="32">
        <v>1816</v>
      </c>
      <c r="P6" s="50">
        <v>4.8599999999999997E-2</v>
      </c>
      <c r="Q6" s="50">
        <v>7.7499999999999999E-2</v>
      </c>
      <c r="R6" s="56">
        <f>((K6-D6)/D6)</f>
        <v>3.5578535499847116E-2</v>
      </c>
      <c r="S6" s="56">
        <f>((N6-G6)/G6)</f>
        <v>4.7573421172734706E-2</v>
      </c>
      <c r="T6" s="56">
        <f>((O6-H6)/H6)</f>
        <v>0</v>
      </c>
      <c r="U6" s="57">
        <f>P6-I6</f>
        <v>6.4199999999999993E-2</v>
      </c>
      <c r="V6" s="58">
        <f>Q6-J6</f>
        <v>4.99E-2</v>
      </c>
    </row>
    <row r="7" spans="1:25">
      <c r="A7" s="140">
        <v>2</v>
      </c>
      <c r="B7" s="133" t="s">
        <v>20</v>
      </c>
      <c r="C7" s="134" t="s">
        <v>21</v>
      </c>
      <c r="D7" s="33">
        <v>637748604.94000006</v>
      </c>
      <c r="E7" s="30">
        <f t="shared" si="0"/>
        <v>1.7385131321236154E-2</v>
      </c>
      <c r="F7" s="33">
        <v>266.6816</v>
      </c>
      <c r="G7" s="33">
        <v>269.89600000000002</v>
      </c>
      <c r="H7" s="32">
        <v>467</v>
      </c>
      <c r="I7" s="50">
        <v>3.8180000000000002E-3</v>
      </c>
      <c r="J7" s="50">
        <v>3.56E-2</v>
      </c>
      <c r="K7" s="33">
        <v>654779901.37</v>
      </c>
      <c r="L7" s="30">
        <f t="shared" si="1"/>
        <v>1.7358824241072931E-2</v>
      </c>
      <c r="M7" s="33">
        <v>273.80720000000002</v>
      </c>
      <c r="N7" s="33">
        <v>277.09870000000001</v>
      </c>
      <c r="O7" s="32">
        <v>467</v>
      </c>
      <c r="P7" s="50">
        <v>6.2699999999999995E-4</v>
      </c>
      <c r="Q7" s="50">
        <v>6.3299999999999995E-2</v>
      </c>
      <c r="R7" s="56">
        <f t="shared" ref="R7:R25" si="2">((K7-D7)/D7)</f>
        <v>2.6705344861714386E-2</v>
      </c>
      <c r="S7" s="56">
        <f t="shared" ref="S7:S25" si="3">((N7-G7)/G7)</f>
        <v>2.6686946082935623E-2</v>
      </c>
      <c r="T7" s="56">
        <f t="shared" ref="T7:T25" si="4">((O7-H7)/H7)</f>
        <v>0</v>
      </c>
      <c r="U7" s="57">
        <f t="shared" ref="U7:U25" si="5">P7-I7</f>
        <v>-3.1910000000000003E-3</v>
      </c>
      <c r="V7" s="58">
        <f t="shared" ref="V7:V25" si="6">Q7-J7</f>
        <v>2.7699999999999995E-2</v>
      </c>
    </row>
    <row r="8" spans="1:25">
      <c r="A8" s="140">
        <v>3</v>
      </c>
      <c r="B8" s="133" t="s">
        <v>22</v>
      </c>
      <c r="C8" s="134" t="s">
        <v>23</v>
      </c>
      <c r="D8" s="33">
        <v>4045850680.52</v>
      </c>
      <c r="E8" s="30">
        <f t="shared" si="0"/>
        <v>0.11029055154667142</v>
      </c>
      <c r="F8" s="33">
        <v>36.479500000000002</v>
      </c>
      <c r="G8" s="33">
        <v>37.5794</v>
      </c>
      <c r="H8" s="34">
        <v>6680</v>
      </c>
      <c r="I8" s="51">
        <v>1.0004999999999999</v>
      </c>
      <c r="J8" s="51">
        <v>9.7600000000000006E-2</v>
      </c>
      <c r="K8" s="33">
        <v>4032974940.3400002</v>
      </c>
      <c r="L8" s="30">
        <f t="shared" si="1"/>
        <v>0.10691791701537587</v>
      </c>
      <c r="M8" s="33">
        <v>36.313699999999997</v>
      </c>
      <c r="N8" s="33">
        <v>37.4086</v>
      </c>
      <c r="O8" s="34">
        <v>6691</v>
      </c>
      <c r="P8" s="51">
        <v>0.73399999999999999</v>
      </c>
      <c r="Q8" s="51">
        <v>7.6899999999999996E-2</v>
      </c>
      <c r="R8" s="56">
        <f t="shared" si="2"/>
        <v>-3.1824556061829132E-3</v>
      </c>
      <c r="S8" s="56">
        <f t="shared" si="3"/>
        <v>-4.5450432949967227E-3</v>
      </c>
      <c r="T8" s="56">
        <f t="shared" si="4"/>
        <v>1.6467065868263472E-3</v>
      </c>
      <c r="U8" s="57">
        <f t="shared" si="5"/>
        <v>-0.26649999999999996</v>
      </c>
      <c r="V8" s="58">
        <f t="shared" si="6"/>
        <v>-2.070000000000001E-2</v>
      </c>
      <c r="X8" s="59"/>
      <c r="Y8" s="59"/>
    </row>
    <row r="9" spans="1:25">
      <c r="A9" s="140">
        <v>4</v>
      </c>
      <c r="B9" s="133" t="s">
        <v>24</v>
      </c>
      <c r="C9" s="134" t="s">
        <v>25</v>
      </c>
      <c r="D9" s="33">
        <v>566646098.37</v>
      </c>
      <c r="E9" s="30">
        <f t="shared" si="0"/>
        <v>1.544686535810668E-2</v>
      </c>
      <c r="F9" s="33">
        <v>217.32579999999999</v>
      </c>
      <c r="G9" s="33">
        <v>217.32579999999999</v>
      </c>
      <c r="H9" s="32">
        <v>1938</v>
      </c>
      <c r="I9" s="50">
        <v>-2.1700000000000001E-2</v>
      </c>
      <c r="J9" s="50">
        <v>-7.4999999999999997E-3</v>
      </c>
      <c r="K9" s="33">
        <v>581991197.70000005</v>
      </c>
      <c r="L9" s="30">
        <f t="shared" si="1"/>
        <v>1.5429128001009079E-2</v>
      </c>
      <c r="M9" s="33">
        <v>223.2817</v>
      </c>
      <c r="N9" s="33">
        <v>223.2817</v>
      </c>
      <c r="O9" s="32">
        <v>1942</v>
      </c>
      <c r="P9" s="50">
        <v>2.7400000000000001E-2</v>
      </c>
      <c r="Q9" s="50">
        <v>1.9699999999999999E-2</v>
      </c>
      <c r="R9" s="56">
        <f t="shared" si="2"/>
        <v>2.7080569996231107E-2</v>
      </c>
      <c r="S9" s="56">
        <f t="shared" si="3"/>
        <v>2.7405397794463493E-2</v>
      </c>
      <c r="T9" s="56">
        <f t="shared" si="4"/>
        <v>2.0639834881320948E-3</v>
      </c>
      <c r="U9" s="57">
        <f t="shared" si="5"/>
        <v>4.9100000000000005E-2</v>
      </c>
      <c r="V9" s="58">
        <f t="shared" si="6"/>
        <v>2.7199999999999998E-2</v>
      </c>
    </row>
    <row r="10" spans="1:25">
      <c r="A10" s="140">
        <v>5</v>
      </c>
      <c r="B10" s="133" t="s">
        <v>26</v>
      </c>
      <c r="C10" s="134" t="s">
        <v>27</v>
      </c>
      <c r="D10" s="33">
        <v>991477338.55999994</v>
      </c>
      <c r="E10" s="30">
        <f t="shared" si="0"/>
        <v>2.7027834478002482E-2</v>
      </c>
      <c r="F10" s="33">
        <v>1.2844</v>
      </c>
      <c r="G10" s="33">
        <v>1.2992999999999999</v>
      </c>
      <c r="H10" s="32">
        <v>509</v>
      </c>
      <c r="I10" s="50">
        <v>-7.6E-3</v>
      </c>
      <c r="J10" s="50">
        <v>3.6299999999999999E-2</v>
      </c>
      <c r="K10" s="33">
        <v>984054371.96000004</v>
      </c>
      <c r="L10" s="30">
        <f t="shared" si="1"/>
        <v>2.6088196737212334E-2</v>
      </c>
      <c r="M10" s="33">
        <v>1.3042</v>
      </c>
      <c r="N10" s="33">
        <v>1.3197000000000001</v>
      </c>
      <c r="O10" s="32">
        <v>510</v>
      </c>
      <c r="P10" s="50">
        <v>1.5599999999999999E-2</v>
      </c>
      <c r="Q10" s="50">
        <v>5.2400000000000002E-2</v>
      </c>
      <c r="R10" s="56">
        <f t="shared" si="2"/>
        <v>-7.4867738387050372E-3</v>
      </c>
      <c r="S10" s="56">
        <f t="shared" si="3"/>
        <v>1.5700761948741784E-2</v>
      </c>
      <c r="T10" s="56">
        <f t="shared" si="4"/>
        <v>1.9646365422396855E-3</v>
      </c>
      <c r="U10" s="57">
        <f t="shared" si="5"/>
        <v>2.3199999999999998E-2</v>
      </c>
      <c r="V10" s="58">
        <f t="shared" si="6"/>
        <v>1.6100000000000003E-2</v>
      </c>
    </row>
    <row r="11" spans="1:25">
      <c r="A11" s="140">
        <v>6</v>
      </c>
      <c r="B11" s="133" t="s">
        <v>28</v>
      </c>
      <c r="C11" s="134" t="s">
        <v>29</v>
      </c>
      <c r="D11" s="35">
        <v>111159754.87</v>
      </c>
      <c r="E11" s="30">
        <f t="shared" si="0"/>
        <v>3.0302331060891681E-3</v>
      </c>
      <c r="F11" s="33">
        <v>163.7766</v>
      </c>
      <c r="G11" s="33">
        <v>164.5822</v>
      </c>
      <c r="H11" s="34">
        <v>70</v>
      </c>
      <c r="I11" s="51">
        <v>-8.2299999999999995E-4</v>
      </c>
      <c r="J11" s="51">
        <v>3.9399999999999998E-2</v>
      </c>
      <c r="K11" s="35">
        <v>112227804.51000001</v>
      </c>
      <c r="L11" s="30">
        <f t="shared" si="1"/>
        <v>2.9752634883484833E-3</v>
      </c>
      <c r="M11" s="33">
        <v>165.34889999999999</v>
      </c>
      <c r="N11" s="33">
        <v>166.16679999999999</v>
      </c>
      <c r="O11" s="34">
        <v>71</v>
      </c>
      <c r="P11" s="51">
        <v>9.4629999999999992E-3</v>
      </c>
      <c r="Q11" s="51">
        <v>3.95E-2</v>
      </c>
      <c r="R11" s="56">
        <f t="shared" si="2"/>
        <v>9.6082403316656451E-3</v>
      </c>
      <c r="S11" s="56">
        <f t="shared" si="3"/>
        <v>9.6280156663356951E-3</v>
      </c>
      <c r="T11" s="56">
        <f t="shared" si="4"/>
        <v>1.4285714285714285E-2</v>
      </c>
      <c r="U11" s="57">
        <f t="shared" si="5"/>
        <v>1.0286E-2</v>
      </c>
      <c r="V11" s="58">
        <f t="shared" si="6"/>
        <v>1.0000000000000286E-4</v>
      </c>
    </row>
    <row r="12" spans="1:25">
      <c r="A12" s="140">
        <v>7</v>
      </c>
      <c r="B12" s="133" t="s">
        <v>30</v>
      </c>
      <c r="C12" s="134" t="s">
        <v>31</v>
      </c>
      <c r="D12" s="33">
        <v>1449351634.22</v>
      </c>
      <c r="E12" s="30">
        <f t="shared" si="0"/>
        <v>3.9509562696626359E-2</v>
      </c>
      <c r="F12" s="33">
        <v>354.37</v>
      </c>
      <c r="G12" s="33">
        <v>359</v>
      </c>
      <c r="H12" s="34">
        <v>1677</v>
      </c>
      <c r="I12" s="51">
        <v>-4.7999999999999996E-3</v>
      </c>
      <c r="J12" s="51">
        <v>9.4299999999999995E-2</v>
      </c>
      <c r="K12" s="33">
        <v>1492225813</v>
      </c>
      <c r="L12" s="30">
        <f t="shared" si="1"/>
        <v>3.9560294324339461E-2</v>
      </c>
      <c r="M12" s="33">
        <v>363.4</v>
      </c>
      <c r="N12" s="33">
        <v>368.1</v>
      </c>
      <c r="O12" s="34">
        <v>1679</v>
      </c>
      <c r="P12" s="51">
        <v>2.53E-2</v>
      </c>
      <c r="Q12" s="51">
        <v>0.1222</v>
      </c>
      <c r="R12" s="56">
        <f t="shared" si="2"/>
        <v>2.9581626547841609E-2</v>
      </c>
      <c r="S12" s="56">
        <f t="shared" si="3"/>
        <v>2.5348189415041845E-2</v>
      </c>
      <c r="T12" s="56">
        <f t="shared" si="4"/>
        <v>1.1926058437686344E-3</v>
      </c>
      <c r="U12" s="57">
        <f t="shared" si="5"/>
        <v>3.0099999999999998E-2</v>
      </c>
      <c r="V12" s="58">
        <f t="shared" si="6"/>
        <v>2.7900000000000008E-2</v>
      </c>
    </row>
    <row r="13" spans="1:25">
      <c r="A13" s="140">
        <v>8</v>
      </c>
      <c r="B13" s="133" t="s">
        <v>32</v>
      </c>
      <c r="C13" s="134" t="s">
        <v>33</v>
      </c>
      <c r="D13" s="29">
        <v>429753593.38</v>
      </c>
      <c r="E13" s="30">
        <f t="shared" si="0"/>
        <v>1.1715153273267187E-2</v>
      </c>
      <c r="F13" s="33">
        <v>214.17</v>
      </c>
      <c r="G13" s="33">
        <v>219.1</v>
      </c>
      <c r="H13" s="32">
        <v>2468</v>
      </c>
      <c r="I13" s="50">
        <v>2.9000000000000001E-2</v>
      </c>
      <c r="J13" s="50">
        <v>-1.226E-2</v>
      </c>
      <c r="K13" s="29">
        <v>436775938.58999997</v>
      </c>
      <c r="L13" s="30">
        <f t="shared" si="1"/>
        <v>1.1579336407317608E-2</v>
      </c>
      <c r="M13" s="33">
        <v>217.62</v>
      </c>
      <c r="N13" s="33">
        <v>224.7</v>
      </c>
      <c r="O13" s="32">
        <v>2469</v>
      </c>
      <c r="P13" s="50">
        <v>1.634E-2</v>
      </c>
      <c r="Q13" s="50">
        <v>3.7400000000000003E-2</v>
      </c>
      <c r="R13" s="56">
        <f t="shared" si="2"/>
        <v>1.6340399052325379E-2</v>
      </c>
      <c r="S13" s="56">
        <f t="shared" si="3"/>
        <v>2.5559105431309879E-2</v>
      </c>
      <c r="T13" s="56">
        <f t="shared" si="4"/>
        <v>4.051863857374392E-4</v>
      </c>
      <c r="U13" s="57">
        <f t="shared" si="5"/>
        <v>-1.2660000000000001E-2</v>
      </c>
      <c r="V13" s="58">
        <f t="shared" si="6"/>
        <v>4.9660000000000003E-2</v>
      </c>
    </row>
    <row r="14" spans="1:25">
      <c r="A14" s="140">
        <v>9</v>
      </c>
      <c r="B14" s="133" t="s">
        <v>34</v>
      </c>
      <c r="C14" s="134" t="s">
        <v>35</v>
      </c>
      <c r="D14" s="35">
        <v>64331390.829999998</v>
      </c>
      <c r="E14" s="30">
        <f t="shared" si="0"/>
        <v>1.7536842401443408E-3</v>
      </c>
      <c r="F14" s="33">
        <v>226.05</v>
      </c>
      <c r="G14" s="33">
        <v>233.19</v>
      </c>
      <c r="H14" s="32">
        <v>18</v>
      </c>
      <c r="I14" s="50">
        <v>5.0000000000000001E-3</v>
      </c>
      <c r="J14" s="50">
        <v>2.3099999999999999E-2</v>
      </c>
      <c r="K14" s="35">
        <v>64668928.240000002</v>
      </c>
      <c r="L14" s="30">
        <f t="shared" si="1"/>
        <v>1.7144334406537893E-3</v>
      </c>
      <c r="M14" s="33">
        <v>226.83</v>
      </c>
      <c r="N14" s="33">
        <v>234</v>
      </c>
      <c r="O14" s="32">
        <v>18</v>
      </c>
      <c r="P14" s="50">
        <v>3.5000000000000001E-3</v>
      </c>
      <c r="Q14" s="50">
        <v>2.6700000000000002E-2</v>
      </c>
      <c r="R14" s="56">
        <f t="shared" si="2"/>
        <v>5.2468539175838597E-3</v>
      </c>
      <c r="S14" s="56">
        <f t="shared" si="3"/>
        <v>3.4735623311462852E-3</v>
      </c>
      <c r="T14" s="56">
        <f t="shared" si="4"/>
        <v>0</v>
      </c>
      <c r="U14" s="57">
        <f t="shared" si="5"/>
        <v>-1.5E-3</v>
      </c>
      <c r="V14" s="58">
        <f t="shared" si="6"/>
        <v>3.6000000000000025E-3</v>
      </c>
    </row>
    <row r="15" spans="1:25" ht="14.25" customHeight="1">
      <c r="A15" s="140">
        <v>10</v>
      </c>
      <c r="B15" s="133" t="s">
        <v>36</v>
      </c>
      <c r="C15" s="134" t="s">
        <v>37</v>
      </c>
      <c r="D15" s="29">
        <v>768920386.64999998</v>
      </c>
      <c r="E15" s="30">
        <f t="shared" si="0"/>
        <v>2.096089555341886E-2</v>
      </c>
      <c r="F15" s="33">
        <v>2.5121560000000001</v>
      </c>
      <c r="G15" s="33">
        <v>2.5121560000000001</v>
      </c>
      <c r="H15" s="32">
        <v>506</v>
      </c>
      <c r="I15" s="50">
        <v>-2.1203727766593405E-2</v>
      </c>
      <c r="J15" s="50">
        <v>0.1993104393204268</v>
      </c>
      <c r="K15" s="29">
        <v>807089433.53999996</v>
      </c>
      <c r="L15" s="30">
        <f t="shared" si="1"/>
        <v>2.1396691612455582E-2</v>
      </c>
      <c r="M15" s="33">
        <v>2.5679750000000001</v>
      </c>
      <c r="N15" s="33">
        <v>2.598573</v>
      </c>
      <c r="O15" s="32">
        <v>510</v>
      </c>
      <c r="P15" s="50">
        <v>2.2219559613336104E-2</v>
      </c>
      <c r="Q15" s="50">
        <v>0.22595858912180322</v>
      </c>
      <c r="R15" s="56">
        <f t="shared" si="2"/>
        <v>4.9639790481161884E-2</v>
      </c>
      <c r="S15" s="56">
        <f t="shared" si="3"/>
        <v>3.4399535697623856E-2</v>
      </c>
      <c r="T15" s="56">
        <f t="shared" si="4"/>
        <v>7.9051383399209481E-3</v>
      </c>
      <c r="U15" s="57">
        <f t="shared" si="5"/>
        <v>4.3423287379929509E-2</v>
      </c>
      <c r="V15" s="58">
        <f t="shared" si="6"/>
        <v>2.664814980137642E-2</v>
      </c>
    </row>
    <row r="16" spans="1:25" ht="14.25" customHeight="1">
      <c r="A16" s="140">
        <v>11</v>
      </c>
      <c r="B16" s="133" t="s">
        <v>38</v>
      </c>
      <c r="C16" s="134" t="s">
        <v>39</v>
      </c>
      <c r="D16" s="29">
        <v>37220556.68</v>
      </c>
      <c r="E16" s="30">
        <f t="shared" si="0"/>
        <v>1.0146384652494722E-3</v>
      </c>
      <c r="F16" s="33">
        <v>15.67</v>
      </c>
      <c r="G16" s="33">
        <v>16.18</v>
      </c>
      <c r="H16" s="32">
        <v>29</v>
      </c>
      <c r="I16" s="50">
        <v>-2.9999999999999997E-4</v>
      </c>
      <c r="J16" s="50">
        <v>0.54</v>
      </c>
      <c r="K16" s="29">
        <v>39759817.600000001</v>
      </c>
      <c r="L16" s="30">
        <f t="shared" si="1"/>
        <v>1.0540697479129134E-3</v>
      </c>
      <c r="M16" s="33">
        <v>16.739999999999998</v>
      </c>
      <c r="N16" s="33">
        <v>17.27</v>
      </c>
      <c r="O16" s="32">
        <v>29</v>
      </c>
      <c r="P16" s="50">
        <v>6.6100000000000006E-2</v>
      </c>
      <c r="Q16" s="50">
        <v>0.64</v>
      </c>
      <c r="R16" s="56">
        <f t="shared" ref="R16" si="7">((K16-D16)/D16)</f>
        <v>6.8222002745177687E-2</v>
      </c>
      <c r="S16" s="56">
        <f t="shared" ref="S16" si="8">((N16-G16)/G16)</f>
        <v>6.7367119901112479E-2</v>
      </c>
      <c r="T16" s="56">
        <f t="shared" ref="T16" si="9">((O16-H16)/H16)</f>
        <v>0</v>
      </c>
      <c r="U16" s="57">
        <f t="shared" ref="U16" si="10">P16-I16</f>
        <v>6.6400000000000001E-2</v>
      </c>
      <c r="V16" s="58">
        <f t="shared" ref="V16" si="11">Q16-J16</f>
        <v>9.9999999999999978E-2</v>
      </c>
    </row>
    <row r="17" spans="1:22">
      <c r="A17" s="140">
        <v>12</v>
      </c>
      <c r="B17" s="133" t="s">
        <v>40</v>
      </c>
      <c r="C17" s="134" t="s">
        <v>41</v>
      </c>
      <c r="D17" s="129">
        <v>1860771233.28</v>
      </c>
      <c r="E17" s="30">
        <f t="shared" si="0"/>
        <v>5.0724928284860533E-2</v>
      </c>
      <c r="F17" s="33">
        <v>3.79</v>
      </c>
      <c r="G17" s="33">
        <v>3.88</v>
      </c>
      <c r="H17" s="32">
        <v>3651</v>
      </c>
      <c r="I17" s="50">
        <v>-2.3E-2</v>
      </c>
      <c r="J17" s="50">
        <v>4.2799999999999998E-2</v>
      </c>
      <c r="K17" s="129">
        <v>1907510653.8399999</v>
      </c>
      <c r="L17" s="30">
        <f t="shared" si="1"/>
        <v>5.0569881739958619E-2</v>
      </c>
      <c r="M17" s="33">
        <v>3.89</v>
      </c>
      <c r="N17" s="33">
        <v>3.97</v>
      </c>
      <c r="O17" s="32">
        <v>3651</v>
      </c>
      <c r="P17" s="50">
        <v>1.3299999999999999E-2</v>
      </c>
      <c r="Q17" s="50">
        <v>6.7900000000000002E-2</v>
      </c>
      <c r="R17" s="56">
        <f t="shared" si="2"/>
        <v>2.5118305638040149E-2</v>
      </c>
      <c r="S17" s="56">
        <f t="shared" si="3"/>
        <v>2.3195876288659871E-2</v>
      </c>
      <c r="T17" s="56">
        <f t="shared" si="4"/>
        <v>0</v>
      </c>
      <c r="U17" s="57">
        <f t="shared" si="5"/>
        <v>3.6299999999999999E-2</v>
      </c>
      <c r="V17" s="58">
        <f t="shared" si="6"/>
        <v>2.5100000000000004E-2</v>
      </c>
    </row>
    <row r="18" spans="1:22">
      <c r="A18" s="140">
        <v>13</v>
      </c>
      <c r="B18" s="133" t="s">
        <v>42</v>
      </c>
      <c r="C18" s="134" t="s">
        <v>43</v>
      </c>
      <c r="D18" s="33">
        <v>931472171.20999992</v>
      </c>
      <c r="E18" s="30">
        <f t="shared" si="0"/>
        <v>2.5392083797794177E-2</v>
      </c>
      <c r="F18" s="33">
        <v>24.904686999999999</v>
      </c>
      <c r="G18" s="33">
        <v>25.054817</v>
      </c>
      <c r="H18" s="32">
        <v>478</v>
      </c>
      <c r="I18" s="50">
        <v>-1.7951543018423055E-2</v>
      </c>
      <c r="J18" s="50">
        <v>2.5205047702993033E-2</v>
      </c>
      <c r="K18" s="33">
        <v>967127167.99000001</v>
      </c>
      <c r="L18" s="30">
        <f t="shared" si="1"/>
        <v>2.563944081481272E-2</v>
      </c>
      <c r="M18" s="33">
        <v>25.782349</v>
      </c>
      <c r="N18" s="33">
        <v>25.940743999999999</v>
      </c>
      <c r="O18" s="32">
        <v>473</v>
      </c>
      <c r="P18" s="50">
        <v>3.5240836393567232E-2</v>
      </c>
      <c r="Q18" s="50">
        <v>6.1334131058953689E-2</v>
      </c>
      <c r="R18" s="56">
        <f t="shared" si="2"/>
        <v>3.8278112735975332E-2</v>
      </c>
      <c r="S18" s="56">
        <f t="shared" si="3"/>
        <v>3.5359547826671368E-2</v>
      </c>
      <c r="T18" s="56">
        <f t="shared" si="4"/>
        <v>-1.0460251046025104E-2</v>
      </c>
      <c r="U18" s="57">
        <f t="shared" si="5"/>
        <v>5.3192379411990287E-2</v>
      </c>
      <c r="V18" s="58">
        <f t="shared" si="6"/>
        <v>3.6129083355960656E-2</v>
      </c>
    </row>
    <row r="19" spans="1:22">
      <c r="A19" s="140">
        <v>14</v>
      </c>
      <c r="B19" s="133" t="s">
        <v>44</v>
      </c>
      <c r="C19" s="134" t="s">
        <v>45</v>
      </c>
      <c r="D19" s="33">
        <v>135531335.16</v>
      </c>
      <c r="E19" s="30">
        <f t="shared" si="0"/>
        <v>3.6946063725545068E-3</v>
      </c>
      <c r="F19" s="33">
        <v>1.46</v>
      </c>
      <c r="G19" s="33">
        <v>1.52</v>
      </c>
      <c r="H19" s="32">
        <v>23</v>
      </c>
      <c r="I19" s="50">
        <v>-2.98E-2</v>
      </c>
      <c r="J19" s="50">
        <v>4.6300000000000001E-2</v>
      </c>
      <c r="K19" s="33">
        <v>134804416.84</v>
      </c>
      <c r="L19" s="30">
        <f t="shared" si="1"/>
        <v>3.5737904812743935E-3</v>
      </c>
      <c r="M19" s="33">
        <v>1.4470149999999999</v>
      </c>
      <c r="N19" s="33">
        <v>1.5077400000000001</v>
      </c>
      <c r="O19" s="32">
        <v>23</v>
      </c>
      <c r="P19" s="50">
        <v>-1.12E-2</v>
      </c>
      <c r="Q19" s="50">
        <v>0.04</v>
      </c>
      <c r="R19" s="56">
        <f t="shared" si="2"/>
        <v>-5.3634705150793181E-3</v>
      </c>
      <c r="S19" s="56">
        <f t="shared" si="3"/>
        <v>-8.0657894736841686E-3</v>
      </c>
      <c r="T19" s="56">
        <f t="shared" si="4"/>
        <v>0</v>
      </c>
      <c r="U19" s="57">
        <f t="shared" si="5"/>
        <v>1.8599999999999998E-2</v>
      </c>
      <c r="V19" s="58">
        <f t="shared" si="6"/>
        <v>-6.3E-3</v>
      </c>
    </row>
    <row r="20" spans="1:22">
      <c r="A20" s="140">
        <v>15</v>
      </c>
      <c r="B20" s="133" t="s">
        <v>46</v>
      </c>
      <c r="C20" s="134" t="s">
        <v>47</v>
      </c>
      <c r="D20" s="29">
        <v>2529817570.1199999</v>
      </c>
      <c r="E20" s="30">
        <f t="shared" si="0"/>
        <v>6.8963240898730849E-2</v>
      </c>
      <c r="F20" s="33">
        <v>32.869999999999997</v>
      </c>
      <c r="G20" s="33">
        <v>33.56</v>
      </c>
      <c r="H20" s="32">
        <v>8944</v>
      </c>
      <c r="I20" s="50">
        <v>6.6E-3</v>
      </c>
      <c r="J20" s="50">
        <v>5.6300000000000003E-2</v>
      </c>
      <c r="K20" s="29">
        <v>2686995176.3299999</v>
      </c>
      <c r="L20" s="30">
        <f t="shared" si="1"/>
        <v>7.1234741483255121E-2</v>
      </c>
      <c r="M20" s="33">
        <v>34.81</v>
      </c>
      <c r="N20" s="33">
        <v>35.56</v>
      </c>
      <c r="O20" s="32">
        <v>8944</v>
      </c>
      <c r="P20" s="50">
        <v>5.9299999999999999E-2</v>
      </c>
      <c r="Q20" s="50">
        <v>0.11890000000000001</v>
      </c>
      <c r="R20" s="56">
        <f t="shared" si="2"/>
        <v>6.2130016040067446E-2</v>
      </c>
      <c r="S20" s="56">
        <f t="shared" si="3"/>
        <v>5.9594755661501783E-2</v>
      </c>
      <c r="T20" s="56">
        <f t="shared" si="4"/>
        <v>0</v>
      </c>
      <c r="U20" s="57">
        <f t="shared" si="5"/>
        <v>5.2699999999999997E-2</v>
      </c>
      <c r="V20" s="58">
        <f t="shared" si="6"/>
        <v>6.2600000000000003E-2</v>
      </c>
    </row>
    <row r="21" spans="1:22" ht="12.75" customHeight="1">
      <c r="A21" s="140">
        <v>16</v>
      </c>
      <c r="B21" s="133" t="s">
        <v>48</v>
      </c>
      <c r="C21" s="134" t="s">
        <v>49</v>
      </c>
      <c r="D21" s="33">
        <v>871308288.61000001</v>
      </c>
      <c r="E21" s="30">
        <f t="shared" si="0"/>
        <v>2.3752006513901355E-2</v>
      </c>
      <c r="F21" s="33">
        <v>8621.24</v>
      </c>
      <c r="G21" s="33">
        <v>8737.42</v>
      </c>
      <c r="H21" s="32">
        <v>21</v>
      </c>
      <c r="I21" s="50">
        <v>2.9999999999999997E-4</v>
      </c>
      <c r="J21" s="50">
        <v>7.7200000000000005E-2</v>
      </c>
      <c r="K21" s="33">
        <v>934001753.84000003</v>
      </c>
      <c r="L21" s="30">
        <f t="shared" si="1"/>
        <v>2.4761255273473583E-2</v>
      </c>
      <c r="M21" s="33">
        <v>9019.41</v>
      </c>
      <c r="N21" s="33">
        <v>9138.7800000000007</v>
      </c>
      <c r="O21" s="32">
        <v>22</v>
      </c>
      <c r="P21" s="50">
        <v>4.5900000000000003E-2</v>
      </c>
      <c r="Q21" s="50">
        <v>0.12670000000000001</v>
      </c>
      <c r="R21" s="56">
        <f t="shared" si="2"/>
        <v>7.1953252424598227E-2</v>
      </c>
      <c r="S21" s="56">
        <f t="shared" si="3"/>
        <v>4.5935756779461281E-2</v>
      </c>
      <c r="T21" s="56">
        <f t="shared" si="4"/>
        <v>4.7619047619047616E-2</v>
      </c>
      <c r="U21" s="57">
        <f t="shared" si="5"/>
        <v>4.5600000000000002E-2</v>
      </c>
      <c r="V21" s="58">
        <f t="shared" si="6"/>
        <v>4.9500000000000002E-2</v>
      </c>
    </row>
    <row r="22" spans="1:22">
      <c r="A22" s="140">
        <v>17</v>
      </c>
      <c r="B22" s="133" t="s">
        <v>50</v>
      </c>
      <c r="C22" s="134" t="s">
        <v>49</v>
      </c>
      <c r="D22" s="33">
        <v>13503942611.049999</v>
      </c>
      <c r="E22" s="30">
        <f t="shared" si="0"/>
        <v>0.36811968513773236</v>
      </c>
      <c r="F22" s="33">
        <v>26792.07</v>
      </c>
      <c r="G22" s="33">
        <v>27190.75</v>
      </c>
      <c r="H22" s="32">
        <v>17664</v>
      </c>
      <c r="I22" s="50">
        <v>-8.0000000000000004E-4</v>
      </c>
      <c r="J22" s="50">
        <v>5.79E-2</v>
      </c>
      <c r="K22" s="33">
        <v>13931348168.1</v>
      </c>
      <c r="L22" s="30">
        <f t="shared" si="1"/>
        <v>0.36933299844001788</v>
      </c>
      <c r="M22" s="33">
        <v>27696.33</v>
      </c>
      <c r="N22" s="33">
        <v>28108.400000000001</v>
      </c>
      <c r="O22" s="32">
        <v>17666</v>
      </c>
      <c r="P22" s="50">
        <v>3.3700000000000001E-2</v>
      </c>
      <c r="Q22" s="50">
        <v>9.3700000000000006E-2</v>
      </c>
      <c r="R22" s="56">
        <f t="shared" si="2"/>
        <v>3.1650427535160286E-2</v>
      </c>
      <c r="S22" s="56">
        <f t="shared" si="3"/>
        <v>3.3748609361639578E-2</v>
      </c>
      <c r="T22" s="56">
        <f t="shared" si="4"/>
        <v>1.1322463768115942E-4</v>
      </c>
      <c r="U22" s="57">
        <f t="shared" si="5"/>
        <v>3.4500000000000003E-2</v>
      </c>
      <c r="V22" s="58">
        <f t="shared" si="6"/>
        <v>3.5800000000000005E-2</v>
      </c>
    </row>
    <row r="23" spans="1:22">
      <c r="A23" s="140">
        <v>18</v>
      </c>
      <c r="B23" s="134" t="s">
        <v>51</v>
      </c>
      <c r="C23" s="134" t="s">
        <v>52</v>
      </c>
      <c r="D23" s="33">
        <v>4102594600.98</v>
      </c>
      <c r="E23" s="30">
        <f t="shared" ref="E23" si="12">(D23/$D$25)</f>
        <v>0.11183740010304213</v>
      </c>
      <c r="F23" s="33">
        <v>1.6112</v>
      </c>
      <c r="G23" s="31">
        <v>1.6271</v>
      </c>
      <c r="H23" s="32">
        <v>4807</v>
      </c>
      <c r="I23" s="50">
        <v>-2.0999999999999999E-3</v>
      </c>
      <c r="J23" s="50">
        <v>8.0100000000000005E-2</v>
      </c>
      <c r="K23" s="33">
        <v>4117010711.9400001</v>
      </c>
      <c r="L23" s="30">
        <f t="shared" ref="L23" si="13">(K23/$K$25)</f>
        <v>0.1091457834879343</v>
      </c>
      <c r="M23" s="33">
        <v>1.6246</v>
      </c>
      <c r="N23" s="31">
        <v>1.64</v>
      </c>
      <c r="O23" s="32">
        <v>4820</v>
      </c>
      <c r="P23" s="50">
        <v>8.3000000000000001E-3</v>
      </c>
      <c r="Q23" s="50">
        <v>8.9099999999999999E-2</v>
      </c>
      <c r="R23" s="56">
        <f t="shared" ref="R23" si="14">((K23-D23)/D23)</f>
        <v>3.5139009241996308E-3</v>
      </c>
      <c r="S23" s="56">
        <f t="shared" ref="S23" si="15">((N23-G23)/G23)</f>
        <v>7.9282158441398264E-3</v>
      </c>
      <c r="T23" s="56">
        <f t="shared" ref="T23" si="16">((O23-H23)/H23)</f>
        <v>2.7043894320782193E-3</v>
      </c>
      <c r="U23" s="57">
        <f t="shared" ref="U23" si="17">P23-I23</f>
        <v>1.04E-2</v>
      </c>
      <c r="V23" s="58">
        <f t="shared" ref="V23" si="18">Q23-J23</f>
        <v>8.9999999999999941E-3</v>
      </c>
    </row>
    <row r="24" spans="1:22">
      <c r="A24" s="140">
        <v>19</v>
      </c>
      <c r="B24" s="134" t="s">
        <v>297</v>
      </c>
      <c r="C24" s="134" t="s">
        <v>298</v>
      </c>
      <c r="D24" s="33">
        <v>2163813023.2800002</v>
      </c>
      <c r="E24" s="30">
        <f>(D24/$D$25)</f>
        <v>5.8985897064977477E-2</v>
      </c>
      <c r="F24" s="33">
        <v>127.47</v>
      </c>
      <c r="G24" s="31">
        <v>131.65</v>
      </c>
      <c r="H24" s="32">
        <v>35</v>
      </c>
      <c r="I24" s="50">
        <v>5.9999999999999995E-4</v>
      </c>
      <c r="J24" s="50">
        <v>5.7700000000000001E-2</v>
      </c>
      <c r="K24" s="33">
        <v>2300367852.3800001</v>
      </c>
      <c r="L24" s="30">
        <f>(K24/$K$25)</f>
        <v>6.0984891496714426E-2</v>
      </c>
      <c r="M24" s="33">
        <v>135.4</v>
      </c>
      <c r="N24" s="31">
        <v>140.03</v>
      </c>
      <c r="O24" s="32">
        <v>35</v>
      </c>
      <c r="P24" s="50">
        <v>6.3100000000000003E-2</v>
      </c>
      <c r="Q24" s="50">
        <v>0.1245</v>
      </c>
      <c r="R24" s="56">
        <f t="shared" si="2"/>
        <v>6.3108423708904501E-2</v>
      </c>
      <c r="S24" s="56">
        <f t="shared" si="3"/>
        <v>6.3653627041397612E-2</v>
      </c>
      <c r="T24" s="56">
        <f t="shared" si="4"/>
        <v>0</v>
      </c>
      <c r="U24" s="57">
        <f t="shared" si="5"/>
        <v>6.25E-2</v>
      </c>
      <c r="V24" s="58">
        <f t="shared" si="6"/>
        <v>6.6799999999999998E-2</v>
      </c>
    </row>
    <row r="25" spans="1:22">
      <c r="A25" s="36"/>
      <c r="B25" s="37"/>
      <c r="C25" s="38" t="s">
        <v>53</v>
      </c>
      <c r="D25" s="39">
        <f>SUM(D6:D24)</f>
        <v>36683565580.029999</v>
      </c>
      <c r="E25" s="40">
        <f>(D25/$D$222)</f>
        <v>7.238077897370623E-3</v>
      </c>
      <c r="F25" s="41"/>
      <c r="G25" s="42"/>
      <c r="H25" s="43">
        <f>SUM(H6:H24)</f>
        <v>51801</v>
      </c>
      <c r="I25" s="52"/>
      <c r="J25" s="32">
        <v>0</v>
      </c>
      <c r="K25" s="39">
        <f>SUM(K6:K24)</f>
        <v>37720290975.739998</v>
      </c>
      <c r="L25" s="40">
        <f>(K25/$K$222)</f>
        <v>7.3478531629185013E-3</v>
      </c>
      <c r="M25" s="41"/>
      <c r="N25" s="42"/>
      <c r="O25" s="43">
        <f>SUM(O6:O24)</f>
        <v>51836</v>
      </c>
      <c r="P25" s="52"/>
      <c r="Q25" s="43"/>
      <c r="R25" s="56">
        <f t="shared" si="2"/>
        <v>2.8261303919550756E-2</v>
      </c>
      <c r="S25" s="56" t="e">
        <f t="shared" si="3"/>
        <v>#DIV/0!</v>
      </c>
      <c r="T25" s="56">
        <f t="shared" si="4"/>
        <v>6.7566263199552129E-4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</row>
    <row r="27" spans="1:22" ht="15" customHeight="1">
      <c r="A27" s="179" t="s">
        <v>54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</row>
    <row r="28" spans="1:22">
      <c r="A28" s="135">
        <v>20</v>
      </c>
      <c r="B28" s="133" t="s">
        <v>55</v>
      </c>
      <c r="C28" s="134" t="s">
        <v>19</v>
      </c>
      <c r="D28" s="44">
        <v>2992646305.2399998</v>
      </c>
      <c r="E28" s="30">
        <f>(D28/$K$70)</f>
        <v>1.0989113292114532E-3</v>
      </c>
      <c r="F28" s="31">
        <v>100</v>
      </c>
      <c r="G28" s="31">
        <v>100</v>
      </c>
      <c r="H28" s="32">
        <v>1166</v>
      </c>
      <c r="I28" s="50">
        <v>0.17469999999999999</v>
      </c>
      <c r="J28" s="50">
        <v>0.17469999999999999</v>
      </c>
      <c r="K28" s="44">
        <v>3034829069.1500001</v>
      </c>
      <c r="L28" s="30">
        <f t="shared" ref="L28:L69" si="19">(K28/$K$70)</f>
        <v>1.1144010037102356E-3</v>
      </c>
      <c r="M28" s="31">
        <v>100</v>
      </c>
      <c r="N28" s="31">
        <v>100</v>
      </c>
      <c r="O28" s="32">
        <v>1166</v>
      </c>
      <c r="P28" s="50">
        <v>0.1719</v>
      </c>
      <c r="Q28" s="50">
        <v>0.1719</v>
      </c>
      <c r="R28" s="56">
        <f>((K28-D28)/D28)</f>
        <v>1.4095472570928295E-2</v>
      </c>
      <c r="S28" s="56">
        <f>((N28-G28)/G28)</f>
        <v>0</v>
      </c>
      <c r="T28" s="56">
        <f>((O28-H28)/H28)</f>
        <v>0</v>
      </c>
      <c r="U28" s="57">
        <f>P28-I28</f>
        <v>-2.7999999999999969E-3</v>
      </c>
      <c r="V28" s="58">
        <f>Q28-J28</f>
        <v>-2.7999999999999969E-3</v>
      </c>
    </row>
    <row r="29" spans="1:22">
      <c r="A29" s="135">
        <v>21</v>
      </c>
      <c r="B29" s="133" t="s">
        <v>56</v>
      </c>
      <c r="C29" s="134" t="s">
        <v>57</v>
      </c>
      <c r="D29" s="44">
        <v>18840498842.810001</v>
      </c>
      <c r="E29" s="30">
        <f t="shared" ref="E29:E69" si="20">(D29/$K$70)</f>
        <v>6.918304241335594E-3</v>
      </c>
      <c r="F29" s="31">
        <v>100</v>
      </c>
      <c r="G29" s="31">
        <v>100</v>
      </c>
      <c r="H29" s="32">
        <v>2636</v>
      </c>
      <c r="I29" s="50">
        <v>0.210484</v>
      </c>
      <c r="J29" s="50">
        <v>0.210484</v>
      </c>
      <c r="K29" s="44">
        <v>19392795415.970001</v>
      </c>
      <c r="L29" s="30">
        <f t="shared" si="19"/>
        <v>7.1211096848881727E-3</v>
      </c>
      <c r="M29" s="31">
        <v>100</v>
      </c>
      <c r="N29" s="31">
        <v>100</v>
      </c>
      <c r="O29" s="32">
        <v>2663</v>
      </c>
      <c r="P29" s="50">
        <v>0.208981</v>
      </c>
      <c r="Q29" s="50">
        <v>0.208981</v>
      </c>
      <c r="R29" s="56">
        <f t="shared" ref="R29:R70" si="21">((K29-D29)/D29)</f>
        <v>2.9314328551909328E-2</v>
      </c>
      <c r="S29" s="56">
        <f t="shared" ref="S29:S70" si="22">((N29-G29)/G29)</f>
        <v>0</v>
      </c>
      <c r="T29" s="56">
        <f t="shared" ref="T29:T70" si="23">((O29-H29)/H29)</f>
        <v>1.024279210925645E-2</v>
      </c>
      <c r="U29" s="57">
        <f t="shared" ref="U29:U70" si="24">P29-I29</f>
        <v>-1.5030000000000043E-3</v>
      </c>
      <c r="V29" s="58">
        <f t="shared" ref="V29:V70" si="25">Q29-J29</f>
        <v>-1.5030000000000043E-3</v>
      </c>
    </row>
    <row r="30" spans="1:22">
      <c r="A30" s="135">
        <v>22</v>
      </c>
      <c r="B30" s="133" t="s">
        <v>58</v>
      </c>
      <c r="C30" s="134" t="s">
        <v>21</v>
      </c>
      <c r="D30" s="44">
        <v>2115999699.7</v>
      </c>
      <c r="E30" s="30">
        <f t="shared" si="20"/>
        <v>7.7700329589128713E-4</v>
      </c>
      <c r="F30" s="31">
        <v>100</v>
      </c>
      <c r="G30" s="31">
        <v>100</v>
      </c>
      <c r="H30" s="32">
        <v>1952</v>
      </c>
      <c r="I30" s="50">
        <v>0.1958</v>
      </c>
      <c r="J30" s="50">
        <v>0.1958</v>
      </c>
      <c r="K30" s="44">
        <v>1794717261.3399999</v>
      </c>
      <c r="L30" s="30">
        <f t="shared" si="19"/>
        <v>6.5902713854443012E-4</v>
      </c>
      <c r="M30" s="31">
        <v>100</v>
      </c>
      <c r="N30" s="31">
        <v>100</v>
      </c>
      <c r="O30" s="32">
        <v>1954</v>
      </c>
      <c r="P30" s="50">
        <v>0.2016</v>
      </c>
      <c r="Q30" s="50">
        <v>0.2016</v>
      </c>
      <c r="R30" s="56">
        <f t="shared" si="21"/>
        <v>-0.15183482228544293</v>
      </c>
      <c r="S30" s="56">
        <f t="shared" si="22"/>
        <v>0</v>
      </c>
      <c r="T30" s="56">
        <f t="shared" si="23"/>
        <v>1.0245901639344263E-3</v>
      </c>
      <c r="U30" s="57">
        <f t="shared" si="24"/>
        <v>5.7999999999999996E-3</v>
      </c>
      <c r="V30" s="58">
        <f t="shared" si="25"/>
        <v>5.7999999999999996E-3</v>
      </c>
    </row>
    <row r="31" spans="1:22">
      <c r="A31" s="135">
        <v>23</v>
      </c>
      <c r="B31" s="133" t="s">
        <v>59</v>
      </c>
      <c r="C31" s="134" t="s">
        <v>23</v>
      </c>
      <c r="D31" s="44">
        <v>193868803631.45001</v>
      </c>
      <c r="E31" s="30">
        <f t="shared" si="20"/>
        <v>7.1189376545513786E-2</v>
      </c>
      <c r="F31" s="31">
        <v>1</v>
      </c>
      <c r="G31" s="31">
        <v>1</v>
      </c>
      <c r="H31" s="32">
        <v>68533</v>
      </c>
      <c r="I31" s="50">
        <v>0.21940000000000001</v>
      </c>
      <c r="J31" s="50">
        <v>0.21940000000000001</v>
      </c>
      <c r="K31" s="44">
        <v>195291883531.95001</v>
      </c>
      <c r="L31" s="30">
        <f t="shared" si="19"/>
        <v>7.1711937003892834E-2</v>
      </c>
      <c r="M31" s="31">
        <v>1</v>
      </c>
      <c r="N31" s="31">
        <v>1</v>
      </c>
      <c r="O31" s="32">
        <v>68837</v>
      </c>
      <c r="P31" s="50">
        <v>0.21779999999999999</v>
      </c>
      <c r="Q31" s="50">
        <v>0.21779999999999999</v>
      </c>
      <c r="R31" s="56">
        <f t="shared" si="21"/>
        <v>7.3404275151215895E-3</v>
      </c>
      <c r="S31" s="56">
        <f t="shared" si="22"/>
        <v>0</v>
      </c>
      <c r="T31" s="56">
        <f t="shared" si="23"/>
        <v>4.4358192403659551E-3</v>
      </c>
      <c r="U31" s="57">
        <f t="shared" si="24"/>
        <v>-1.6000000000000181E-3</v>
      </c>
      <c r="V31" s="58">
        <f t="shared" si="25"/>
        <v>-1.6000000000000181E-3</v>
      </c>
    </row>
    <row r="32" spans="1:22">
      <c r="A32" s="135">
        <v>24</v>
      </c>
      <c r="B32" s="133" t="s">
        <v>306</v>
      </c>
      <c r="C32" s="134" t="s">
        <v>118</v>
      </c>
      <c r="D32" s="44">
        <v>627094038</v>
      </c>
      <c r="E32" s="30">
        <f t="shared" si="20"/>
        <v>2.3027136271751715E-4</v>
      </c>
      <c r="F32" s="31">
        <v>1</v>
      </c>
      <c r="G32" s="31">
        <v>1</v>
      </c>
      <c r="H32" s="32">
        <v>247</v>
      </c>
      <c r="I32" s="50">
        <v>0.2059</v>
      </c>
      <c r="J32" s="50">
        <v>0.2059</v>
      </c>
      <c r="K32" s="44">
        <v>882347631</v>
      </c>
      <c r="L32" s="30">
        <f t="shared" si="19"/>
        <v>3.2400147197850248E-4</v>
      </c>
      <c r="M32" s="31">
        <v>1</v>
      </c>
      <c r="N32" s="31">
        <v>1</v>
      </c>
      <c r="O32" s="32">
        <v>247</v>
      </c>
      <c r="P32" s="50">
        <v>0.1416</v>
      </c>
      <c r="Q32" s="50">
        <v>0.1416</v>
      </c>
      <c r="R32" s="56">
        <f t="shared" si="21"/>
        <v>0.40704197063343789</v>
      </c>
      <c r="S32" s="56">
        <f t="shared" si="22"/>
        <v>0</v>
      </c>
      <c r="T32" s="56">
        <f t="shared" si="23"/>
        <v>0</v>
      </c>
      <c r="U32" s="57">
        <f t="shared" si="24"/>
        <v>-6.4299999999999996E-2</v>
      </c>
      <c r="V32" s="58">
        <f t="shared" si="25"/>
        <v>-6.4299999999999996E-2</v>
      </c>
    </row>
    <row r="33" spans="1:22">
      <c r="A33" s="135">
        <v>25</v>
      </c>
      <c r="B33" s="133" t="s">
        <v>60</v>
      </c>
      <c r="C33" s="134" t="s">
        <v>25</v>
      </c>
      <c r="D33" s="44">
        <v>110384383675.97</v>
      </c>
      <c r="E33" s="30">
        <f t="shared" si="20"/>
        <v>4.0533573772868287E-2</v>
      </c>
      <c r="F33" s="31">
        <v>1</v>
      </c>
      <c r="G33" s="31">
        <v>1</v>
      </c>
      <c r="H33" s="32">
        <v>32922</v>
      </c>
      <c r="I33" s="50">
        <v>0.1996</v>
      </c>
      <c r="J33" s="50">
        <v>0.1996</v>
      </c>
      <c r="K33" s="44">
        <v>113012756927.21001</v>
      </c>
      <c r="L33" s="30">
        <f t="shared" si="19"/>
        <v>4.1498722623945876E-2</v>
      </c>
      <c r="M33" s="31">
        <v>1</v>
      </c>
      <c r="N33" s="31">
        <v>1</v>
      </c>
      <c r="O33" s="32">
        <v>33036</v>
      </c>
      <c r="P33" s="50">
        <v>0.1976</v>
      </c>
      <c r="Q33" s="50">
        <v>0.1976</v>
      </c>
      <c r="R33" s="56">
        <f t="shared" si="21"/>
        <v>2.3811096857282957E-2</v>
      </c>
      <c r="S33" s="56">
        <f t="shared" si="22"/>
        <v>0</v>
      </c>
      <c r="T33" s="56">
        <f t="shared" si="23"/>
        <v>3.4627300893019866E-3</v>
      </c>
      <c r="U33" s="57">
        <f t="shared" si="24"/>
        <v>-2.0000000000000018E-3</v>
      </c>
      <c r="V33" s="58">
        <f t="shared" si="25"/>
        <v>-2.0000000000000018E-3</v>
      </c>
    </row>
    <row r="34" spans="1:22">
      <c r="A34" s="135">
        <v>26</v>
      </c>
      <c r="B34" s="133" t="s">
        <v>291</v>
      </c>
      <c r="C34" s="134" t="s">
        <v>27</v>
      </c>
      <c r="D34" s="33">
        <v>4728992517.9700003</v>
      </c>
      <c r="E34" s="30">
        <f t="shared" ref="E34" si="26">(D34/$D$25)</f>
        <v>0.12891310981352355</v>
      </c>
      <c r="F34" s="33">
        <v>1</v>
      </c>
      <c r="G34" s="33">
        <v>1</v>
      </c>
      <c r="H34" s="32">
        <v>699</v>
      </c>
      <c r="I34" s="50">
        <v>0.2069</v>
      </c>
      <c r="J34" s="50">
        <v>0.2069</v>
      </c>
      <c r="K34" s="33">
        <v>5114758177.3599997</v>
      </c>
      <c r="L34" s="30">
        <f t="shared" ref="L34" si="27">(K34/$K$25)</f>
        <v>0.13559699686965784</v>
      </c>
      <c r="M34" s="33">
        <v>1</v>
      </c>
      <c r="N34" s="33">
        <v>1</v>
      </c>
      <c r="O34" s="32">
        <v>716</v>
      </c>
      <c r="P34" s="50">
        <v>0.18729999999999999</v>
      </c>
      <c r="Q34" s="50">
        <v>0.18729999999999999</v>
      </c>
      <c r="R34" s="56">
        <f t="shared" si="21"/>
        <v>8.1574597110082928E-2</v>
      </c>
      <c r="S34" s="56">
        <f t="shared" si="22"/>
        <v>0</v>
      </c>
      <c r="T34" s="56">
        <f t="shared" si="23"/>
        <v>2.4320457796852647E-2</v>
      </c>
      <c r="U34" s="57">
        <f t="shared" si="24"/>
        <v>-1.9600000000000006E-2</v>
      </c>
      <c r="V34" s="58">
        <f t="shared" si="25"/>
        <v>-1.9600000000000006E-2</v>
      </c>
    </row>
    <row r="35" spans="1:22" ht="15" customHeight="1">
      <c r="A35" s="135">
        <v>27</v>
      </c>
      <c r="B35" s="133" t="s">
        <v>61</v>
      </c>
      <c r="C35" s="134" t="s">
        <v>47</v>
      </c>
      <c r="D35" s="44">
        <v>21549969659</v>
      </c>
      <c r="E35" s="30">
        <f t="shared" si="20"/>
        <v>7.9132324327712365E-3</v>
      </c>
      <c r="F35" s="31">
        <v>100</v>
      </c>
      <c r="G35" s="31">
        <v>100</v>
      </c>
      <c r="H35" s="32">
        <v>2083</v>
      </c>
      <c r="I35" s="50">
        <v>0.2213</v>
      </c>
      <c r="J35" s="50">
        <v>0.2213</v>
      </c>
      <c r="K35" s="44">
        <v>22064431515</v>
      </c>
      <c r="L35" s="30">
        <f t="shared" si="19"/>
        <v>8.1021448214540059E-3</v>
      </c>
      <c r="M35" s="31">
        <v>100</v>
      </c>
      <c r="N35" s="31">
        <v>100</v>
      </c>
      <c r="O35" s="32">
        <v>2083</v>
      </c>
      <c r="P35" s="50">
        <v>0.22209999999999999</v>
      </c>
      <c r="Q35" s="50">
        <v>0.22209999999999999</v>
      </c>
      <c r="R35" s="56">
        <f t="shared" si="21"/>
        <v>2.3872973565192156E-2</v>
      </c>
      <c r="S35" s="56">
        <f t="shared" si="22"/>
        <v>0</v>
      </c>
      <c r="T35" s="56">
        <f t="shared" si="23"/>
        <v>0</v>
      </c>
      <c r="U35" s="57">
        <f t="shared" si="24"/>
        <v>7.9999999999999516E-4</v>
      </c>
      <c r="V35" s="58">
        <f t="shared" si="25"/>
        <v>7.9999999999999516E-4</v>
      </c>
    </row>
    <row r="36" spans="1:22" ht="15" customHeight="1">
      <c r="A36" s="135">
        <v>28</v>
      </c>
      <c r="B36" s="133" t="s">
        <v>62</v>
      </c>
      <c r="C36" s="134" t="s">
        <v>63</v>
      </c>
      <c r="D36" s="44">
        <v>836115004.80999994</v>
      </c>
      <c r="E36" s="30">
        <f t="shared" si="20"/>
        <v>3.0702467234453615E-4</v>
      </c>
      <c r="F36" s="31">
        <v>1</v>
      </c>
      <c r="G36" s="31">
        <v>1</v>
      </c>
      <c r="H36" s="32">
        <v>406</v>
      </c>
      <c r="I36" s="50">
        <v>0.2077</v>
      </c>
      <c r="J36" s="50">
        <v>0.2077</v>
      </c>
      <c r="K36" s="44">
        <v>845976117.00999999</v>
      </c>
      <c r="L36" s="30">
        <f t="shared" si="19"/>
        <v>3.1064571098723541E-4</v>
      </c>
      <c r="M36" s="31">
        <v>1</v>
      </c>
      <c r="N36" s="31">
        <v>1</v>
      </c>
      <c r="O36" s="32">
        <v>410</v>
      </c>
      <c r="P36" s="50">
        <v>0.20799999999999999</v>
      </c>
      <c r="Q36" s="50">
        <v>0.20799999999999999</v>
      </c>
      <c r="R36" s="56">
        <f t="shared" si="21"/>
        <v>1.1793966312374579E-2</v>
      </c>
      <c r="S36" s="56">
        <f t="shared" si="22"/>
        <v>0</v>
      </c>
      <c r="T36" s="56">
        <f t="shared" si="23"/>
        <v>9.852216748768473E-3</v>
      </c>
      <c r="U36" s="57">
        <f t="shared" si="24"/>
        <v>2.9999999999999472E-4</v>
      </c>
      <c r="V36" s="58">
        <f t="shared" si="25"/>
        <v>2.9999999999999472E-4</v>
      </c>
    </row>
    <row r="37" spans="1:22">
      <c r="A37" s="135">
        <v>29</v>
      </c>
      <c r="B37" s="133" t="s">
        <v>64</v>
      </c>
      <c r="C37" s="134" t="s">
        <v>65</v>
      </c>
      <c r="D37" s="44">
        <v>51701760993.229996</v>
      </c>
      <c r="E37" s="30">
        <f t="shared" si="20"/>
        <v>1.8985087143830324E-2</v>
      </c>
      <c r="F37" s="31">
        <v>100</v>
      </c>
      <c r="G37" s="31">
        <v>100</v>
      </c>
      <c r="H37" s="32">
        <v>4072</v>
      </c>
      <c r="I37" s="50">
        <v>0.20875522264473101</v>
      </c>
      <c r="J37" s="50">
        <v>0.20875522264473101</v>
      </c>
      <c r="K37" s="44">
        <v>52039685875.470001</v>
      </c>
      <c r="L37" s="30">
        <f t="shared" si="19"/>
        <v>1.9109174471111788E-2</v>
      </c>
      <c r="M37" s="31">
        <v>100</v>
      </c>
      <c r="N37" s="31">
        <v>100</v>
      </c>
      <c r="O37" s="32">
        <v>4094</v>
      </c>
      <c r="P37" s="50">
        <v>0.209119187874028</v>
      </c>
      <c r="Q37" s="50">
        <v>0.209119187874028</v>
      </c>
      <c r="R37" s="56">
        <f t="shared" si="21"/>
        <v>6.5360420176839729E-3</v>
      </c>
      <c r="S37" s="56">
        <f t="shared" si="22"/>
        <v>0</v>
      </c>
      <c r="T37" s="56">
        <f t="shared" si="23"/>
        <v>5.4027504911591355E-3</v>
      </c>
      <c r="U37" s="57">
        <f t="shared" si="24"/>
        <v>3.6396522929699193E-4</v>
      </c>
      <c r="V37" s="58">
        <f t="shared" si="25"/>
        <v>3.6396522929699193E-4</v>
      </c>
    </row>
    <row r="38" spans="1:22">
      <c r="A38" s="135">
        <v>30</v>
      </c>
      <c r="B38" s="133" t="s">
        <v>66</v>
      </c>
      <c r="C38" s="134" t="s">
        <v>67</v>
      </c>
      <c r="D38" s="44">
        <v>22156138199.669998</v>
      </c>
      <c r="E38" s="30">
        <f t="shared" si="20"/>
        <v>8.1358198717169875E-3</v>
      </c>
      <c r="F38" s="31">
        <v>100</v>
      </c>
      <c r="G38" s="31">
        <v>100</v>
      </c>
      <c r="H38" s="32">
        <v>6853</v>
      </c>
      <c r="I38" s="50">
        <v>0.2082</v>
      </c>
      <c r="J38" s="50">
        <v>0.2082</v>
      </c>
      <c r="K38" s="44">
        <v>22170781758.490002</v>
      </c>
      <c r="L38" s="30">
        <f t="shared" si="19"/>
        <v>8.1411970433055911E-3</v>
      </c>
      <c r="M38" s="31">
        <v>100</v>
      </c>
      <c r="N38" s="31">
        <v>100</v>
      </c>
      <c r="O38" s="32">
        <v>6859</v>
      </c>
      <c r="P38" s="50">
        <v>0.21179999999999999</v>
      </c>
      <c r="Q38" s="50">
        <v>0.21179999999999999</v>
      </c>
      <c r="R38" s="56">
        <f t="shared" si="21"/>
        <v>6.6092559488645979E-4</v>
      </c>
      <c r="S38" s="56">
        <f t="shared" si="22"/>
        <v>0</v>
      </c>
      <c r="T38" s="56">
        <f t="shared" si="23"/>
        <v>8.7552896541660591E-4</v>
      </c>
      <c r="U38" s="57">
        <f t="shared" si="24"/>
        <v>3.5999999999999921E-3</v>
      </c>
      <c r="V38" s="58">
        <f t="shared" si="25"/>
        <v>3.5999999999999921E-3</v>
      </c>
    </row>
    <row r="39" spans="1:22">
      <c r="A39" s="135">
        <v>31</v>
      </c>
      <c r="B39" s="133" t="s">
        <v>68</v>
      </c>
      <c r="C39" s="134" t="s">
        <v>69</v>
      </c>
      <c r="D39" s="44">
        <v>44514190.369999997</v>
      </c>
      <c r="E39" s="30">
        <f t="shared" si="20"/>
        <v>1.6345783336512728E-5</v>
      </c>
      <c r="F39" s="31">
        <v>100</v>
      </c>
      <c r="G39" s="31">
        <v>100</v>
      </c>
      <c r="H39" s="32">
        <v>0</v>
      </c>
      <c r="I39" s="50">
        <v>0</v>
      </c>
      <c r="J39" s="50">
        <v>0</v>
      </c>
      <c r="K39" s="44">
        <v>44514190.369999997</v>
      </c>
      <c r="L39" s="30">
        <f t="shared" si="19"/>
        <v>1.6345783336512728E-5</v>
      </c>
      <c r="M39" s="31">
        <v>100</v>
      </c>
      <c r="N39" s="31">
        <v>100</v>
      </c>
      <c r="O39" s="32">
        <v>0</v>
      </c>
      <c r="P39" s="50">
        <v>0</v>
      </c>
      <c r="Q39" s="50">
        <v>0</v>
      </c>
      <c r="R39" s="56">
        <f t="shared" si="21"/>
        <v>0</v>
      </c>
      <c r="S39" s="56">
        <f t="shared" si="22"/>
        <v>0</v>
      </c>
      <c r="T39" s="56" t="e">
        <f t="shared" si="23"/>
        <v>#DIV/0!</v>
      </c>
      <c r="U39" s="57">
        <f t="shared" si="24"/>
        <v>0</v>
      </c>
      <c r="V39" s="58">
        <f t="shared" si="25"/>
        <v>0</v>
      </c>
    </row>
    <row r="40" spans="1:22">
      <c r="A40" s="135">
        <v>32</v>
      </c>
      <c r="B40" s="133" t="s">
        <v>70</v>
      </c>
      <c r="C40" s="134" t="s">
        <v>301</v>
      </c>
      <c r="D40" s="44">
        <v>22791841533.400002</v>
      </c>
      <c r="E40" s="30">
        <f t="shared" si="20"/>
        <v>8.3692526012146898E-3</v>
      </c>
      <c r="F40" s="31">
        <v>1</v>
      </c>
      <c r="G40" s="31">
        <v>1</v>
      </c>
      <c r="H40" s="32">
        <v>5557</v>
      </c>
      <c r="I40" s="50">
        <v>0.2026</v>
      </c>
      <c r="J40" s="50">
        <v>0.2026</v>
      </c>
      <c r="K40" s="44">
        <v>23745536172.450001</v>
      </c>
      <c r="L40" s="30">
        <f t="shared" si="19"/>
        <v>8.719452971243458E-3</v>
      </c>
      <c r="M40" s="31">
        <v>1</v>
      </c>
      <c r="N40" s="31">
        <v>1</v>
      </c>
      <c r="O40" s="32">
        <v>5627</v>
      </c>
      <c r="P40" s="50">
        <v>0.19750000000000001</v>
      </c>
      <c r="Q40" s="50">
        <v>0.19750000000000001</v>
      </c>
      <c r="R40" s="56">
        <f t="shared" si="21"/>
        <v>4.1843685059516585E-2</v>
      </c>
      <c r="S40" s="56">
        <f t="shared" si="22"/>
        <v>0</v>
      </c>
      <c r="T40" s="56">
        <f t="shared" si="23"/>
        <v>1.25967248515386E-2</v>
      </c>
      <c r="U40" s="57">
        <f t="shared" si="24"/>
        <v>-5.0999999999999934E-3</v>
      </c>
      <c r="V40" s="58">
        <f t="shared" si="25"/>
        <v>-5.0999999999999934E-3</v>
      </c>
    </row>
    <row r="41" spans="1:22">
      <c r="A41" s="135">
        <v>33</v>
      </c>
      <c r="B41" s="133" t="s">
        <v>71</v>
      </c>
      <c r="C41" s="134" t="s">
        <v>72</v>
      </c>
      <c r="D41" s="44">
        <v>46537383179.260002</v>
      </c>
      <c r="E41" s="30">
        <f t="shared" si="20"/>
        <v>1.7088707582315527E-2</v>
      </c>
      <c r="F41" s="45">
        <v>100</v>
      </c>
      <c r="G41" s="45">
        <v>100</v>
      </c>
      <c r="H41" s="32">
        <v>3385</v>
      </c>
      <c r="I41" s="50">
        <v>0.20730000000000001</v>
      </c>
      <c r="J41" s="50">
        <v>0.20730000000000001</v>
      </c>
      <c r="K41" s="44">
        <v>49429945081.379997</v>
      </c>
      <c r="L41" s="30">
        <f t="shared" si="19"/>
        <v>1.8150867530559119E-2</v>
      </c>
      <c r="M41" s="45">
        <v>100</v>
      </c>
      <c r="N41" s="45">
        <v>100</v>
      </c>
      <c r="O41" s="32">
        <v>3385</v>
      </c>
      <c r="P41" s="50">
        <v>0.2051</v>
      </c>
      <c r="Q41" s="50">
        <v>0.2051</v>
      </c>
      <c r="R41" s="56">
        <f t="shared" si="21"/>
        <v>6.2155662921096588E-2</v>
      </c>
      <c r="S41" s="56">
        <f t="shared" si="22"/>
        <v>0</v>
      </c>
      <c r="T41" s="56">
        <f t="shared" si="23"/>
        <v>0</v>
      </c>
      <c r="U41" s="57">
        <f t="shared" si="24"/>
        <v>-2.2000000000000075E-3</v>
      </c>
      <c r="V41" s="58">
        <f t="shared" si="25"/>
        <v>-2.2000000000000075E-3</v>
      </c>
    </row>
    <row r="42" spans="1:22">
      <c r="A42" s="135">
        <v>34</v>
      </c>
      <c r="B42" s="133" t="s">
        <v>73</v>
      </c>
      <c r="C42" s="134" t="s">
        <v>72</v>
      </c>
      <c r="D42" s="44">
        <v>5905311765.5799999</v>
      </c>
      <c r="E42" s="30">
        <f t="shared" si="20"/>
        <v>2.1684533819980182E-3</v>
      </c>
      <c r="F42" s="45">
        <v>1000000</v>
      </c>
      <c r="G42" s="45">
        <v>1000000</v>
      </c>
      <c r="H42" s="32">
        <v>19</v>
      </c>
      <c r="I42" s="50">
        <v>0.2109</v>
      </c>
      <c r="J42" s="50">
        <v>0.2109</v>
      </c>
      <c r="K42" s="44">
        <v>6334193026.9200001</v>
      </c>
      <c r="L42" s="30">
        <f t="shared" si="19"/>
        <v>2.3259402444273649E-3</v>
      </c>
      <c r="M42" s="45">
        <v>1000000</v>
      </c>
      <c r="N42" s="45">
        <v>1000000</v>
      </c>
      <c r="O42" s="32">
        <v>19</v>
      </c>
      <c r="P42" s="50">
        <v>0.2092</v>
      </c>
      <c r="Q42" s="50">
        <v>0.2092</v>
      </c>
      <c r="R42" s="56">
        <f t="shared" si="21"/>
        <v>7.2626353758289144E-2</v>
      </c>
      <c r="S42" s="56">
        <f t="shared" si="22"/>
        <v>0</v>
      </c>
      <c r="T42" s="56">
        <f t="shared" si="23"/>
        <v>0</v>
      </c>
      <c r="U42" s="57">
        <f t="shared" si="24"/>
        <v>-1.7000000000000071E-3</v>
      </c>
      <c r="V42" s="58">
        <f t="shared" si="25"/>
        <v>-1.7000000000000071E-3</v>
      </c>
    </row>
    <row r="43" spans="1:22">
      <c r="A43" s="135">
        <v>35</v>
      </c>
      <c r="B43" s="133" t="s">
        <v>74</v>
      </c>
      <c r="C43" s="134" t="s">
        <v>75</v>
      </c>
      <c r="D43" s="44">
        <v>4220510569.5599999</v>
      </c>
      <c r="E43" s="30">
        <f t="shared" si="20"/>
        <v>1.549787848909936E-3</v>
      </c>
      <c r="F43" s="31">
        <v>1</v>
      </c>
      <c r="G43" s="31">
        <v>1</v>
      </c>
      <c r="H43" s="32">
        <v>883</v>
      </c>
      <c r="I43" s="50">
        <v>0.21429999999999999</v>
      </c>
      <c r="J43" s="50">
        <v>0.21429999999999999</v>
      </c>
      <c r="K43" s="44">
        <v>4303606351.9700003</v>
      </c>
      <c r="L43" s="30">
        <f t="shared" si="19"/>
        <v>1.5803009424686871E-3</v>
      </c>
      <c r="M43" s="31">
        <v>1</v>
      </c>
      <c r="N43" s="31">
        <v>1</v>
      </c>
      <c r="O43" s="32">
        <v>887</v>
      </c>
      <c r="P43" s="50">
        <v>0.21809999999999999</v>
      </c>
      <c r="Q43" s="50">
        <v>0.21809999999999999</v>
      </c>
      <c r="R43" s="56">
        <f t="shared" si="21"/>
        <v>1.9688561618426012E-2</v>
      </c>
      <c r="S43" s="56">
        <f t="shared" si="22"/>
        <v>0</v>
      </c>
      <c r="T43" s="56">
        <f t="shared" si="23"/>
        <v>4.5300113250283129E-3</v>
      </c>
      <c r="U43" s="57">
        <f t="shared" si="24"/>
        <v>3.7999999999999978E-3</v>
      </c>
      <c r="V43" s="58">
        <f t="shared" si="25"/>
        <v>3.7999999999999978E-3</v>
      </c>
    </row>
    <row r="44" spans="1:22">
      <c r="A44" s="135">
        <v>36</v>
      </c>
      <c r="B44" s="133" t="s">
        <v>76</v>
      </c>
      <c r="C44" s="134" t="s">
        <v>31</v>
      </c>
      <c r="D44" s="44">
        <v>490646180512.28003</v>
      </c>
      <c r="E44" s="30">
        <f t="shared" si="20"/>
        <v>0.18016718028294765</v>
      </c>
      <c r="F44" s="31">
        <v>100</v>
      </c>
      <c r="G44" s="31">
        <v>100</v>
      </c>
      <c r="H44" s="32">
        <v>15683</v>
      </c>
      <c r="I44" s="50">
        <v>0.20810000000000001</v>
      </c>
      <c r="J44" s="50">
        <v>0.20810000000000001</v>
      </c>
      <c r="K44" s="44">
        <v>496233009349.81</v>
      </c>
      <c r="L44" s="30">
        <f t="shared" si="19"/>
        <v>0.18221868549864156</v>
      </c>
      <c r="M44" s="31">
        <v>100</v>
      </c>
      <c r="N44" s="31">
        <v>100</v>
      </c>
      <c r="O44" s="32">
        <v>15855</v>
      </c>
      <c r="P44" s="50">
        <v>0.2084</v>
      </c>
      <c r="Q44" s="50">
        <v>0.2084</v>
      </c>
      <c r="R44" s="56">
        <f t="shared" si="21"/>
        <v>1.1386675489243188E-2</v>
      </c>
      <c r="S44" s="56">
        <f t="shared" si="22"/>
        <v>0</v>
      </c>
      <c r="T44" s="56">
        <f t="shared" si="23"/>
        <v>1.0967289421666773E-2</v>
      </c>
      <c r="U44" s="57">
        <f t="shared" si="24"/>
        <v>2.9999999999999472E-4</v>
      </c>
      <c r="V44" s="58">
        <f t="shared" si="25"/>
        <v>2.9999999999999472E-4</v>
      </c>
    </row>
    <row r="45" spans="1:22">
      <c r="A45" s="135">
        <v>37</v>
      </c>
      <c r="B45" s="133" t="s">
        <v>77</v>
      </c>
      <c r="C45" s="134" t="s">
        <v>78</v>
      </c>
      <c r="D45" s="44">
        <v>1920477758.03</v>
      </c>
      <c r="E45" s="30">
        <f t="shared" si="20"/>
        <v>7.0520688064690273E-4</v>
      </c>
      <c r="F45" s="31">
        <v>1</v>
      </c>
      <c r="G45" s="31">
        <v>1</v>
      </c>
      <c r="H45" s="46">
        <v>1183</v>
      </c>
      <c r="I45" s="53">
        <v>0.1973</v>
      </c>
      <c r="J45" s="53">
        <v>0.1973</v>
      </c>
      <c r="K45" s="44">
        <v>2097785829.54</v>
      </c>
      <c r="L45" s="30">
        <f t="shared" si="19"/>
        <v>7.7031509213243855E-4</v>
      </c>
      <c r="M45" s="31">
        <v>1</v>
      </c>
      <c r="N45" s="31">
        <v>1</v>
      </c>
      <c r="O45" s="46">
        <v>1198</v>
      </c>
      <c r="P45" s="53">
        <v>0.20830000000000001</v>
      </c>
      <c r="Q45" s="53">
        <v>0.20830000000000001</v>
      </c>
      <c r="R45" s="56">
        <f t="shared" si="21"/>
        <v>9.2324980473546439E-2</v>
      </c>
      <c r="S45" s="56">
        <f t="shared" si="22"/>
        <v>0</v>
      </c>
      <c r="T45" s="56">
        <f t="shared" si="23"/>
        <v>1.2679628064243449E-2</v>
      </c>
      <c r="U45" s="57">
        <f t="shared" si="24"/>
        <v>1.100000000000001E-2</v>
      </c>
      <c r="V45" s="58">
        <f t="shared" si="25"/>
        <v>1.100000000000001E-2</v>
      </c>
    </row>
    <row r="46" spans="1:22">
      <c r="A46" s="135">
        <v>38</v>
      </c>
      <c r="B46" s="133" t="s">
        <v>303</v>
      </c>
      <c r="C46" s="134" t="s">
        <v>304</v>
      </c>
      <c r="D46" s="44">
        <v>1017032811.21</v>
      </c>
      <c r="E46" s="30">
        <f t="shared" si="20"/>
        <v>3.7345839248076866E-4</v>
      </c>
      <c r="F46" s="31">
        <v>1</v>
      </c>
      <c r="G46" s="31">
        <v>1</v>
      </c>
      <c r="H46" s="46">
        <v>161</v>
      </c>
      <c r="I46" s="53">
        <v>0.1956</v>
      </c>
      <c r="J46" s="53">
        <v>0.1956</v>
      </c>
      <c r="K46" s="44">
        <v>1013547882.21</v>
      </c>
      <c r="L46" s="30">
        <f t="shared" si="19"/>
        <v>3.7217871303689583E-4</v>
      </c>
      <c r="M46" s="31">
        <v>1</v>
      </c>
      <c r="N46" s="31">
        <v>1</v>
      </c>
      <c r="O46" s="46">
        <v>176</v>
      </c>
      <c r="P46" s="53">
        <v>0.2117</v>
      </c>
      <c r="Q46" s="53">
        <v>0.2117</v>
      </c>
      <c r="R46" s="56">
        <f t="shared" si="21"/>
        <v>-3.4265649658380797E-3</v>
      </c>
      <c r="S46" s="56">
        <f t="shared" si="22"/>
        <v>0</v>
      </c>
      <c r="T46" s="56">
        <f t="shared" si="23"/>
        <v>9.3167701863354033E-2</v>
      </c>
      <c r="U46" s="57">
        <f t="shared" si="24"/>
        <v>1.6100000000000003E-2</v>
      </c>
      <c r="V46" s="58">
        <f t="shared" si="25"/>
        <v>1.6100000000000003E-2</v>
      </c>
    </row>
    <row r="47" spans="1:22">
      <c r="A47" s="135">
        <v>39</v>
      </c>
      <c r="B47" s="133" t="s">
        <v>79</v>
      </c>
      <c r="C47" s="134" t="s">
        <v>80</v>
      </c>
      <c r="D47" s="44">
        <v>1014615986.28</v>
      </c>
      <c r="E47" s="30">
        <f t="shared" si="20"/>
        <v>3.7257092499366621E-4</v>
      </c>
      <c r="F47" s="31">
        <v>10</v>
      </c>
      <c r="G47" s="31">
        <v>10</v>
      </c>
      <c r="H47" s="32">
        <v>453</v>
      </c>
      <c r="I47" s="50">
        <v>0.18870000000000001</v>
      </c>
      <c r="J47" s="50">
        <v>0.18870000000000001</v>
      </c>
      <c r="K47" s="44">
        <v>995647423.01999998</v>
      </c>
      <c r="L47" s="30">
        <f t="shared" si="19"/>
        <v>3.6560559500168564E-4</v>
      </c>
      <c r="M47" s="31">
        <v>10</v>
      </c>
      <c r="N47" s="31">
        <v>10</v>
      </c>
      <c r="O47" s="32">
        <v>456</v>
      </c>
      <c r="P47" s="50">
        <v>0.18129999999999999</v>
      </c>
      <c r="Q47" s="50">
        <v>0.18129999999999999</v>
      </c>
      <c r="R47" s="56">
        <f t="shared" si="21"/>
        <v>-1.8695312824260294E-2</v>
      </c>
      <c r="S47" s="56">
        <f t="shared" si="22"/>
        <v>0</v>
      </c>
      <c r="T47" s="56">
        <f t="shared" si="23"/>
        <v>6.6225165562913907E-3</v>
      </c>
      <c r="U47" s="57">
        <f t="shared" si="24"/>
        <v>-7.4000000000000177E-3</v>
      </c>
      <c r="V47" s="58">
        <f t="shared" si="25"/>
        <v>-7.4000000000000177E-3</v>
      </c>
    </row>
    <row r="48" spans="1:22">
      <c r="A48" s="135">
        <v>40</v>
      </c>
      <c r="B48" s="133" t="s">
        <v>81</v>
      </c>
      <c r="C48" s="134" t="s">
        <v>82</v>
      </c>
      <c r="D48" s="44">
        <v>6883645924.1099997</v>
      </c>
      <c r="E48" s="30">
        <f t="shared" si="20"/>
        <v>2.5277014791355618E-3</v>
      </c>
      <c r="F48" s="31">
        <v>100</v>
      </c>
      <c r="G48" s="31">
        <v>100</v>
      </c>
      <c r="H48" s="32">
        <v>879</v>
      </c>
      <c r="I48" s="50">
        <v>0.18379999999999999</v>
      </c>
      <c r="J48" s="50">
        <v>0.18379999999999999</v>
      </c>
      <c r="K48" s="44">
        <v>6955806520.29</v>
      </c>
      <c r="L48" s="30">
        <f t="shared" si="19"/>
        <v>2.5541991299023788E-3</v>
      </c>
      <c r="M48" s="31">
        <v>100</v>
      </c>
      <c r="N48" s="31">
        <v>100</v>
      </c>
      <c r="O48" s="32">
        <v>879</v>
      </c>
      <c r="P48" s="50">
        <v>0.1943</v>
      </c>
      <c r="Q48" s="50">
        <v>0.1943</v>
      </c>
      <c r="R48" s="56">
        <f t="shared" si="21"/>
        <v>1.0482903533323453E-2</v>
      </c>
      <c r="S48" s="56">
        <f t="shared" si="22"/>
        <v>0</v>
      </c>
      <c r="T48" s="56">
        <f t="shared" si="23"/>
        <v>0</v>
      </c>
      <c r="U48" s="57">
        <f t="shared" si="24"/>
        <v>1.0500000000000009E-2</v>
      </c>
      <c r="V48" s="58">
        <f t="shared" si="25"/>
        <v>1.0500000000000009E-2</v>
      </c>
    </row>
    <row r="49" spans="1:22">
      <c r="A49" s="135">
        <v>41</v>
      </c>
      <c r="B49" s="133" t="s">
        <v>83</v>
      </c>
      <c r="C49" s="133" t="s">
        <v>84</v>
      </c>
      <c r="D49" s="136">
        <v>101551213.68605264</v>
      </c>
      <c r="E49" s="30">
        <f>(D49/$D$190)</f>
        <v>1.7635513997483114E-3</v>
      </c>
      <c r="F49" s="33">
        <v>1</v>
      </c>
      <c r="G49" s="33">
        <v>1</v>
      </c>
      <c r="H49" s="32">
        <v>79</v>
      </c>
      <c r="I49" s="50">
        <v>0.16533529283183931</v>
      </c>
      <c r="J49" s="50">
        <v>0.16533529283183931</v>
      </c>
      <c r="K49" s="136">
        <v>101569287.75324735</v>
      </c>
      <c r="L49" s="54">
        <f>(K49/$K$190)</f>
        <v>1.7330342133900114E-3</v>
      </c>
      <c r="M49" s="33">
        <v>1</v>
      </c>
      <c r="N49" s="33">
        <v>1</v>
      </c>
      <c r="O49" s="32">
        <v>79</v>
      </c>
      <c r="P49" s="50">
        <v>0.16274147184643933</v>
      </c>
      <c r="Q49" s="50">
        <v>0.16274147184643933</v>
      </c>
      <c r="R49" s="57">
        <f t="shared" si="21"/>
        <v>1.7797982455031449E-4</v>
      </c>
      <c r="S49" s="57">
        <f t="shared" si="22"/>
        <v>0</v>
      </c>
      <c r="T49" s="57">
        <f t="shared" si="23"/>
        <v>0</v>
      </c>
      <c r="U49" s="57">
        <f t="shared" si="24"/>
        <v>-2.5938209853999805E-3</v>
      </c>
      <c r="V49" s="58">
        <f t="shared" si="25"/>
        <v>-2.5938209853999805E-3</v>
      </c>
    </row>
    <row r="50" spans="1:22">
      <c r="A50" s="135">
        <v>42</v>
      </c>
      <c r="B50" s="133" t="s">
        <v>290</v>
      </c>
      <c r="C50" s="134" t="s">
        <v>37</v>
      </c>
      <c r="D50" s="44">
        <v>361512375.70999998</v>
      </c>
      <c r="E50" s="30">
        <f t="shared" ref="E50" si="28">(D50/$K$70)</f>
        <v>1.3274874635945549E-4</v>
      </c>
      <c r="F50" s="31">
        <v>100</v>
      </c>
      <c r="G50" s="31">
        <v>100</v>
      </c>
      <c r="H50" s="32">
        <v>1789</v>
      </c>
      <c r="I50" s="50">
        <v>0.189</v>
      </c>
      <c r="J50" s="50">
        <v>0.189</v>
      </c>
      <c r="K50" s="44">
        <v>366626040.88</v>
      </c>
      <c r="L50" s="30">
        <f t="shared" ref="L50" si="29">(K50/$K$70)</f>
        <v>1.3462650404143334E-4</v>
      </c>
      <c r="M50" s="31">
        <v>100</v>
      </c>
      <c r="N50" s="31">
        <v>100</v>
      </c>
      <c r="O50" s="32">
        <v>1809</v>
      </c>
      <c r="P50" s="50">
        <v>0.19527811</v>
      </c>
      <c r="Q50" s="50">
        <v>0.19527811</v>
      </c>
      <c r="R50" s="56">
        <f t="shared" ref="R50" si="30">((K50-D50)/D50)</f>
        <v>1.4145200866102922E-2</v>
      </c>
      <c r="S50" s="56">
        <f t="shared" ref="S50" si="31">((N50-G50)/G50)</f>
        <v>0</v>
      </c>
      <c r="T50" s="56">
        <f t="shared" ref="T50" si="32">((O50-H50)/H50)</f>
        <v>1.1179429849077696E-2</v>
      </c>
      <c r="U50" s="57">
        <f t="shared" ref="U50" si="33">P50-I50</f>
        <v>6.2781100000000034E-3</v>
      </c>
      <c r="V50" s="58">
        <f t="shared" ref="V50" si="34">Q50-J50</f>
        <v>6.2781100000000034E-3</v>
      </c>
    </row>
    <row r="51" spans="1:22">
      <c r="A51" s="135">
        <v>43</v>
      </c>
      <c r="B51" s="133" t="s">
        <v>85</v>
      </c>
      <c r="C51" s="134" t="s">
        <v>37</v>
      </c>
      <c r="D51" s="44">
        <v>77383315568.470001</v>
      </c>
      <c r="E51" s="30">
        <f t="shared" si="20"/>
        <v>2.8415453580745487E-2</v>
      </c>
      <c r="F51" s="31">
        <v>100</v>
      </c>
      <c r="G51" s="31">
        <v>100</v>
      </c>
      <c r="H51" s="32">
        <v>11373</v>
      </c>
      <c r="I51" s="50">
        <v>0.19810865999999999</v>
      </c>
      <c r="J51" s="50">
        <v>0.19810865999999999</v>
      </c>
      <c r="K51" s="44">
        <v>77932277668.619995</v>
      </c>
      <c r="L51" s="30">
        <f t="shared" si="19"/>
        <v>2.8617034592877212E-2</v>
      </c>
      <c r="M51" s="31">
        <v>100</v>
      </c>
      <c r="N51" s="31">
        <v>100</v>
      </c>
      <c r="O51" s="32">
        <v>11434</v>
      </c>
      <c r="P51" s="50">
        <v>0.19457555000000001</v>
      </c>
      <c r="Q51" s="50">
        <v>0.19457555000000001</v>
      </c>
      <c r="R51" s="56">
        <f t="shared" si="21"/>
        <v>7.0940627978684041E-3</v>
      </c>
      <c r="S51" s="56">
        <f t="shared" si="22"/>
        <v>0</v>
      </c>
      <c r="T51" s="56">
        <f t="shared" si="23"/>
        <v>5.3635804097423726E-3</v>
      </c>
      <c r="U51" s="57">
        <f t="shared" si="24"/>
        <v>-3.5331099999999782E-3</v>
      </c>
      <c r="V51" s="58">
        <f t="shared" si="25"/>
        <v>-3.5331099999999782E-3</v>
      </c>
    </row>
    <row r="52" spans="1:22">
      <c r="A52" s="135">
        <v>44</v>
      </c>
      <c r="B52" s="133" t="s">
        <v>86</v>
      </c>
      <c r="C52" s="134" t="s">
        <v>41</v>
      </c>
      <c r="D52" s="44">
        <v>16429019366.1</v>
      </c>
      <c r="E52" s="30">
        <f t="shared" si="20"/>
        <v>6.032799625411726E-3</v>
      </c>
      <c r="F52" s="31">
        <v>1</v>
      </c>
      <c r="G52" s="31">
        <v>1</v>
      </c>
      <c r="H52" s="32">
        <v>1569</v>
      </c>
      <c r="I52" s="50">
        <v>0.19919999999999999</v>
      </c>
      <c r="J52" s="50">
        <v>0.19919999999999999</v>
      </c>
      <c r="K52" s="44">
        <v>16851525002.639999</v>
      </c>
      <c r="L52" s="30">
        <f t="shared" si="19"/>
        <v>6.1879453336888919E-3</v>
      </c>
      <c r="M52" s="31">
        <v>1</v>
      </c>
      <c r="N52" s="31">
        <v>1</v>
      </c>
      <c r="O52" s="32">
        <v>1593</v>
      </c>
      <c r="P52" s="50">
        <v>0.1993</v>
      </c>
      <c r="Q52" s="50">
        <v>0.1993</v>
      </c>
      <c r="R52" s="56">
        <f t="shared" si="21"/>
        <v>2.5717033203564568E-2</v>
      </c>
      <c r="S52" s="56">
        <f t="shared" si="22"/>
        <v>0</v>
      </c>
      <c r="T52" s="56">
        <f t="shared" si="23"/>
        <v>1.5296367112810707E-2</v>
      </c>
      <c r="U52" s="57">
        <f t="shared" si="24"/>
        <v>1.0000000000001674E-4</v>
      </c>
      <c r="V52" s="58">
        <f t="shared" si="25"/>
        <v>1.0000000000001674E-4</v>
      </c>
    </row>
    <row r="53" spans="1:22">
      <c r="A53" s="135">
        <v>45</v>
      </c>
      <c r="B53" s="133" t="s">
        <v>320</v>
      </c>
      <c r="C53" s="134" t="s">
        <v>319</v>
      </c>
      <c r="D53" s="44">
        <v>0</v>
      </c>
      <c r="E53" s="30">
        <f t="shared" si="20"/>
        <v>0</v>
      </c>
      <c r="F53" s="31">
        <v>0</v>
      </c>
      <c r="G53" s="31">
        <v>0</v>
      </c>
      <c r="H53" s="32">
        <v>0</v>
      </c>
      <c r="I53" s="50">
        <v>0</v>
      </c>
      <c r="J53" s="50">
        <v>0</v>
      </c>
      <c r="K53" s="44">
        <v>1614436554.0628076</v>
      </c>
      <c r="L53" s="30">
        <f t="shared" si="19"/>
        <v>5.9282736367685771E-4</v>
      </c>
      <c r="M53" s="31">
        <v>100</v>
      </c>
      <c r="N53" s="31">
        <v>100</v>
      </c>
      <c r="O53" s="32">
        <v>120</v>
      </c>
      <c r="P53" s="50">
        <v>0.21479999999999999</v>
      </c>
      <c r="Q53" s="50">
        <v>0.21479999999999999</v>
      </c>
      <c r="R53" s="56" t="e">
        <f t="shared" si="21"/>
        <v>#DIV/0!</v>
      </c>
      <c r="S53" s="56" t="e">
        <f t="shared" si="22"/>
        <v>#DIV/0!</v>
      </c>
      <c r="T53" s="56" t="e">
        <f t="shared" si="23"/>
        <v>#DIV/0!</v>
      </c>
      <c r="U53" s="57">
        <f t="shared" si="24"/>
        <v>0.21479999999999999</v>
      </c>
      <c r="V53" s="58">
        <f t="shared" si="25"/>
        <v>0.21479999999999999</v>
      </c>
    </row>
    <row r="54" spans="1:22">
      <c r="A54" s="135">
        <v>46</v>
      </c>
      <c r="B54" s="133" t="s">
        <v>87</v>
      </c>
      <c r="C54" s="134" t="s">
        <v>43</v>
      </c>
      <c r="D54" s="47">
        <v>38026143262.269997</v>
      </c>
      <c r="E54" s="30">
        <f t="shared" si="20"/>
        <v>1.3963347276942928E-2</v>
      </c>
      <c r="F54" s="31">
        <v>10</v>
      </c>
      <c r="G54" s="31">
        <v>10</v>
      </c>
      <c r="H54" s="32">
        <v>4410</v>
      </c>
      <c r="I54" s="50">
        <v>0.21629999999999999</v>
      </c>
      <c r="J54" s="50">
        <v>0.21629999999999999</v>
      </c>
      <c r="K54" s="47">
        <v>38407981657.880005</v>
      </c>
      <c r="L54" s="30">
        <f t="shared" si="19"/>
        <v>1.4103559816636994E-2</v>
      </c>
      <c r="M54" s="31">
        <v>10</v>
      </c>
      <c r="N54" s="31">
        <v>10</v>
      </c>
      <c r="O54" s="32">
        <v>4419</v>
      </c>
      <c r="P54" s="50">
        <v>0.214</v>
      </c>
      <c r="Q54" s="50">
        <v>0.214</v>
      </c>
      <c r="R54" s="56">
        <f t="shared" si="21"/>
        <v>1.0041470495086283E-2</v>
      </c>
      <c r="S54" s="56">
        <f t="shared" si="22"/>
        <v>0</v>
      </c>
      <c r="T54" s="56">
        <f t="shared" si="23"/>
        <v>2.0408163265306124E-3</v>
      </c>
      <c r="U54" s="57">
        <f t="shared" si="24"/>
        <v>-2.2999999999999965E-3</v>
      </c>
      <c r="V54" s="58">
        <f t="shared" si="25"/>
        <v>-2.2999999999999965E-3</v>
      </c>
    </row>
    <row r="55" spans="1:22">
      <c r="A55" s="135">
        <v>47</v>
      </c>
      <c r="B55" s="133" t="s">
        <v>88</v>
      </c>
      <c r="C55" s="134" t="s">
        <v>89</v>
      </c>
      <c r="D55" s="44">
        <v>18787794753</v>
      </c>
      <c r="E55" s="30">
        <f t="shared" si="20"/>
        <v>6.8989510951630644E-3</v>
      </c>
      <c r="F55" s="31">
        <v>100</v>
      </c>
      <c r="G55" s="31">
        <v>100</v>
      </c>
      <c r="H55" s="32">
        <v>3897</v>
      </c>
      <c r="I55" s="50">
        <v>0.22309999999999999</v>
      </c>
      <c r="J55" s="50">
        <v>0.22309999999999999</v>
      </c>
      <c r="K55" s="44">
        <v>18873528753</v>
      </c>
      <c r="L55" s="30">
        <f t="shared" si="19"/>
        <v>6.930432952452264E-3</v>
      </c>
      <c r="M55" s="31">
        <v>100</v>
      </c>
      <c r="N55" s="31">
        <v>100</v>
      </c>
      <c r="O55" s="32">
        <v>3936</v>
      </c>
      <c r="P55" s="50">
        <v>0.21709999999999999</v>
      </c>
      <c r="Q55" s="50">
        <v>0.21709999999999999</v>
      </c>
      <c r="R55" s="56">
        <f t="shared" si="21"/>
        <v>4.5632817010793749E-3</v>
      </c>
      <c r="S55" s="56">
        <f t="shared" si="22"/>
        <v>0</v>
      </c>
      <c r="T55" s="56">
        <f t="shared" si="23"/>
        <v>1.0007698229407237E-2</v>
      </c>
      <c r="U55" s="57">
        <f t="shared" si="24"/>
        <v>-6.0000000000000053E-3</v>
      </c>
      <c r="V55" s="58">
        <f t="shared" si="25"/>
        <v>-6.0000000000000053E-3</v>
      </c>
    </row>
    <row r="56" spans="1:22">
      <c r="A56" s="135">
        <v>48</v>
      </c>
      <c r="B56" s="133" t="s">
        <v>90</v>
      </c>
      <c r="C56" s="134" t="s">
        <v>91</v>
      </c>
      <c r="D56" s="44">
        <v>222605264.25999999</v>
      </c>
      <c r="E56" s="30">
        <f t="shared" si="20"/>
        <v>8.1741516332584262E-5</v>
      </c>
      <c r="F56" s="31">
        <v>1</v>
      </c>
      <c r="G56" s="31">
        <v>1</v>
      </c>
      <c r="H56" s="32">
        <v>88</v>
      </c>
      <c r="I56" s="50">
        <v>0.2109</v>
      </c>
      <c r="J56" s="50">
        <v>0.2109</v>
      </c>
      <c r="K56" s="44">
        <v>240523886.68000001</v>
      </c>
      <c r="L56" s="30">
        <f t="shared" si="19"/>
        <v>8.8321303976290194E-5</v>
      </c>
      <c r="M56" s="31">
        <v>1</v>
      </c>
      <c r="N56" s="31">
        <v>1</v>
      </c>
      <c r="O56" s="32">
        <v>88</v>
      </c>
      <c r="P56" s="50">
        <v>0.19489999999999999</v>
      </c>
      <c r="Q56" s="50">
        <v>0.19489999999999999</v>
      </c>
      <c r="R56" s="56">
        <f t="shared" si="21"/>
        <v>8.0495052439870887E-2</v>
      </c>
      <c r="S56" s="56">
        <f t="shared" si="22"/>
        <v>0</v>
      </c>
      <c r="T56" s="56">
        <f t="shared" si="23"/>
        <v>0</v>
      </c>
      <c r="U56" s="57">
        <f t="shared" si="24"/>
        <v>-1.6000000000000014E-2</v>
      </c>
      <c r="V56" s="58">
        <f t="shared" si="25"/>
        <v>-1.6000000000000014E-2</v>
      </c>
    </row>
    <row r="57" spans="1:22">
      <c r="A57" s="135">
        <v>49</v>
      </c>
      <c r="B57" s="133" t="s">
        <v>92</v>
      </c>
      <c r="C57" s="134" t="s">
        <v>45</v>
      </c>
      <c r="D57" s="47">
        <v>1190690873.79</v>
      </c>
      <c r="E57" s="30">
        <f t="shared" si="20"/>
        <v>4.3722630653193122E-4</v>
      </c>
      <c r="F57" s="31">
        <v>10</v>
      </c>
      <c r="G57" s="31">
        <v>10</v>
      </c>
      <c r="H57" s="32">
        <v>787</v>
      </c>
      <c r="I57" s="50">
        <v>0.1774</v>
      </c>
      <c r="J57" s="50">
        <v>0.1774</v>
      </c>
      <c r="K57" s="47">
        <v>1219919792.74</v>
      </c>
      <c r="L57" s="30">
        <f t="shared" si="19"/>
        <v>4.4795927892446474E-4</v>
      </c>
      <c r="M57" s="31">
        <v>10</v>
      </c>
      <c r="N57" s="31">
        <v>10</v>
      </c>
      <c r="O57" s="32">
        <v>792</v>
      </c>
      <c r="P57" s="50">
        <v>0.16470000000000001</v>
      </c>
      <c r="Q57" s="50">
        <v>0.16470000000000001</v>
      </c>
      <c r="R57" s="56">
        <f t="shared" si="21"/>
        <v>2.4547865103697015E-2</v>
      </c>
      <c r="S57" s="56">
        <f t="shared" si="22"/>
        <v>0</v>
      </c>
      <c r="T57" s="56">
        <f t="shared" si="23"/>
        <v>6.3532401524777635E-3</v>
      </c>
      <c r="U57" s="57">
        <f t="shared" si="24"/>
        <v>-1.2699999999999989E-2</v>
      </c>
      <c r="V57" s="58">
        <f t="shared" si="25"/>
        <v>-1.2699999999999989E-2</v>
      </c>
    </row>
    <row r="58" spans="1:22">
      <c r="A58" s="135">
        <v>50</v>
      </c>
      <c r="B58" s="133" t="s">
        <v>93</v>
      </c>
      <c r="C58" s="134" t="s">
        <v>94</v>
      </c>
      <c r="D58" s="47">
        <v>805561378.71000004</v>
      </c>
      <c r="E58" s="30">
        <f t="shared" si="20"/>
        <v>2.9580526234911135E-4</v>
      </c>
      <c r="F58" s="31">
        <v>1</v>
      </c>
      <c r="G58" s="31">
        <v>1</v>
      </c>
      <c r="H58" s="32">
        <v>79</v>
      </c>
      <c r="I58" s="50">
        <v>0.22189999999999999</v>
      </c>
      <c r="J58" s="50">
        <v>0.22189999999999999</v>
      </c>
      <c r="K58" s="47">
        <v>806236064.25999999</v>
      </c>
      <c r="L58" s="30">
        <f t="shared" si="19"/>
        <v>2.9605300949960223E-4</v>
      </c>
      <c r="M58" s="31">
        <v>1</v>
      </c>
      <c r="N58" s="31">
        <v>1</v>
      </c>
      <c r="O58" s="32">
        <v>79</v>
      </c>
      <c r="P58" s="50">
        <v>0.2218</v>
      </c>
      <c r="Q58" s="50">
        <v>0.2218</v>
      </c>
      <c r="R58" s="56">
        <f t="shared" si="21"/>
        <v>8.3753462843560349E-4</v>
      </c>
      <c r="S58" s="56">
        <f t="shared" si="22"/>
        <v>0</v>
      </c>
      <c r="T58" s="56">
        <f t="shared" si="23"/>
        <v>0</v>
      </c>
      <c r="U58" s="57">
        <f t="shared" si="24"/>
        <v>-9.9999999999988987E-5</v>
      </c>
      <c r="V58" s="58">
        <f t="shared" si="25"/>
        <v>-9.9999999999988987E-5</v>
      </c>
    </row>
    <row r="59" spans="1:22">
      <c r="A59" s="135">
        <v>51</v>
      </c>
      <c r="B59" s="133" t="s">
        <v>309</v>
      </c>
      <c r="C59" s="134" t="s">
        <v>308</v>
      </c>
      <c r="D59" s="47">
        <v>413417176.04445553</v>
      </c>
      <c r="E59" s="30">
        <f t="shared" si="20"/>
        <v>1.5180839033680058E-4</v>
      </c>
      <c r="F59" s="31">
        <v>1</v>
      </c>
      <c r="G59" s="31">
        <v>1</v>
      </c>
      <c r="H59" s="32">
        <v>201</v>
      </c>
      <c r="I59" s="50">
        <v>0.18049999999999999</v>
      </c>
      <c r="J59" s="50">
        <v>0.18049999999999999</v>
      </c>
      <c r="K59" s="47">
        <v>507554842.80000001</v>
      </c>
      <c r="L59" s="30">
        <f t="shared" si="19"/>
        <v>1.8637610664930479E-4</v>
      </c>
      <c r="M59" s="31">
        <v>1</v>
      </c>
      <c r="N59" s="31">
        <v>1</v>
      </c>
      <c r="O59" s="32">
        <v>231</v>
      </c>
      <c r="P59" s="50">
        <v>0.16839999999999999</v>
      </c>
      <c r="Q59" s="50">
        <v>0.16839999999999999</v>
      </c>
      <c r="R59" s="56">
        <f t="shared" si="21"/>
        <v>0.22770623043833496</v>
      </c>
      <c r="S59" s="56">
        <f t="shared" si="22"/>
        <v>0</v>
      </c>
      <c r="T59" s="56">
        <f t="shared" si="23"/>
        <v>0.14925373134328357</v>
      </c>
      <c r="U59" s="57">
        <f t="shared" si="24"/>
        <v>-1.21E-2</v>
      </c>
      <c r="V59" s="58">
        <f t="shared" si="25"/>
        <v>-1.21E-2</v>
      </c>
    </row>
    <row r="60" spans="1:22">
      <c r="A60" s="135">
        <v>52</v>
      </c>
      <c r="B60" s="133" t="s">
        <v>95</v>
      </c>
      <c r="C60" s="134" t="s">
        <v>96</v>
      </c>
      <c r="D60" s="47">
        <v>11196275203.273102</v>
      </c>
      <c r="E60" s="30">
        <f t="shared" si="20"/>
        <v>4.1113156754618088E-3</v>
      </c>
      <c r="F60" s="31">
        <v>100</v>
      </c>
      <c r="G60" s="31">
        <v>100</v>
      </c>
      <c r="H60" s="32">
        <v>111</v>
      </c>
      <c r="I60" s="50">
        <v>0.20680000000000001</v>
      </c>
      <c r="J60" s="50">
        <v>0.20680000000000001</v>
      </c>
      <c r="K60" s="47">
        <v>11102179477.7463</v>
      </c>
      <c r="L60" s="30">
        <f t="shared" si="19"/>
        <v>4.0767633601311538E-3</v>
      </c>
      <c r="M60" s="31">
        <v>100</v>
      </c>
      <c r="N60" s="31">
        <v>100</v>
      </c>
      <c r="O60" s="32">
        <v>112</v>
      </c>
      <c r="P60" s="50">
        <v>0.2072</v>
      </c>
      <c r="Q60" s="50">
        <v>0.2072</v>
      </c>
      <c r="R60" s="56">
        <f t="shared" si="21"/>
        <v>-8.4041990589240126E-3</v>
      </c>
      <c r="S60" s="56">
        <f t="shared" si="22"/>
        <v>0</v>
      </c>
      <c r="T60" s="56">
        <f t="shared" si="23"/>
        <v>9.0090090090090089E-3</v>
      </c>
      <c r="U60" s="57">
        <f t="shared" si="24"/>
        <v>3.999999999999837E-4</v>
      </c>
      <c r="V60" s="58">
        <f t="shared" si="25"/>
        <v>3.999999999999837E-4</v>
      </c>
    </row>
    <row r="61" spans="1:22">
      <c r="A61" s="135">
        <v>53</v>
      </c>
      <c r="B61" s="133" t="s">
        <v>97</v>
      </c>
      <c r="C61" s="134" t="s">
        <v>98</v>
      </c>
      <c r="D61" s="47">
        <v>51743000</v>
      </c>
      <c r="E61" s="30">
        <f t="shared" si="20"/>
        <v>1.9000230267047269E-5</v>
      </c>
      <c r="F61" s="31">
        <v>1000</v>
      </c>
      <c r="G61" s="31">
        <v>1000</v>
      </c>
      <c r="H61" s="32">
        <v>23</v>
      </c>
      <c r="I61" s="50">
        <v>0.18179999999999999</v>
      </c>
      <c r="J61" s="50">
        <v>0.18179999999999999</v>
      </c>
      <c r="K61" s="47">
        <v>51743000</v>
      </c>
      <c r="L61" s="30">
        <f t="shared" si="19"/>
        <v>1.9000230267047269E-5</v>
      </c>
      <c r="M61" s="31">
        <v>1000</v>
      </c>
      <c r="N61" s="31">
        <v>1000</v>
      </c>
      <c r="O61" s="32">
        <v>23</v>
      </c>
      <c r="P61" s="50">
        <v>0.1822</v>
      </c>
      <c r="Q61" s="50">
        <v>0.1822</v>
      </c>
      <c r="R61" s="56">
        <f t="shared" si="21"/>
        <v>0</v>
      </c>
      <c r="S61" s="56">
        <f t="shared" si="22"/>
        <v>0</v>
      </c>
      <c r="T61" s="56">
        <f t="shared" si="23"/>
        <v>0</v>
      </c>
      <c r="U61" s="57">
        <f t="shared" si="24"/>
        <v>4.0000000000001146E-4</v>
      </c>
      <c r="V61" s="58">
        <f t="shared" si="25"/>
        <v>4.0000000000001146E-4</v>
      </c>
    </row>
    <row r="62" spans="1:22">
      <c r="A62" s="135">
        <v>54</v>
      </c>
      <c r="B62" s="133" t="s">
        <v>99</v>
      </c>
      <c r="C62" s="134" t="s">
        <v>49</v>
      </c>
      <c r="D62" s="44">
        <v>1269406378538.21</v>
      </c>
      <c r="E62" s="30">
        <f t="shared" si="20"/>
        <v>0.46613094514590492</v>
      </c>
      <c r="F62" s="31">
        <v>100</v>
      </c>
      <c r="G62" s="31">
        <v>100</v>
      </c>
      <c r="H62" s="32">
        <v>173487</v>
      </c>
      <c r="I62" s="50">
        <v>0.20760000000000001</v>
      </c>
      <c r="J62" s="50">
        <v>0.20760000000000001</v>
      </c>
      <c r="K62" s="44">
        <v>1293455553405.27</v>
      </c>
      <c r="L62" s="30">
        <f t="shared" si="19"/>
        <v>0.4749618954233652</v>
      </c>
      <c r="M62" s="31">
        <v>100</v>
      </c>
      <c r="N62" s="31">
        <v>100</v>
      </c>
      <c r="O62" s="32">
        <v>174723</v>
      </c>
      <c r="P62" s="50">
        <v>0.2064</v>
      </c>
      <c r="Q62" s="50">
        <v>0.2064</v>
      </c>
      <c r="R62" s="56">
        <f t="shared" si="21"/>
        <v>1.8945213505823077E-2</v>
      </c>
      <c r="S62" s="56">
        <f t="shared" si="22"/>
        <v>0</v>
      </c>
      <c r="T62" s="56">
        <f t="shared" si="23"/>
        <v>7.1244531290528971E-3</v>
      </c>
      <c r="U62" s="57">
        <f t="shared" si="24"/>
        <v>-1.2000000000000066E-3</v>
      </c>
      <c r="V62" s="58">
        <f t="shared" si="25"/>
        <v>-1.2000000000000066E-3</v>
      </c>
    </row>
    <row r="63" spans="1:22">
      <c r="A63" s="135">
        <v>55</v>
      </c>
      <c r="B63" s="133" t="s">
        <v>100</v>
      </c>
      <c r="C63" s="133" t="s">
        <v>101</v>
      </c>
      <c r="D63" s="44">
        <v>3136122090</v>
      </c>
      <c r="E63" s="30">
        <f t="shared" si="20"/>
        <v>1.1515961937957509E-3</v>
      </c>
      <c r="F63" s="31">
        <v>100</v>
      </c>
      <c r="G63" s="31">
        <v>100</v>
      </c>
      <c r="H63" s="32">
        <v>540</v>
      </c>
      <c r="I63" s="50">
        <v>0.20699999999999999</v>
      </c>
      <c r="J63" s="50">
        <v>0.20699999999999999</v>
      </c>
      <c r="K63" s="44">
        <v>3167677261.04</v>
      </c>
      <c r="L63" s="30">
        <f t="shared" si="19"/>
        <v>1.1631833749772837E-3</v>
      </c>
      <c r="M63" s="31">
        <v>100</v>
      </c>
      <c r="N63" s="31">
        <v>100</v>
      </c>
      <c r="O63" s="32">
        <v>553</v>
      </c>
      <c r="P63" s="50">
        <v>0.19819999999999999</v>
      </c>
      <c r="Q63" s="50">
        <v>0.19819999999999999</v>
      </c>
      <c r="R63" s="56">
        <f t="shared" si="21"/>
        <v>1.006184393796989E-2</v>
      </c>
      <c r="S63" s="56">
        <f t="shared" si="22"/>
        <v>0</v>
      </c>
      <c r="T63" s="56">
        <f t="shared" si="23"/>
        <v>2.4074074074074074E-2</v>
      </c>
      <c r="U63" s="57">
        <f t="shared" si="24"/>
        <v>-8.8000000000000023E-3</v>
      </c>
      <c r="V63" s="58">
        <f t="shared" si="25"/>
        <v>-8.8000000000000023E-3</v>
      </c>
    </row>
    <row r="64" spans="1:22">
      <c r="A64" s="135">
        <v>56</v>
      </c>
      <c r="B64" s="133" t="s">
        <v>102</v>
      </c>
      <c r="C64" s="134" t="s">
        <v>103</v>
      </c>
      <c r="D64" s="44">
        <v>4272766269.9200001</v>
      </c>
      <c r="E64" s="30">
        <f t="shared" si="20"/>
        <v>1.5689763447375034E-3</v>
      </c>
      <c r="F64" s="31">
        <v>1</v>
      </c>
      <c r="G64" s="31">
        <v>1</v>
      </c>
      <c r="H64" s="32">
        <v>462</v>
      </c>
      <c r="I64" s="50">
        <v>0.21738399999999999</v>
      </c>
      <c r="J64" s="50">
        <v>0.21738399999999999</v>
      </c>
      <c r="K64" s="44">
        <v>4231586422.1199999</v>
      </c>
      <c r="L64" s="30">
        <f t="shared" si="19"/>
        <v>1.5538549449237709E-3</v>
      </c>
      <c r="M64" s="31">
        <v>1</v>
      </c>
      <c r="N64" s="31">
        <v>1</v>
      </c>
      <c r="O64" s="32">
        <v>468</v>
      </c>
      <c r="P64" s="50">
        <v>0.220832</v>
      </c>
      <c r="Q64" s="50">
        <v>0.220832</v>
      </c>
      <c r="R64" s="56">
        <f t="shared" si="21"/>
        <v>-9.6377487553914835E-3</v>
      </c>
      <c r="S64" s="56">
        <f t="shared" si="22"/>
        <v>0</v>
      </c>
      <c r="T64" s="56">
        <f t="shared" si="23"/>
        <v>1.2987012987012988E-2</v>
      </c>
      <c r="U64" s="57">
        <f t="shared" si="24"/>
        <v>3.4480000000000066E-3</v>
      </c>
      <c r="V64" s="58">
        <f t="shared" si="25"/>
        <v>3.4480000000000066E-3</v>
      </c>
    </row>
    <row r="65" spans="1:22">
      <c r="A65" s="135">
        <v>57</v>
      </c>
      <c r="B65" s="133" t="s">
        <v>104</v>
      </c>
      <c r="C65" s="134" t="s">
        <v>52</v>
      </c>
      <c r="D65" s="44">
        <v>124368954752.66</v>
      </c>
      <c r="E65" s="30">
        <f t="shared" si="20"/>
        <v>4.5668762506474746E-2</v>
      </c>
      <c r="F65" s="31">
        <v>1</v>
      </c>
      <c r="G65" s="31">
        <v>1</v>
      </c>
      <c r="H65" s="32">
        <v>51729</v>
      </c>
      <c r="I65" s="50">
        <v>0.19550000000000001</v>
      </c>
      <c r="J65" s="50">
        <v>0.19550000000000001</v>
      </c>
      <c r="K65" s="44">
        <v>128365280378.5</v>
      </c>
      <c r="L65" s="30">
        <f t="shared" si="19"/>
        <v>4.7136228774628156E-2</v>
      </c>
      <c r="M65" s="31">
        <v>1</v>
      </c>
      <c r="N65" s="31">
        <v>1</v>
      </c>
      <c r="O65" s="32">
        <v>52257</v>
      </c>
      <c r="P65" s="50">
        <v>0.19259999999999999</v>
      </c>
      <c r="Q65" s="50">
        <v>0.19259999999999999</v>
      </c>
      <c r="R65" s="56">
        <f t="shared" si="21"/>
        <v>3.2132823129274735E-2</v>
      </c>
      <c r="S65" s="56">
        <f t="shared" si="22"/>
        <v>0</v>
      </c>
      <c r="T65" s="56">
        <f t="shared" si="23"/>
        <v>1.020704053818941E-2</v>
      </c>
      <c r="U65" s="57">
        <f t="shared" si="24"/>
        <v>-2.9000000000000137E-3</v>
      </c>
      <c r="V65" s="58">
        <f t="shared" si="25"/>
        <v>-2.9000000000000137E-3</v>
      </c>
    </row>
    <row r="66" spans="1:22">
      <c r="A66" s="135">
        <v>58</v>
      </c>
      <c r="B66" s="133" t="s">
        <v>105</v>
      </c>
      <c r="C66" s="134" t="s">
        <v>106</v>
      </c>
      <c r="D66" s="44">
        <v>1388643769.98</v>
      </c>
      <c r="E66" s="30">
        <f t="shared" si="20"/>
        <v>5.0991537770366272E-4</v>
      </c>
      <c r="F66" s="31">
        <v>1</v>
      </c>
      <c r="G66" s="31">
        <v>1</v>
      </c>
      <c r="H66" s="32">
        <v>152</v>
      </c>
      <c r="I66" s="50">
        <v>0.19689999999999999</v>
      </c>
      <c r="J66" s="50">
        <v>0.19689999999999999</v>
      </c>
      <c r="K66" s="44">
        <v>1413399661.9100001</v>
      </c>
      <c r="L66" s="30">
        <f t="shared" si="19"/>
        <v>5.1900583722738845E-4</v>
      </c>
      <c r="M66" s="31">
        <v>1</v>
      </c>
      <c r="N66" s="31">
        <v>1</v>
      </c>
      <c r="O66" s="32">
        <v>154</v>
      </c>
      <c r="P66" s="50">
        <v>0.19620000000000001</v>
      </c>
      <c r="Q66" s="50">
        <v>0.19620000000000001</v>
      </c>
      <c r="R66" s="56">
        <f t="shared" si="21"/>
        <v>1.7827388467206832E-2</v>
      </c>
      <c r="S66" s="56">
        <f t="shared" si="22"/>
        <v>0</v>
      </c>
      <c r="T66" s="56">
        <f t="shared" si="23"/>
        <v>1.3157894736842105E-2</v>
      </c>
      <c r="U66" s="57">
        <f t="shared" si="24"/>
        <v>-6.9999999999997842E-4</v>
      </c>
      <c r="V66" s="58">
        <f t="shared" si="25"/>
        <v>-6.9999999999997842E-4</v>
      </c>
    </row>
    <row r="67" spans="1:22">
      <c r="A67" s="135">
        <v>59</v>
      </c>
      <c r="B67" s="133" t="s">
        <v>107</v>
      </c>
      <c r="C67" s="134" t="s">
        <v>108</v>
      </c>
      <c r="D67" s="44">
        <v>4180989646.6300001</v>
      </c>
      <c r="E67" s="30">
        <f t="shared" si="20"/>
        <v>1.5352756127420249E-3</v>
      </c>
      <c r="F67" s="31">
        <v>1</v>
      </c>
      <c r="G67" s="31">
        <v>1</v>
      </c>
      <c r="H67" s="32">
        <v>382</v>
      </c>
      <c r="I67" s="50">
        <v>0.1968</v>
      </c>
      <c r="J67" s="50">
        <v>0.21049999999999999</v>
      </c>
      <c r="K67" s="44">
        <v>4172898254.5500002</v>
      </c>
      <c r="L67" s="30">
        <f t="shared" si="19"/>
        <v>1.5323044221906273E-3</v>
      </c>
      <c r="M67" s="31">
        <v>1</v>
      </c>
      <c r="N67" s="31">
        <v>1</v>
      </c>
      <c r="O67" s="32">
        <v>382</v>
      </c>
      <c r="P67" s="50">
        <v>0.1784</v>
      </c>
      <c r="Q67" s="50">
        <v>0.1784</v>
      </c>
      <c r="R67" s="56">
        <f t="shared" si="21"/>
        <v>-1.9352815395086717E-3</v>
      </c>
      <c r="S67" s="56">
        <f t="shared" si="22"/>
        <v>0</v>
      </c>
      <c r="T67" s="56">
        <f t="shared" si="23"/>
        <v>0</v>
      </c>
      <c r="U67" s="57">
        <f t="shared" si="24"/>
        <v>-1.84E-2</v>
      </c>
      <c r="V67" s="58">
        <f t="shared" si="25"/>
        <v>-3.209999999999999E-2</v>
      </c>
    </row>
    <row r="68" spans="1:22">
      <c r="A68" s="135">
        <v>60</v>
      </c>
      <c r="B68" s="133" t="s">
        <v>109</v>
      </c>
      <c r="C68" s="134" t="s">
        <v>110</v>
      </c>
      <c r="D68" s="44">
        <v>5798688598.4399996</v>
      </c>
      <c r="E68" s="30">
        <f t="shared" si="20"/>
        <v>2.1293009415237151E-3</v>
      </c>
      <c r="F68" s="31">
        <v>1</v>
      </c>
      <c r="G68" s="31">
        <v>1</v>
      </c>
      <c r="H68" s="32">
        <v>3238</v>
      </c>
      <c r="I68" s="50">
        <v>0.2462</v>
      </c>
      <c r="J68" s="50">
        <v>0.2462</v>
      </c>
      <c r="K68" s="44">
        <v>6081029767.9399996</v>
      </c>
      <c r="L68" s="30">
        <f t="shared" si="19"/>
        <v>2.2329777139251496E-3</v>
      </c>
      <c r="M68" s="31">
        <v>1</v>
      </c>
      <c r="N68" s="31">
        <v>1</v>
      </c>
      <c r="O68" s="32">
        <v>3294</v>
      </c>
      <c r="P68" s="50">
        <v>0.2429</v>
      </c>
      <c r="Q68" s="50">
        <v>0.2429</v>
      </c>
      <c r="R68" s="56">
        <f t="shared" si="21"/>
        <v>4.869052109057162E-2</v>
      </c>
      <c r="S68" s="56">
        <f t="shared" si="22"/>
        <v>0</v>
      </c>
      <c r="T68" s="56">
        <f t="shared" si="23"/>
        <v>1.7294626312538603E-2</v>
      </c>
      <c r="U68" s="57">
        <f t="shared" si="24"/>
        <v>-3.2999999999999974E-3</v>
      </c>
      <c r="V68" s="58">
        <f t="shared" si="25"/>
        <v>-3.2999999999999974E-3</v>
      </c>
    </row>
    <row r="69" spans="1:22">
      <c r="A69" s="135">
        <v>61</v>
      </c>
      <c r="B69" s="133" t="s">
        <v>111</v>
      </c>
      <c r="C69" s="134" t="s">
        <v>112</v>
      </c>
      <c r="D69" s="44">
        <v>88442666741.110001</v>
      </c>
      <c r="E69" s="30">
        <f t="shared" si="20"/>
        <v>3.2476490221147077E-2</v>
      </c>
      <c r="F69" s="31">
        <v>1</v>
      </c>
      <c r="G69" s="31">
        <v>1</v>
      </c>
      <c r="H69" s="32">
        <v>5163</v>
      </c>
      <c r="I69" s="50">
        <v>0.20530000000000001</v>
      </c>
      <c r="J69" s="50">
        <v>0.20530000000000001</v>
      </c>
      <c r="K69" s="44">
        <v>87520702854.550003</v>
      </c>
      <c r="L69" s="30">
        <f t="shared" si="19"/>
        <v>3.2137941506489208E-2</v>
      </c>
      <c r="M69" s="31">
        <v>1</v>
      </c>
      <c r="N69" s="31">
        <v>1</v>
      </c>
      <c r="O69" s="32">
        <v>5191</v>
      </c>
      <c r="P69" s="50">
        <v>0.20230000000000001</v>
      </c>
      <c r="Q69" s="50">
        <v>0.20230000000000001</v>
      </c>
      <c r="R69" s="56">
        <f t="shared" si="21"/>
        <v>-1.0424424325182062E-2</v>
      </c>
      <c r="S69" s="56">
        <f t="shared" si="22"/>
        <v>0</v>
      </c>
      <c r="T69" s="56">
        <f t="shared" si="23"/>
        <v>5.4232035638194847E-3</v>
      </c>
      <c r="U69" s="57">
        <f t="shared" si="24"/>
        <v>-3.0000000000000027E-3</v>
      </c>
      <c r="V69" s="58">
        <f t="shared" si="25"/>
        <v>-3.0000000000000027E-3</v>
      </c>
    </row>
    <row r="70" spans="1:22">
      <c r="A70" s="36"/>
      <c r="B70" s="37"/>
      <c r="C70" s="38" t="s">
        <v>53</v>
      </c>
      <c r="D70" s="48">
        <f>SUM(D28:D69)</f>
        <v>2676748756640.1934</v>
      </c>
      <c r="E70" s="40">
        <f>(D70/$D$222)</f>
        <v>0.52815247661745524</v>
      </c>
      <c r="F70" s="41"/>
      <c r="G70" s="45"/>
      <c r="H70" s="43">
        <f>SUM(H28:H69)</f>
        <v>409331</v>
      </c>
      <c r="I70" s="55"/>
      <c r="J70" s="55"/>
      <c r="K70" s="48">
        <f>SUM(K28:K69)</f>
        <v>2723282785142.8521</v>
      </c>
      <c r="L70" s="40">
        <f>(K70/$K$222)</f>
        <v>0.53049118945564677</v>
      </c>
      <c r="M70" s="41"/>
      <c r="N70" s="45"/>
      <c r="O70" s="43">
        <f>SUM(O28:O69)</f>
        <v>412284</v>
      </c>
      <c r="P70" s="55"/>
      <c r="Q70" s="55"/>
      <c r="R70" s="56">
        <f t="shared" si="21"/>
        <v>1.73845335268101E-2</v>
      </c>
      <c r="S70" s="56" t="e">
        <f t="shared" si="22"/>
        <v>#DIV/0!</v>
      </c>
      <c r="T70" s="56">
        <f t="shared" si="23"/>
        <v>7.2142105044572732E-3</v>
      </c>
      <c r="U70" s="57">
        <f t="shared" si="24"/>
        <v>0</v>
      </c>
      <c r="V70" s="58">
        <f t="shared" si="25"/>
        <v>0</v>
      </c>
    </row>
    <row r="71" spans="1:22" ht="3" customHeight="1">
      <c r="A71" s="36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</row>
    <row r="72" spans="1:22" ht="15" customHeight="1">
      <c r="A72" s="179" t="s">
        <v>113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</row>
    <row r="73" spans="1:22">
      <c r="A73" s="135">
        <v>62</v>
      </c>
      <c r="B73" s="133" t="s">
        <v>114</v>
      </c>
      <c r="C73" s="134" t="s">
        <v>21</v>
      </c>
      <c r="D73" s="29">
        <v>540507734.72000003</v>
      </c>
      <c r="E73" s="30">
        <f>(D73/$D$110)</f>
        <v>2.5935935092822504E-3</v>
      </c>
      <c r="F73" s="60">
        <v>1.4154</v>
      </c>
      <c r="G73" s="60">
        <v>1.4154</v>
      </c>
      <c r="H73" s="32">
        <v>474</v>
      </c>
      <c r="I73" s="50">
        <v>4.95E-4</v>
      </c>
      <c r="J73" s="50">
        <v>8.5699999999999998E-2</v>
      </c>
      <c r="K73" s="29">
        <v>518752547.35000002</v>
      </c>
      <c r="L73" s="30">
        <f t="shared" ref="L73:L95" si="35">(K73/$K$110)</f>
        <v>2.4837815636318821E-3</v>
      </c>
      <c r="M73" s="60">
        <v>1.4232</v>
      </c>
      <c r="N73" s="60">
        <v>1.4232</v>
      </c>
      <c r="O73" s="32">
        <v>474</v>
      </c>
      <c r="P73" s="50">
        <v>3.313E-3</v>
      </c>
      <c r="Q73" s="50">
        <v>9.1700000000000004E-2</v>
      </c>
      <c r="R73" s="56">
        <f>((K73-D73)/D73)</f>
        <v>-4.0249539409958443E-2</v>
      </c>
      <c r="S73" s="56">
        <f>((N73-G73)/G73)</f>
        <v>5.510809665112356E-3</v>
      </c>
      <c r="T73" s="56">
        <f>((O73-H73)/H73)</f>
        <v>0</v>
      </c>
      <c r="U73" s="57">
        <f>P73-I73</f>
        <v>2.8180000000000002E-3</v>
      </c>
      <c r="V73" s="58">
        <f>Q73-J73</f>
        <v>6.0000000000000053E-3</v>
      </c>
    </row>
    <row r="74" spans="1:22">
      <c r="A74" s="135">
        <v>63</v>
      </c>
      <c r="B74" s="133" t="s">
        <v>115</v>
      </c>
      <c r="C74" s="134" t="s">
        <v>23</v>
      </c>
      <c r="D74" s="29">
        <v>1304181264.3099999</v>
      </c>
      <c r="E74" s="30">
        <f>(D74/$D$110)</f>
        <v>6.258034519698751E-3</v>
      </c>
      <c r="F74" s="60">
        <v>1.2375</v>
      </c>
      <c r="G74" s="60">
        <v>1.2375</v>
      </c>
      <c r="H74" s="32">
        <v>925</v>
      </c>
      <c r="I74" s="50">
        <v>0.16109999999999999</v>
      </c>
      <c r="J74" s="50">
        <v>0.16220000000000001</v>
      </c>
      <c r="K74" s="29">
        <v>1306835180.6600001</v>
      </c>
      <c r="L74" s="30">
        <f t="shared" si="35"/>
        <v>6.2571126542128744E-3</v>
      </c>
      <c r="M74" s="60">
        <v>1.2405999999999999</v>
      </c>
      <c r="N74" s="60">
        <v>1.2405999999999999</v>
      </c>
      <c r="O74" s="32">
        <v>943</v>
      </c>
      <c r="P74" s="50">
        <v>0.13059999999999999</v>
      </c>
      <c r="Q74" s="50">
        <v>0.15959999999999999</v>
      </c>
      <c r="R74" s="56">
        <f t="shared" ref="R74:R110" si="36">((K74-D74)/D74)</f>
        <v>2.0349290567398576E-3</v>
      </c>
      <c r="S74" s="56">
        <f t="shared" ref="S74:S110" si="37">((N74-G74)/G74)</f>
        <v>2.5050505050504086E-3</v>
      </c>
      <c r="T74" s="56">
        <f t="shared" ref="T74:T110" si="38">((O74-H74)/H74)</f>
        <v>1.9459459459459458E-2</v>
      </c>
      <c r="U74" s="57">
        <f t="shared" ref="U74:U110" si="39">P74-I74</f>
        <v>-3.0499999999999999E-2</v>
      </c>
      <c r="V74" s="58">
        <f t="shared" ref="V74:V110" si="40">Q74-J74</f>
        <v>-2.600000000000019E-3</v>
      </c>
    </row>
    <row r="75" spans="1:22">
      <c r="A75" s="135">
        <v>64</v>
      </c>
      <c r="B75" s="133" t="s">
        <v>116</v>
      </c>
      <c r="C75" s="134" t="s">
        <v>23</v>
      </c>
      <c r="D75" s="29">
        <v>780684785.29999995</v>
      </c>
      <c r="E75" s="30">
        <f>(D75/$D$110)</f>
        <v>3.7460684868800007E-3</v>
      </c>
      <c r="F75" s="60">
        <v>1.1113999999999999</v>
      </c>
      <c r="G75" s="60">
        <v>1.1113999999999999</v>
      </c>
      <c r="H75" s="32">
        <v>261</v>
      </c>
      <c r="I75" s="50">
        <v>0.1203</v>
      </c>
      <c r="J75" s="50">
        <v>0.11990000000000001</v>
      </c>
      <c r="K75" s="29">
        <v>777950595.23000002</v>
      </c>
      <c r="L75" s="30">
        <f t="shared" si="35"/>
        <v>3.7248190022766987E-3</v>
      </c>
      <c r="M75" s="60">
        <v>1.1140000000000001</v>
      </c>
      <c r="N75" s="60">
        <v>1.1140000000000001</v>
      </c>
      <c r="O75" s="32">
        <v>272</v>
      </c>
      <c r="P75" s="50">
        <v>0.122</v>
      </c>
      <c r="Q75" s="50">
        <v>0.1207</v>
      </c>
      <c r="R75" s="56">
        <f t="shared" si="36"/>
        <v>-3.5022971133595801E-3</v>
      </c>
      <c r="S75" s="56">
        <f t="shared" si="37"/>
        <v>2.339391758143025E-3</v>
      </c>
      <c r="T75" s="56">
        <f t="shared" si="38"/>
        <v>4.2145593869731802E-2</v>
      </c>
      <c r="U75" s="57">
        <f t="shared" si="39"/>
        <v>1.6999999999999932E-3</v>
      </c>
      <c r="V75" s="58">
        <f t="shared" si="40"/>
        <v>7.9999999999999516E-4</v>
      </c>
    </row>
    <row r="76" spans="1:22">
      <c r="A76" s="135">
        <v>65</v>
      </c>
      <c r="B76" s="133" t="s">
        <v>117</v>
      </c>
      <c r="C76" s="134" t="s">
        <v>118</v>
      </c>
      <c r="D76" s="29">
        <v>281307863.06</v>
      </c>
      <c r="E76" s="30">
        <f>(D76/$D$110)</f>
        <v>1.3498386810698111E-3</v>
      </c>
      <c r="F76" s="35">
        <v>1096.2</v>
      </c>
      <c r="G76" s="35">
        <v>1096.2</v>
      </c>
      <c r="H76" s="32">
        <v>110</v>
      </c>
      <c r="I76" s="50">
        <v>2.617E-3</v>
      </c>
      <c r="J76" s="50">
        <v>2.5898000000000001E-2</v>
      </c>
      <c r="K76" s="29">
        <v>279657484.64999998</v>
      </c>
      <c r="L76" s="30">
        <f t="shared" si="35"/>
        <v>1.3389969997326819E-3</v>
      </c>
      <c r="M76" s="35">
        <v>1098.55</v>
      </c>
      <c r="N76" s="35">
        <v>1098.55</v>
      </c>
      <c r="O76" s="32">
        <v>110</v>
      </c>
      <c r="P76" s="50">
        <v>0</v>
      </c>
      <c r="Q76" s="50">
        <v>2.7047999999999999E-2</v>
      </c>
      <c r="R76" s="56">
        <f t="shared" si="36"/>
        <v>-5.8668051153906702E-3</v>
      </c>
      <c r="S76" s="56">
        <f t="shared" si="37"/>
        <v>2.1437693851486125E-3</v>
      </c>
      <c r="T76" s="56">
        <f t="shared" si="38"/>
        <v>0</v>
      </c>
      <c r="U76" s="57">
        <f t="shared" si="39"/>
        <v>-2.617E-3</v>
      </c>
      <c r="V76" s="58">
        <f t="shared" si="40"/>
        <v>1.1499999999999982E-3</v>
      </c>
    </row>
    <row r="77" spans="1:22" ht="15" customHeight="1">
      <c r="A77" s="135">
        <v>66</v>
      </c>
      <c r="B77" s="133" t="s">
        <v>119</v>
      </c>
      <c r="C77" s="134" t="s">
        <v>27</v>
      </c>
      <c r="D77" s="29">
        <v>1617399539.01</v>
      </c>
      <c r="E77" s="30">
        <f>(D77/$K$110)</f>
        <v>7.7440914296066313E-3</v>
      </c>
      <c r="F77" s="35">
        <v>1.0874999999999999</v>
      </c>
      <c r="G77" s="35">
        <v>1.0874999999999999</v>
      </c>
      <c r="H77" s="32">
        <v>908</v>
      </c>
      <c r="I77" s="50">
        <v>3.0000000000000001E-3</v>
      </c>
      <c r="J77" s="50">
        <v>3.9899999999999998E-2</v>
      </c>
      <c r="K77" s="29">
        <v>1579214300.5999999</v>
      </c>
      <c r="L77" s="30">
        <f t="shared" si="35"/>
        <v>7.5612609227490805E-3</v>
      </c>
      <c r="M77" s="35">
        <v>1.0913999999999999</v>
      </c>
      <c r="N77" s="35">
        <v>1.0913999999999999</v>
      </c>
      <c r="O77" s="32">
        <v>908</v>
      </c>
      <c r="P77" s="50">
        <v>3.5999999999999999E-3</v>
      </c>
      <c r="Q77" s="50">
        <v>4.3400000000000001E-2</v>
      </c>
      <c r="R77" s="56">
        <f t="shared" si="36"/>
        <v>-2.3609032579156679E-2</v>
      </c>
      <c r="S77" s="56">
        <f t="shared" si="37"/>
        <v>3.586206896551738E-3</v>
      </c>
      <c r="T77" s="56">
        <f t="shared" si="38"/>
        <v>0</v>
      </c>
      <c r="U77" s="57">
        <f t="shared" si="39"/>
        <v>5.9999999999999984E-4</v>
      </c>
      <c r="V77" s="58">
        <f t="shared" si="40"/>
        <v>3.5000000000000031E-3</v>
      </c>
    </row>
    <row r="78" spans="1:22">
      <c r="A78" s="135">
        <v>67</v>
      </c>
      <c r="B78" s="133" t="s">
        <v>120</v>
      </c>
      <c r="C78" s="134" t="s">
        <v>121</v>
      </c>
      <c r="D78" s="29">
        <v>446948436.13297099</v>
      </c>
      <c r="E78" s="30">
        <f t="shared" ref="E78:E95" si="41">(D78/$D$110)</f>
        <v>2.144654902189012E-3</v>
      </c>
      <c r="F78" s="35">
        <v>2.5635557256981385</v>
      </c>
      <c r="G78" s="35">
        <v>2.5635557256981385</v>
      </c>
      <c r="H78" s="32">
        <v>1390</v>
      </c>
      <c r="I78" s="50">
        <v>0.12139999999999999</v>
      </c>
      <c r="J78" s="50">
        <v>0.1394</v>
      </c>
      <c r="K78" s="29">
        <v>448385031.6447832</v>
      </c>
      <c r="L78" s="30">
        <f t="shared" si="35"/>
        <v>2.1468626625488329E-3</v>
      </c>
      <c r="M78" s="35">
        <v>2.5718000000000001</v>
      </c>
      <c r="N78" s="35">
        <v>2.5718000000000001</v>
      </c>
      <c r="O78" s="32">
        <v>1390</v>
      </c>
      <c r="P78" s="50">
        <v>0.16769999999999999</v>
      </c>
      <c r="Q78" s="50">
        <v>0.14030000000000001</v>
      </c>
      <c r="R78" s="56">
        <f t="shared" si="36"/>
        <v>3.2142309843205506E-3</v>
      </c>
      <c r="S78" s="56">
        <f t="shared" si="37"/>
        <v>3.2159528342674925E-3</v>
      </c>
      <c r="T78" s="56">
        <f t="shared" si="38"/>
        <v>0</v>
      </c>
      <c r="U78" s="57">
        <f t="shared" si="39"/>
        <v>4.6299999999999994E-2</v>
      </c>
      <c r="V78" s="58">
        <f t="shared" si="40"/>
        <v>9.000000000000119E-4</v>
      </c>
    </row>
    <row r="79" spans="1:22">
      <c r="A79" s="135">
        <v>68</v>
      </c>
      <c r="B79" s="133" t="s">
        <v>122</v>
      </c>
      <c r="C79" s="134" t="s">
        <v>63</v>
      </c>
      <c r="D79" s="29">
        <v>153020054.06999999</v>
      </c>
      <c r="E79" s="30">
        <f t="shared" si="41"/>
        <v>7.3425742784525194E-4</v>
      </c>
      <c r="F79" s="35">
        <v>11.79</v>
      </c>
      <c r="G79" s="35">
        <v>11.89</v>
      </c>
      <c r="H79" s="32">
        <v>29</v>
      </c>
      <c r="I79" s="50">
        <v>0.28699999999999998</v>
      </c>
      <c r="J79" s="50">
        <v>0.29699999999999999</v>
      </c>
      <c r="K79" s="29">
        <v>153483542.66</v>
      </c>
      <c r="L79" s="30">
        <f t="shared" si="35"/>
        <v>7.3487753559426544E-4</v>
      </c>
      <c r="M79" s="35">
        <v>11.83</v>
      </c>
      <c r="N79" s="35">
        <v>11.94</v>
      </c>
      <c r="O79" s="32">
        <v>29</v>
      </c>
      <c r="P79" s="50">
        <v>0.16600000000000001</v>
      </c>
      <c r="Q79" s="50">
        <v>0.28899999999999998</v>
      </c>
      <c r="R79" s="56">
        <f t="shared" si="36"/>
        <v>3.0289401792262978E-3</v>
      </c>
      <c r="S79" s="56">
        <f t="shared" si="37"/>
        <v>4.2052144659376726E-3</v>
      </c>
      <c r="T79" s="56">
        <f t="shared" si="38"/>
        <v>0</v>
      </c>
      <c r="U79" s="57">
        <f t="shared" si="39"/>
        <v>-0.12099999999999997</v>
      </c>
      <c r="V79" s="58">
        <f t="shared" si="40"/>
        <v>-8.0000000000000071E-3</v>
      </c>
    </row>
    <row r="80" spans="1:22">
      <c r="A80" s="135">
        <v>69</v>
      </c>
      <c r="B80" s="133" t="s">
        <v>123</v>
      </c>
      <c r="C80" s="134" t="s">
        <v>65</v>
      </c>
      <c r="D80" s="29">
        <v>2059160334.97211</v>
      </c>
      <c r="E80" s="30">
        <f t="shared" si="41"/>
        <v>9.8807556974586878E-3</v>
      </c>
      <c r="F80" s="29">
        <v>4541.9470753413498</v>
      </c>
      <c r="G80" s="29">
        <v>4541.9470753413498</v>
      </c>
      <c r="H80" s="32">
        <v>1097</v>
      </c>
      <c r="I80" s="50">
        <v>0.10500845132373725</v>
      </c>
      <c r="J80" s="50">
        <v>0.12153712242638641</v>
      </c>
      <c r="K80" s="29">
        <v>2049186847.80705</v>
      </c>
      <c r="L80" s="30">
        <f t="shared" si="35"/>
        <v>9.8114843753934616E-3</v>
      </c>
      <c r="M80" s="29">
        <v>4551.1045500851296</v>
      </c>
      <c r="N80" s="29">
        <v>4551.1045500851296</v>
      </c>
      <c r="O80" s="32">
        <v>1097</v>
      </c>
      <c r="P80" s="50">
        <v>0.10513044063120201</v>
      </c>
      <c r="Q80" s="50">
        <v>0.12076858234171713</v>
      </c>
      <c r="R80" s="56">
        <f t="shared" si="36"/>
        <v>-4.8434728445733814E-3</v>
      </c>
      <c r="S80" s="56">
        <f t="shared" si="37"/>
        <v>2.0162002312833264E-3</v>
      </c>
      <c r="T80" s="56">
        <f t="shared" si="38"/>
        <v>0</v>
      </c>
      <c r="U80" s="57">
        <f t="shared" si="39"/>
        <v>1.2198930746476488E-4</v>
      </c>
      <c r="V80" s="58">
        <f t="shared" si="40"/>
        <v>-7.6854008466928359E-4</v>
      </c>
    </row>
    <row r="81" spans="1:22">
      <c r="A81" s="135">
        <v>70</v>
      </c>
      <c r="B81" s="133" t="s">
        <v>124</v>
      </c>
      <c r="C81" s="134" t="s">
        <v>67</v>
      </c>
      <c r="D81" s="29">
        <v>344036666.18000001</v>
      </c>
      <c r="E81" s="30">
        <f t="shared" si="41"/>
        <v>1.6508390297537319E-3</v>
      </c>
      <c r="F81" s="60">
        <v>114.23</v>
      </c>
      <c r="G81" s="60">
        <v>114.23</v>
      </c>
      <c r="H81" s="32">
        <v>137</v>
      </c>
      <c r="I81" s="50">
        <v>2E-3</v>
      </c>
      <c r="J81" s="50">
        <v>0.1275</v>
      </c>
      <c r="K81" s="29">
        <v>345722399.08999997</v>
      </c>
      <c r="L81" s="30">
        <f t="shared" si="35"/>
        <v>1.6553150926793723E-3</v>
      </c>
      <c r="M81" s="60">
        <v>114.54</v>
      </c>
      <c r="N81" s="60">
        <v>114.54</v>
      </c>
      <c r="O81" s="32">
        <v>137</v>
      </c>
      <c r="P81" s="50">
        <v>2.7000000000000001E-3</v>
      </c>
      <c r="Q81" s="50">
        <v>0.12870000000000001</v>
      </c>
      <c r="R81" s="56">
        <f t="shared" si="36"/>
        <v>4.8998641008746171E-3</v>
      </c>
      <c r="S81" s="56">
        <f t="shared" si="37"/>
        <v>2.7138229887070145E-3</v>
      </c>
      <c r="T81" s="56">
        <f t="shared" si="38"/>
        <v>0</v>
      </c>
      <c r="U81" s="57">
        <f t="shared" si="39"/>
        <v>7.000000000000001E-4</v>
      </c>
      <c r="V81" s="58">
        <f t="shared" si="40"/>
        <v>1.2000000000000066E-3</v>
      </c>
    </row>
    <row r="82" spans="1:22" ht="13.5" customHeight="1">
      <c r="A82" s="135">
        <v>71</v>
      </c>
      <c r="B82" s="133" t="s">
        <v>125</v>
      </c>
      <c r="C82" s="134" t="s">
        <v>301</v>
      </c>
      <c r="D82" s="29">
        <v>369824345.30000001</v>
      </c>
      <c r="E82" s="30">
        <f t="shared" si="41"/>
        <v>1.7745796404588364E-3</v>
      </c>
      <c r="F82" s="60">
        <v>1.4058999999999999</v>
      </c>
      <c r="G82" s="60">
        <v>1.4058999999999999</v>
      </c>
      <c r="H82" s="32">
        <v>410</v>
      </c>
      <c r="I82" s="50">
        <v>2.2813146075424395E-3</v>
      </c>
      <c r="J82" s="50">
        <v>7.083530619569689E-2</v>
      </c>
      <c r="K82" s="29">
        <v>370830404.14999998</v>
      </c>
      <c r="L82" s="30">
        <f t="shared" si="35"/>
        <v>1.7755319482614387E-3</v>
      </c>
      <c r="M82" s="60">
        <v>1.4086000000000001</v>
      </c>
      <c r="N82" s="60">
        <v>1.4086000000000001</v>
      </c>
      <c r="O82" s="32">
        <v>411</v>
      </c>
      <c r="P82" s="50">
        <v>1.9204779856321075E-3</v>
      </c>
      <c r="Q82" s="50">
        <v>7.2806828649147115E-2</v>
      </c>
      <c r="R82" s="56">
        <f t="shared" si="36"/>
        <v>2.720369447781631E-3</v>
      </c>
      <c r="S82" s="56">
        <f t="shared" si="37"/>
        <v>1.9204779856320841E-3</v>
      </c>
      <c r="T82" s="56">
        <f t="shared" si="38"/>
        <v>2.4390243902439024E-3</v>
      </c>
      <c r="U82" s="57">
        <f t="shared" si="39"/>
        <v>-3.6083662191033206E-4</v>
      </c>
      <c r="V82" s="58">
        <f t="shared" si="40"/>
        <v>1.9715224534502251E-3</v>
      </c>
    </row>
    <row r="83" spans="1:22" ht="13.5" customHeight="1">
      <c r="A83" s="135">
        <v>72</v>
      </c>
      <c r="B83" s="133" t="s">
        <v>299</v>
      </c>
      <c r="C83" s="134" t="s">
        <v>301</v>
      </c>
      <c r="D83" s="29">
        <v>25587352.649999999</v>
      </c>
      <c r="E83" s="30">
        <f t="shared" si="41"/>
        <v>1.2277935631602795E-4</v>
      </c>
      <c r="F83" s="60">
        <v>0.88800000000000001</v>
      </c>
      <c r="G83" s="60">
        <v>0.88800000000000001</v>
      </c>
      <c r="H83" s="32">
        <v>1</v>
      </c>
      <c r="I83" s="50">
        <v>-2.2517451024539614E-4</v>
      </c>
      <c r="J83" s="50">
        <v>-9.0629800307219677E-2</v>
      </c>
      <c r="K83" s="29">
        <v>25666533.710000001</v>
      </c>
      <c r="L83" s="30">
        <f t="shared" si="35"/>
        <v>1.2289108469326192E-4</v>
      </c>
      <c r="M83" s="60">
        <v>0.88780000000000003</v>
      </c>
      <c r="N83" s="60">
        <v>0.88780000000000003</v>
      </c>
      <c r="O83" s="32">
        <v>1</v>
      </c>
      <c r="P83" s="50">
        <v>-2.2522522522516741E-4</v>
      </c>
      <c r="Q83" s="50">
        <v>-9.0834613415258558E-2</v>
      </c>
      <c r="R83" s="56">
        <f t="shared" ref="R83" si="42">((K83-D83)/D83)</f>
        <v>3.0945389733393301E-3</v>
      </c>
      <c r="S83" s="56">
        <f t="shared" ref="S83" si="43">((N83-G83)/G83)</f>
        <v>-2.2522522522520043E-4</v>
      </c>
      <c r="T83" s="56">
        <f t="shared" ref="T83" si="44">((O83-H83)/H83)</f>
        <v>0</v>
      </c>
      <c r="U83" s="57">
        <f t="shared" ref="U83" si="45">P83-I83</f>
        <v>-5.0714979771271373E-8</v>
      </c>
      <c r="V83" s="58">
        <f t="shared" ref="V83" si="46">Q83-J83</f>
        <v>-2.0481310803888153E-4</v>
      </c>
    </row>
    <row r="84" spans="1:22">
      <c r="A84" s="135">
        <v>73</v>
      </c>
      <c r="B84" s="133" t="s">
        <v>127</v>
      </c>
      <c r="C84" s="134" t="s">
        <v>29</v>
      </c>
      <c r="D84" s="29">
        <v>136450643.31999999</v>
      </c>
      <c r="E84" s="30">
        <f t="shared" si="41"/>
        <v>6.5475011756394106E-4</v>
      </c>
      <c r="F84" s="60">
        <v>130.50380000000001</v>
      </c>
      <c r="G84" s="60">
        <v>130.50380000000001</v>
      </c>
      <c r="H84" s="32">
        <v>220</v>
      </c>
      <c r="I84" s="50">
        <v>4.1599999999999997E-4</v>
      </c>
      <c r="J84" s="50">
        <v>4.1799999999999997E-2</v>
      </c>
      <c r="K84" s="29">
        <v>137284929.88</v>
      </c>
      <c r="L84" s="30">
        <f t="shared" si="35"/>
        <v>6.5731875350267556E-4</v>
      </c>
      <c r="M84" s="60">
        <v>130.8535</v>
      </c>
      <c r="N84" s="60">
        <v>130.8535</v>
      </c>
      <c r="O84" s="32">
        <v>220</v>
      </c>
      <c r="P84" s="50">
        <v>1.5330000000000001E-3</v>
      </c>
      <c r="Q84" s="50">
        <v>4.2299999999999997E-2</v>
      </c>
      <c r="R84" s="56">
        <f t="shared" si="36"/>
        <v>6.1142002683230914E-3</v>
      </c>
      <c r="S84" s="56">
        <f t="shared" si="37"/>
        <v>2.6796154594730904E-3</v>
      </c>
      <c r="T84" s="56">
        <f t="shared" si="38"/>
        <v>0</v>
      </c>
      <c r="U84" s="57">
        <f t="shared" si="39"/>
        <v>1.1170000000000002E-3</v>
      </c>
      <c r="V84" s="58">
        <f t="shared" si="40"/>
        <v>5.0000000000000044E-4</v>
      </c>
    </row>
    <row r="85" spans="1:22">
      <c r="A85" s="135">
        <v>74</v>
      </c>
      <c r="B85" s="133" t="s">
        <v>128</v>
      </c>
      <c r="C85" s="134" t="s">
        <v>98</v>
      </c>
      <c r="D85" s="29">
        <v>1536467789.3400002</v>
      </c>
      <c r="E85" s="30">
        <f t="shared" si="41"/>
        <v>7.3726472900851525E-3</v>
      </c>
      <c r="F85" s="35">
        <v>1000</v>
      </c>
      <c r="G85" s="35">
        <v>1000</v>
      </c>
      <c r="H85" s="32">
        <v>348</v>
      </c>
      <c r="I85" s="50">
        <v>1.15E-2</v>
      </c>
      <c r="J85" s="50">
        <v>0.2041</v>
      </c>
      <c r="K85" s="29">
        <v>1533761376.2400002</v>
      </c>
      <c r="L85" s="30">
        <f t="shared" si="35"/>
        <v>7.3436328144819768E-3</v>
      </c>
      <c r="M85" s="35">
        <v>1000</v>
      </c>
      <c r="N85" s="35">
        <v>1000</v>
      </c>
      <c r="O85" s="32">
        <v>353</v>
      </c>
      <c r="P85" s="50">
        <v>1.17E-2</v>
      </c>
      <c r="Q85" s="50">
        <v>0.2069</v>
      </c>
      <c r="R85" s="56">
        <f t="shared" si="36"/>
        <v>-1.761451244716599E-3</v>
      </c>
      <c r="S85" s="56">
        <f t="shared" si="37"/>
        <v>0</v>
      </c>
      <c r="T85" s="56">
        <f t="shared" si="38"/>
        <v>1.4367816091954023E-2</v>
      </c>
      <c r="U85" s="57">
        <f t="shared" si="39"/>
        <v>2.0000000000000052E-4</v>
      </c>
      <c r="V85" s="58">
        <f t="shared" si="40"/>
        <v>2.7999999999999969E-3</v>
      </c>
    </row>
    <row r="86" spans="1:22">
      <c r="A86" s="135">
        <v>75</v>
      </c>
      <c r="B86" s="133" t="s">
        <v>129</v>
      </c>
      <c r="C86" s="134" t="s">
        <v>72</v>
      </c>
      <c r="D86" s="29">
        <v>175441297.50999999</v>
      </c>
      <c r="E86" s="30">
        <f t="shared" si="41"/>
        <v>8.4184440157495364E-4</v>
      </c>
      <c r="F86" s="35">
        <v>1056.6600000000001</v>
      </c>
      <c r="G86" s="35">
        <v>1064.1600000000001</v>
      </c>
      <c r="H86" s="32">
        <v>71</v>
      </c>
      <c r="I86" s="50">
        <v>1.2999999999999999E-3</v>
      </c>
      <c r="J86" s="50">
        <v>4.9099999999999998E-2</v>
      </c>
      <c r="K86" s="29">
        <v>176203361.16</v>
      </c>
      <c r="L86" s="30">
        <f t="shared" si="35"/>
        <v>8.4365977986012111E-4</v>
      </c>
      <c r="M86" s="35">
        <v>1059.75</v>
      </c>
      <c r="N86" s="35">
        <v>1068.25</v>
      </c>
      <c r="O86" s="32">
        <v>71</v>
      </c>
      <c r="P86" s="50">
        <v>3.5999999999999999E-3</v>
      </c>
      <c r="Q86" s="50">
        <v>5.2600000000000001E-2</v>
      </c>
      <c r="R86" s="56">
        <f t="shared" si="36"/>
        <v>4.3436959302958246E-3</v>
      </c>
      <c r="S86" s="56">
        <f t="shared" si="37"/>
        <v>3.8434070064651158E-3</v>
      </c>
      <c r="T86" s="56">
        <f t="shared" si="38"/>
        <v>0</v>
      </c>
      <c r="U86" s="57">
        <f t="shared" si="39"/>
        <v>2.3E-3</v>
      </c>
      <c r="V86" s="58">
        <f t="shared" si="40"/>
        <v>3.5000000000000031E-3</v>
      </c>
    </row>
    <row r="87" spans="1:22">
      <c r="A87" s="135">
        <v>76</v>
      </c>
      <c r="B87" s="133" t="s">
        <v>130</v>
      </c>
      <c r="C87" s="134" t="s">
        <v>75</v>
      </c>
      <c r="D87" s="29">
        <v>656475375.76999998</v>
      </c>
      <c r="E87" s="30">
        <f t="shared" si="41"/>
        <v>3.1500571855511269E-3</v>
      </c>
      <c r="F87" s="61">
        <v>1.1840999999999999</v>
      </c>
      <c r="G87" s="61">
        <v>1.1840999999999999</v>
      </c>
      <c r="H87" s="32">
        <v>46</v>
      </c>
      <c r="I87" s="50">
        <v>1.1999999999999999E-3</v>
      </c>
      <c r="J87" s="50">
        <v>0.122</v>
      </c>
      <c r="K87" s="29">
        <v>660846619.77999997</v>
      </c>
      <c r="L87" s="30">
        <f t="shared" si="35"/>
        <v>3.1641264394419791E-3</v>
      </c>
      <c r="M87" s="61">
        <v>1.1867000000000001</v>
      </c>
      <c r="N87" s="61">
        <v>1.1867000000000001</v>
      </c>
      <c r="O87" s="32">
        <v>48</v>
      </c>
      <c r="P87" s="50">
        <v>1.4E-3</v>
      </c>
      <c r="Q87" s="50">
        <v>0.121</v>
      </c>
      <c r="R87" s="56">
        <f t="shared" si="36"/>
        <v>6.658656472640463E-3</v>
      </c>
      <c r="S87" s="56">
        <f t="shared" si="37"/>
        <v>2.1957604932017209E-3</v>
      </c>
      <c r="T87" s="56">
        <f t="shared" si="38"/>
        <v>4.3478260869565216E-2</v>
      </c>
      <c r="U87" s="57">
        <f t="shared" si="39"/>
        <v>2.0000000000000009E-4</v>
      </c>
      <c r="V87" s="58">
        <f t="shared" si="40"/>
        <v>-1.0000000000000009E-3</v>
      </c>
    </row>
    <row r="88" spans="1:22">
      <c r="A88" s="135">
        <v>77</v>
      </c>
      <c r="B88" s="133" t="s">
        <v>131</v>
      </c>
      <c r="C88" s="134" t="s">
        <v>31</v>
      </c>
      <c r="D88" s="29">
        <v>12340125691.27</v>
      </c>
      <c r="E88" s="30">
        <f t="shared" si="41"/>
        <v>5.9213343011982528E-2</v>
      </c>
      <c r="F88" s="61">
        <v>1708.14</v>
      </c>
      <c r="G88" s="61">
        <v>1708.14</v>
      </c>
      <c r="H88" s="32">
        <v>2110</v>
      </c>
      <c r="I88" s="50">
        <v>6.9999999999999999E-4</v>
      </c>
      <c r="J88" s="50">
        <v>8.9999999999999993E-3</v>
      </c>
      <c r="K88" s="29">
        <v>12342000025.530001</v>
      </c>
      <c r="L88" s="30">
        <f t="shared" si="35"/>
        <v>5.9093362101743971E-2</v>
      </c>
      <c r="M88" s="61">
        <v>1709.65</v>
      </c>
      <c r="N88" s="61">
        <v>1709.65</v>
      </c>
      <c r="O88" s="32">
        <v>2104</v>
      </c>
      <c r="P88" s="50">
        <v>8.0000000000000004E-4</v>
      </c>
      <c r="Q88" s="50">
        <v>9.7999999999999997E-3</v>
      </c>
      <c r="R88" s="56">
        <f t="shared" si="36"/>
        <v>1.5188939779812966E-4</v>
      </c>
      <c r="S88" s="56">
        <f t="shared" si="37"/>
        <v>8.8400248223213015E-4</v>
      </c>
      <c r="T88" s="56">
        <f t="shared" si="38"/>
        <v>-2.843601895734597E-3</v>
      </c>
      <c r="U88" s="57">
        <f t="shared" si="39"/>
        <v>1.0000000000000005E-4</v>
      </c>
      <c r="V88" s="58">
        <f t="shared" si="40"/>
        <v>8.0000000000000036E-4</v>
      </c>
    </row>
    <row r="89" spans="1:22">
      <c r="A89" s="135">
        <v>78</v>
      </c>
      <c r="B89" s="133" t="s">
        <v>132</v>
      </c>
      <c r="C89" s="134" t="s">
        <v>80</v>
      </c>
      <c r="D89" s="29">
        <v>23352258.68</v>
      </c>
      <c r="E89" s="30">
        <f t="shared" si="41"/>
        <v>1.1205439376534236E-4</v>
      </c>
      <c r="F89" s="60">
        <v>0.71220000000000006</v>
      </c>
      <c r="G89" s="60">
        <v>0.71220000000000006</v>
      </c>
      <c r="H89" s="32">
        <v>746</v>
      </c>
      <c r="I89" s="50">
        <v>2.3E-3</v>
      </c>
      <c r="J89" s="50">
        <v>-6.3E-3</v>
      </c>
      <c r="K89" s="29">
        <v>23320321.050000001</v>
      </c>
      <c r="L89" s="30">
        <f t="shared" si="35"/>
        <v>1.1165744395446099E-4</v>
      </c>
      <c r="M89" s="60">
        <v>0.71120000000000005</v>
      </c>
      <c r="N89" s="60">
        <v>0.71120000000000005</v>
      </c>
      <c r="O89" s="32">
        <v>746</v>
      </c>
      <c r="P89" s="50">
        <v>-1.4E-3</v>
      </c>
      <c r="Q89" s="50">
        <v>-7.7000000000000002E-3</v>
      </c>
      <c r="R89" s="56">
        <f t="shared" si="36"/>
        <v>-1.3676462922771527E-3</v>
      </c>
      <c r="S89" s="56">
        <f t="shared" si="37"/>
        <v>-1.4040999719180016E-3</v>
      </c>
      <c r="T89" s="56">
        <f t="shared" si="38"/>
        <v>0</v>
      </c>
      <c r="U89" s="57">
        <f t="shared" si="39"/>
        <v>-3.7000000000000002E-3</v>
      </c>
      <c r="V89" s="58">
        <f t="shared" si="40"/>
        <v>-1.4000000000000002E-3</v>
      </c>
    </row>
    <row r="90" spans="1:22">
      <c r="A90" s="135">
        <v>79</v>
      </c>
      <c r="B90" s="133" t="s">
        <v>133</v>
      </c>
      <c r="C90" s="134" t="s">
        <v>37</v>
      </c>
      <c r="D90" s="29">
        <v>10896350697.870001</v>
      </c>
      <c r="E90" s="30">
        <f t="shared" si="41"/>
        <v>5.2285476468710824E-2</v>
      </c>
      <c r="F90" s="60">
        <v>1</v>
      </c>
      <c r="G90" s="60">
        <v>1</v>
      </c>
      <c r="H90" s="32">
        <v>4277</v>
      </c>
      <c r="I90" s="50">
        <v>0.06</v>
      </c>
      <c r="J90" s="50">
        <v>0.06</v>
      </c>
      <c r="K90" s="29">
        <v>10279092843.459999</v>
      </c>
      <c r="L90" s="30">
        <f t="shared" si="35"/>
        <v>4.9216184914887176E-2</v>
      </c>
      <c r="M90" s="60">
        <v>1</v>
      </c>
      <c r="N90" s="60">
        <v>1</v>
      </c>
      <c r="O90" s="32">
        <v>4275</v>
      </c>
      <c r="P90" s="50">
        <v>0.06</v>
      </c>
      <c r="Q90" s="50">
        <v>0.06</v>
      </c>
      <c r="R90" s="56">
        <f t="shared" si="36"/>
        <v>-5.664812665497837E-2</v>
      </c>
      <c r="S90" s="56">
        <f t="shared" si="37"/>
        <v>0</v>
      </c>
      <c r="T90" s="56">
        <f t="shared" si="38"/>
        <v>-4.6761748889408465E-4</v>
      </c>
      <c r="U90" s="57">
        <f t="shared" si="39"/>
        <v>0</v>
      </c>
      <c r="V90" s="58">
        <f t="shared" si="40"/>
        <v>0</v>
      </c>
    </row>
    <row r="91" spans="1:22">
      <c r="A91" s="135">
        <v>80</v>
      </c>
      <c r="B91" s="133" t="s">
        <v>134</v>
      </c>
      <c r="C91" s="134" t="s">
        <v>135</v>
      </c>
      <c r="D91" s="29">
        <v>1594144826.8399999</v>
      </c>
      <c r="E91" s="30">
        <f t="shared" si="41"/>
        <v>7.6494070485225059E-3</v>
      </c>
      <c r="F91" s="29">
        <v>250.86</v>
      </c>
      <c r="G91" s="29">
        <v>253.02</v>
      </c>
      <c r="H91" s="32">
        <v>519</v>
      </c>
      <c r="I91" s="50">
        <v>3.0000000000000001E-3</v>
      </c>
      <c r="J91" s="50">
        <v>0.18709999999999999</v>
      </c>
      <c r="K91" s="29">
        <v>1584083865.55</v>
      </c>
      <c r="L91" s="30">
        <f t="shared" si="35"/>
        <v>7.5845763468515813E-3</v>
      </c>
      <c r="M91" s="29">
        <v>249.23</v>
      </c>
      <c r="N91" s="29">
        <v>250.7</v>
      </c>
      <c r="O91" s="32">
        <v>519</v>
      </c>
      <c r="P91" s="50">
        <v>3.0000000000000001E-3</v>
      </c>
      <c r="Q91" s="50">
        <v>0.18709999999999999</v>
      </c>
      <c r="R91" s="56">
        <f t="shared" si="36"/>
        <v>-6.3111965240594502E-3</v>
      </c>
      <c r="S91" s="56">
        <f t="shared" si="37"/>
        <v>-9.1692356335468395E-3</v>
      </c>
      <c r="T91" s="56">
        <f t="shared" si="38"/>
        <v>0</v>
      </c>
      <c r="U91" s="57">
        <f t="shared" si="39"/>
        <v>0</v>
      </c>
      <c r="V91" s="58">
        <f t="shared" si="40"/>
        <v>0</v>
      </c>
    </row>
    <row r="92" spans="1:22">
      <c r="A92" s="135">
        <v>81</v>
      </c>
      <c r="B92" s="133" t="s">
        <v>136</v>
      </c>
      <c r="C92" s="134" t="s">
        <v>41</v>
      </c>
      <c r="D92" s="29">
        <v>1117590407.03</v>
      </c>
      <c r="E92" s="30">
        <f t="shared" si="41"/>
        <v>5.3626896333142564E-3</v>
      </c>
      <c r="F92" s="60">
        <v>3.73</v>
      </c>
      <c r="G92" s="60">
        <v>3.73</v>
      </c>
      <c r="H92" s="46">
        <v>771</v>
      </c>
      <c r="I92" s="53">
        <v>1.9E-3</v>
      </c>
      <c r="J92" s="53">
        <v>9.5899999999999999E-2</v>
      </c>
      <c r="K92" s="29">
        <v>1119725877.6900001</v>
      </c>
      <c r="L92" s="30">
        <f t="shared" si="35"/>
        <v>5.3612353433929597E-3</v>
      </c>
      <c r="M92" s="60">
        <v>3.73</v>
      </c>
      <c r="N92" s="60">
        <v>3.73</v>
      </c>
      <c r="O92" s="46">
        <v>771</v>
      </c>
      <c r="P92" s="53">
        <v>1.9E-3</v>
      </c>
      <c r="Q92" s="53">
        <v>9.6299999999999997E-2</v>
      </c>
      <c r="R92" s="56">
        <f t="shared" si="36"/>
        <v>1.9107811292646167E-3</v>
      </c>
      <c r="S92" s="56">
        <f t="shared" si="37"/>
        <v>0</v>
      </c>
      <c r="T92" s="56">
        <f t="shared" si="38"/>
        <v>0</v>
      </c>
      <c r="U92" s="57">
        <f t="shared" si="39"/>
        <v>0</v>
      </c>
      <c r="V92" s="58">
        <f t="shared" si="40"/>
        <v>3.9999999999999758E-4</v>
      </c>
    </row>
    <row r="93" spans="1:22">
      <c r="A93" s="135">
        <v>82</v>
      </c>
      <c r="B93" s="133" t="s">
        <v>137</v>
      </c>
      <c r="C93" s="134" t="s">
        <v>43</v>
      </c>
      <c r="D93" s="29">
        <v>580155940.75999999</v>
      </c>
      <c r="E93" s="30">
        <f t="shared" si="41"/>
        <v>2.7838430158749713E-3</v>
      </c>
      <c r="F93" s="60">
        <v>108.94</v>
      </c>
      <c r="G93" s="60">
        <v>108.98714</v>
      </c>
      <c r="H93" s="46">
        <v>59</v>
      </c>
      <c r="I93" s="53">
        <v>0.1492</v>
      </c>
      <c r="J93" s="53">
        <v>0.17280000000000001</v>
      </c>
      <c r="K93" s="29">
        <v>577942906.49000001</v>
      </c>
      <c r="L93" s="30">
        <f t="shared" si="35"/>
        <v>2.7671843604522529E-3</v>
      </c>
      <c r="M93" s="60">
        <v>109.28767000000001</v>
      </c>
      <c r="N93" s="60">
        <v>109.28767000000001</v>
      </c>
      <c r="O93" s="46">
        <v>59</v>
      </c>
      <c r="P93" s="53">
        <v>0.14660000000000001</v>
      </c>
      <c r="Q93" s="53">
        <v>0.17050000000000001</v>
      </c>
      <c r="R93" s="56">
        <f t="shared" si="36"/>
        <v>-3.8145507345851227E-3</v>
      </c>
      <c r="S93" s="56">
        <f t="shared" si="37"/>
        <v>2.7574812954997176E-3</v>
      </c>
      <c r="T93" s="56">
        <f t="shared" si="38"/>
        <v>0</v>
      </c>
      <c r="U93" s="57">
        <f t="shared" si="39"/>
        <v>-2.5999999999999912E-3</v>
      </c>
      <c r="V93" s="58">
        <f t="shared" si="40"/>
        <v>-2.2999999999999965E-3</v>
      </c>
    </row>
    <row r="94" spans="1:22">
      <c r="A94" s="135">
        <v>83</v>
      </c>
      <c r="B94" s="134" t="s">
        <v>138</v>
      </c>
      <c r="C94" s="171" t="s">
        <v>47</v>
      </c>
      <c r="D94" s="29">
        <v>1458970868.27</v>
      </c>
      <c r="E94" s="30">
        <f t="shared" si="41"/>
        <v>7.0007830251257747E-3</v>
      </c>
      <c r="F94" s="60">
        <v>100.28</v>
      </c>
      <c r="G94" s="60">
        <v>100.28</v>
      </c>
      <c r="H94" s="32">
        <v>289</v>
      </c>
      <c r="I94" s="50">
        <v>1.9E-3</v>
      </c>
      <c r="J94" s="50">
        <v>3.0300000000000001E-2</v>
      </c>
      <c r="K94" s="29">
        <v>1442027868.1800001</v>
      </c>
      <c r="L94" s="30">
        <f t="shared" si="35"/>
        <v>6.9044137740153118E-3</v>
      </c>
      <c r="M94" s="60">
        <v>100.52</v>
      </c>
      <c r="N94" s="60">
        <v>100.52</v>
      </c>
      <c r="O94" s="32">
        <v>289</v>
      </c>
      <c r="P94" s="50">
        <v>1.9E-3</v>
      </c>
      <c r="Q94" s="50">
        <v>3.27E-2</v>
      </c>
      <c r="R94" s="56">
        <f t="shared" si="36"/>
        <v>-1.1612980394934389E-2</v>
      </c>
      <c r="S94" s="56">
        <f t="shared" si="37"/>
        <v>2.3932987634622547E-3</v>
      </c>
      <c r="T94" s="56">
        <f t="shared" si="38"/>
        <v>0</v>
      </c>
      <c r="U94" s="57">
        <f t="shared" si="39"/>
        <v>0</v>
      </c>
      <c r="V94" s="58">
        <f t="shared" si="40"/>
        <v>2.3999999999999994E-3</v>
      </c>
    </row>
    <row r="95" spans="1:22">
      <c r="A95" s="135">
        <v>84</v>
      </c>
      <c r="B95" s="133" t="s">
        <v>139</v>
      </c>
      <c r="C95" s="134" t="s">
        <v>19</v>
      </c>
      <c r="D95" s="29">
        <v>1416829407.51</v>
      </c>
      <c r="E95" s="30">
        <f t="shared" si="41"/>
        <v>6.7985697873162764E-3</v>
      </c>
      <c r="F95" s="60">
        <v>356.47590000000002</v>
      </c>
      <c r="G95" s="60">
        <v>356.47590000000002</v>
      </c>
      <c r="H95" s="32">
        <v>196</v>
      </c>
      <c r="I95" s="50">
        <v>2.0999999999999999E-3</v>
      </c>
      <c r="J95" s="50">
        <v>3.9199999999999999E-2</v>
      </c>
      <c r="K95" s="29">
        <v>1426301382.8</v>
      </c>
      <c r="L95" s="30">
        <f t="shared" si="35"/>
        <v>6.8291155327881393E-3</v>
      </c>
      <c r="M95" s="60">
        <v>358.19549999999998</v>
      </c>
      <c r="N95" s="60">
        <v>358.19549999999998</v>
      </c>
      <c r="O95" s="32">
        <v>196</v>
      </c>
      <c r="P95" s="50">
        <v>4.7999999999999996E-3</v>
      </c>
      <c r="Q95" s="50">
        <v>4.3999999999999997E-2</v>
      </c>
      <c r="R95" s="56">
        <f t="shared" si="36"/>
        <v>6.6853322212209292E-3</v>
      </c>
      <c r="S95" s="56">
        <f t="shared" si="37"/>
        <v>4.8238885153244777E-3</v>
      </c>
      <c r="T95" s="56">
        <f t="shared" si="38"/>
        <v>0</v>
      </c>
      <c r="U95" s="57">
        <f t="shared" si="39"/>
        <v>2.6999999999999997E-3</v>
      </c>
      <c r="V95" s="58">
        <f t="shared" si="40"/>
        <v>4.7999999999999987E-3</v>
      </c>
    </row>
    <row r="96" spans="1:22">
      <c r="A96" s="135">
        <v>85</v>
      </c>
      <c r="B96" s="133" t="s">
        <v>140</v>
      </c>
      <c r="C96" s="134" t="s">
        <v>89</v>
      </c>
      <c r="D96" s="44">
        <v>1513534664</v>
      </c>
      <c r="E96" s="30">
        <f>(D96/$K$70)</f>
        <v>5.5577579833326278E-4</v>
      </c>
      <c r="F96" s="60">
        <v>102.09</v>
      </c>
      <c r="G96" s="60">
        <v>102.09</v>
      </c>
      <c r="H96" s="32">
        <v>390</v>
      </c>
      <c r="I96" s="50">
        <v>2.7000000000000001E-3</v>
      </c>
      <c r="J96" s="50">
        <v>0.1439</v>
      </c>
      <c r="K96" s="44">
        <v>1515934320</v>
      </c>
      <c r="L96" s="30">
        <f>(K96/$K$70)</f>
        <v>5.5665696132268551E-4</v>
      </c>
      <c r="M96" s="60">
        <v>102.37</v>
      </c>
      <c r="N96" s="60">
        <v>102.37</v>
      </c>
      <c r="O96" s="32">
        <v>390</v>
      </c>
      <c r="P96" s="50">
        <v>2.7000000000000001E-3</v>
      </c>
      <c r="Q96" s="50">
        <v>0.1439</v>
      </c>
      <c r="R96" s="56">
        <f t="shared" si="36"/>
        <v>1.5854648440347845E-3</v>
      </c>
      <c r="S96" s="56">
        <f t="shared" si="37"/>
        <v>2.7426780291899414E-3</v>
      </c>
      <c r="T96" s="56">
        <f t="shared" si="38"/>
        <v>0</v>
      </c>
      <c r="U96" s="57">
        <f t="shared" si="39"/>
        <v>0</v>
      </c>
      <c r="V96" s="58">
        <f t="shared" si="40"/>
        <v>0</v>
      </c>
    </row>
    <row r="97" spans="1:22">
      <c r="A97" s="135">
        <v>86</v>
      </c>
      <c r="B97" s="133" t="s">
        <v>141</v>
      </c>
      <c r="C97" s="134" t="s">
        <v>45</v>
      </c>
      <c r="D97" s="29">
        <v>60271726.640000001</v>
      </c>
      <c r="E97" s="30">
        <f t="shared" ref="E97:E109" si="47">(D97/$D$110)</f>
        <v>2.8921021655262151E-4</v>
      </c>
      <c r="F97" s="29">
        <v>12.53</v>
      </c>
      <c r="G97" s="29">
        <v>12.93</v>
      </c>
      <c r="H97" s="32">
        <v>58</v>
      </c>
      <c r="I97" s="50">
        <v>-5.9999999999999995E-4</v>
      </c>
      <c r="J97" s="50">
        <v>2.6700000000000002E-2</v>
      </c>
      <c r="K97" s="29">
        <v>60408714.369999997</v>
      </c>
      <c r="L97" s="30">
        <f t="shared" ref="L97:L109" si="48">(K97/$K$110)</f>
        <v>2.8923626843161819E-4</v>
      </c>
      <c r="M97" s="29">
        <v>12.555711000000001</v>
      </c>
      <c r="N97" s="29">
        <v>12.96832</v>
      </c>
      <c r="O97" s="32">
        <v>58</v>
      </c>
      <c r="P97" s="50">
        <v>5.9999999999999995E-4</v>
      </c>
      <c r="Q97" s="50">
        <v>2.87E-2</v>
      </c>
      <c r="R97" s="56">
        <f t="shared" si="36"/>
        <v>2.2728356666836102E-3</v>
      </c>
      <c r="S97" s="56">
        <f t="shared" si="37"/>
        <v>2.9636504253674075E-3</v>
      </c>
      <c r="T97" s="56">
        <f t="shared" si="38"/>
        <v>0</v>
      </c>
      <c r="U97" s="57">
        <f t="shared" si="39"/>
        <v>1.1999999999999999E-3</v>
      </c>
      <c r="V97" s="58">
        <f t="shared" si="40"/>
        <v>1.9999999999999983E-3</v>
      </c>
    </row>
    <row r="98" spans="1:22">
      <c r="A98" s="135">
        <v>87</v>
      </c>
      <c r="B98" s="133" t="s">
        <v>142</v>
      </c>
      <c r="C98" s="134" t="s">
        <v>143</v>
      </c>
      <c r="D98" s="29">
        <v>515594645.97000003</v>
      </c>
      <c r="E98" s="30">
        <f t="shared" si="47"/>
        <v>2.4740495673039827E-3</v>
      </c>
      <c r="F98" s="29">
        <v>138.26</v>
      </c>
      <c r="G98" s="29">
        <v>128.26</v>
      </c>
      <c r="H98" s="32">
        <v>132</v>
      </c>
      <c r="I98" s="50">
        <v>0.19209999999999999</v>
      </c>
      <c r="J98" s="50">
        <v>0.1973</v>
      </c>
      <c r="K98" s="29">
        <v>518666365.69</v>
      </c>
      <c r="L98" s="30">
        <f t="shared" si="48"/>
        <v>2.4833689267796397E-3</v>
      </c>
      <c r="M98" s="29">
        <v>138.74</v>
      </c>
      <c r="N98" s="29">
        <v>138.74</v>
      </c>
      <c r="O98" s="32">
        <v>131</v>
      </c>
      <c r="P98" s="50">
        <v>0.19639999999999999</v>
      </c>
      <c r="Q98" s="50">
        <v>0.19639999999999999</v>
      </c>
      <c r="R98" s="56">
        <f t="shared" si="36"/>
        <v>5.9576253244854249E-3</v>
      </c>
      <c r="S98" s="56">
        <f t="shared" si="37"/>
        <v>8.1709028535786835E-2</v>
      </c>
      <c r="T98" s="56">
        <f t="shared" si="38"/>
        <v>-7.575757575757576E-3</v>
      </c>
      <c r="U98" s="57">
        <f t="shared" si="39"/>
        <v>4.2999999999999983E-3</v>
      </c>
      <c r="V98" s="58">
        <f t="shared" si="40"/>
        <v>-9.000000000000119E-4</v>
      </c>
    </row>
    <row r="99" spans="1:22">
      <c r="A99" s="135">
        <v>88</v>
      </c>
      <c r="B99" s="133" t="s">
        <v>144</v>
      </c>
      <c r="C99" s="134" t="s">
        <v>145</v>
      </c>
      <c r="D99" s="29">
        <v>8501153171.4436989</v>
      </c>
      <c r="E99" s="30">
        <f t="shared" si="47"/>
        <v>4.0792266734707192E-2</v>
      </c>
      <c r="F99" s="29">
        <v>1.0524500000000001</v>
      </c>
      <c r="G99" s="29">
        <v>1.0524500000000001</v>
      </c>
      <c r="H99" s="32">
        <v>4687</v>
      </c>
      <c r="I99" s="50">
        <v>0.19040000000000001</v>
      </c>
      <c r="J99" s="50">
        <v>0.19040000000000001</v>
      </c>
      <c r="K99" s="29">
        <v>8581775854.1032963</v>
      </c>
      <c r="L99" s="30">
        <f t="shared" si="48"/>
        <v>4.1089449600835805E-2</v>
      </c>
      <c r="M99" s="29">
        <v>1.0561732124285692</v>
      </c>
      <c r="N99" s="29">
        <v>1.0561732124285692</v>
      </c>
      <c r="O99" s="32">
        <v>4692</v>
      </c>
      <c r="P99" s="50">
        <v>0.19040000000000001</v>
      </c>
      <c r="Q99" s="50">
        <v>0.19040000000000001</v>
      </c>
      <c r="R99" s="56">
        <f t="shared" si="36"/>
        <v>9.4837348573388585E-3</v>
      </c>
      <c r="S99" s="56">
        <f t="shared" si="37"/>
        <v>3.5376620538449333E-3</v>
      </c>
      <c r="T99" s="56">
        <f t="shared" si="38"/>
        <v>1.0667804565820354E-3</v>
      </c>
      <c r="U99" s="57">
        <f t="shared" si="39"/>
        <v>0</v>
      </c>
      <c r="V99" s="58">
        <f t="shared" si="40"/>
        <v>0</v>
      </c>
    </row>
    <row r="100" spans="1:22" ht="14.25" customHeight="1">
      <c r="A100" s="135">
        <v>89</v>
      </c>
      <c r="B100" s="133" t="s">
        <v>146</v>
      </c>
      <c r="C100" s="134" t="s">
        <v>49</v>
      </c>
      <c r="D100" s="29">
        <v>8540005047.7700005</v>
      </c>
      <c r="E100" s="30">
        <f t="shared" si="47"/>
        <v>4.0978695101575119E-2</v>
      </c>
      <c r="F100" s="29">
        <v>5172.0200000000004</v>
      </c>
      <c r="G100" s="29">
        <v>5172.0200000000004</v>
      </c>
      <c r="H100" s="32">
        <v>253</v>
      </c>
      <c r="I100" s="50">
        <v>0</v>
      </c>
      <c r="J100" s="50">
        <v>8.9999999999999998E-4</v>
      </c>
      <c r="K100" s="29">
        <v>8535022442.04</v>
      </c>
      <c r="L100" s="30">
        <f t="shared" si="48"/>
        <v>4.0865594771567183E-2</v>
      </c>
      <c r="M100" s="29">
        <v>5172.33</v>
      </c>
      <c r="N100" s="29">
        <v>5172.33</v>
      </c>
      <c r="O100" s="32">
        <v>253</v>
      </c>
      <c r="P100" s="50">
        <v>1E-4</v>
      </c>
      <c r="Q100" s="50">
        <v>1E-3</v>
      </c>
      <c r="R100" s="56">
        <f t="shared" si="36"/>
        <v>-5.8344294905324126E-4</v>
      </c>
      <c r="S100" s="56">
        <f t="shared" si="37"/>
        <v>5.9937896605096394E-5</v>
      </c>
      <c r="T100" s="56">
        <f t="shared" si="38"/>
        <v>0</v>
      </c>
      <c r="U100" s="57">
        <f t="shared" si="39"/>
        <v>1E-4</v>
      </c>
      <c r="V100" s="58">
        <f t="shared" si="40"/>
        <v>1.0000000000000005E-4</v>
      </c>
    </row>
    <row r="101" spans="1:22" ht="13.5" customHeight="1">
      <c r="A101" s="135">
        <v>90</v>
      </c>
      <c r="B101" s="133" t="s">
        <v>147</v>
      </c>
      <c r="C101" s="134" t="s">
        <v>49</v>
      </c>
      <c r="D101" s="29">
        <v>20019371778.490002</v>
      </c>
      <c r="E101" s="30">
        <f t="shared" si="47"/>
        <v>9.6061738564198751E-2</v>
      </c>
      <c r="F101" s="60">
        <v>259.06</v>
      </c>
      <c r="G101" s="60">
        <v>259.06</v>
      </c>
      <c r="H101" s="32">
        <v>6242</v>
      </c>
      <c r="I101" s="50">
        <v>0</v>
      </c>
      <c r="J101" s="50">
        <v>8.0000000000000004E-4</v>
      </c>
      <c r="K101" s="29">
        <v>20134226556.889999</v>
      </c>
      <c r="L101" s="30">
        <f t="shared" si="48"/>
        <v>9.6402458118918788E-2</v>
      </c>
      <c r="M101" s="60">
        <v>259.06</v>
      </c>
      <c r="N101" s="60">
        <v>259.06</v>
      </c>
      <c r="O101" s="32">
        <v>6238</v>
      </c>
      <c r="P101" s="50">
        <v>0</v>
      </c>
      <c r="Q101" s="50">
        <v>8.0000000000000004E-4</v>
      </c>
      <c r="R101" s="56">
        <f t="shared" si="36"/>
        <v>5.7371819491061392E-3</v>
      </c>
      <c r="S101" s="56">
        <f t="shared" si="37"/>
        <v>0</v>
      </c>
      <c r="T101" s="56">
        <f t="shared" si="38"/>
        <v>-6.4082024991989745E-4</v>
      </c>
      <c r="U101" s="57">
        <f t="shared" si="39"/>
        <v>0</v>
      </c>
      <c r="V101" s="58">
        <f t="shared" si="40"/>
        <v>0</v>
      </c>
    </row>
    <row r="102" spans="1:22" ht="13.5" customHeight="1">
      <c r="A102" s="135">
        <v>91</v>
      </c>
      <c r="B102" s="133" t="s">
        <v>148</v>
      </c>
      <c r="C102" s="134" t="s">
        <v>49</v>
      </c>
      <c r="D102" s="29">
        <v>443909297.94999999</v>
      </c>
      <c r="E102" s="30">
        <f t="shared" si="47"/>
        <v>2.1300717823577136E-3</v>
      </c>
      <c r="F102" s="35">
        <v>7331.98</v>
      </c>
      <c r="G102" s="35">
        <v>7363.25</v>
      </c>
      <c r="H102" s="32">
        <v>15</v>
      </c>
      <c r="I102" s="50">
        <v>3.0999999999999999E-3</v>
      </c>
      <c r="J102" s="50">
        <v>7.9200000000000007E-2</v>
      </c>
      <c r="K102" s="29">
        <v>449364618.74000001</v>
      </c>
      <c r="L102" s="30">
        <f t="shared" si="48"/>
        <v>2.1515529149234969E-3</v>
      </c>
      <c r="M102" s="35">
        <v>7421.72</v>
      </c>
      <c r="N102" s="35">
        <v>7453.99</v>
      </c>
      <c r="O102" s="32">
        <v>15</v>
      </c>
      <c r="P102" s="50">
        <v>1.23E-2</v>
      </c>
      <c r="Q102" s="50">
        <v>9.2399999999999996E-2</v>
      </c>
      <c r="R102" s="56">
        <f t="shared" si="36"/>
        <v>1.2289269035798581E-2</v>
      </c>
      <c r="S102" s="56">
        <f t="shared" si="37"/>
        <v>1.2323362645570881E-2</v>
      </c>
      <c r="T102" s="56">
        <f t="shared" si="38"/>
        <v>0</v>
      </c>
      <c r="U102" s="57">
        <f t="shared" si="39"/>
        <v>9.1999999999999998E-3</v>
      </c>
      <c r="V102" s="58">
        <f t="shared" si="40"/>
        <v>1.319999999999999E-2</v>
      </c>
    </row>
    <row r="103" spans="1:22" ht="15" customHeight="1">
      <c r="A103" s="135">
        <v>92</v>
      </c>
      <c r="B103" s="133" t="s">
        <v>149</v>
      </c>
      <c r="C103" s="134" t="s">
        <v>49</v>
      </c>
      <c r="D103" s="29">
        <v>6150409133.9799995</v>
      </c>
      <c r="E103" s="30">
        <f t="shared" si="47"/>
        <v>2.9512364365302295E-2</v>
      </c>
      <c r="F103" s="60">
        <v>144.69</v>
      </c>
      <c r="G103" s="60">
        <v>144.69</v>
      </c>
      <c r="H103" s="32">
        <v>4548</v>
      </c>
      <c r="I103" s="50">
        <v>2.5999999999999999E-3</v>
      </c>
      <c r="J103" s="50">
        <v>4.9399999999999999E-2</v>
      </c>
      <c r="K103" s="29">
        <v>6145142703.5600004</v>
      </c>
      <c r="L103" s="30">
        <f t="shared" si="48"/>
        <v>2.9422876535180276E-2</v>
      </c>
      <c r="M103" s="60">
        <v>145.19999999999999</v>
      </c>
      <c r="N103" s="60">
        <v>145.19999999999999</v>
      </c>
      <c r="O103" s="32">
        <v>4562</v>
      </c>
      <c r="P103" s="50">
        <v>3.5000000000000001E-3</v>
      </c>
      <c r="Q103" s="50">
        <v>5.3100000000000001E-2</v>
      </c>
      <c r="R103" s="56">
        <f t="shared" si="36"/>
        <v>-8.5627318529152155E-4</v>
      </c>
      <c r="S103" s="56">
        <f t="shared" si="37"/>
        <v>3.5247771096827071E-3</v>
      </c>
      <c r="T103" s="56">
        <f t="shared" si="38"/>
        <v>3.0782761653474055E-3</v>
      </c>
      <c r="U103" s="57">
        <f t="shared" si="39"/>
        <v>9.0000000000000019E-4</v>
      </c>
      <c r="V103" s="58">
        <f t="shared" si="40"/>
        <v>3.7000000000000019E-3</v>
      </c>
    </row>
    <row r="104" spans="1:22" ht="15" customHeight="1">
      <c r="A104" s="135">
        <v>93</v>
      </c>
      <c r="B104" s="133" t="s">
        <v>150</v>
      </c>
      <c r="C104" s="134" t="s">
        <v>49</v>
      </c>
      <c r="D104" s="29">
        <v>7442519903.9200001</v>
      </c>
      <c r="E104" s="30">
        <f t="shared" si="47"/>
        <v>3.5712479351494138E-2</v>
      </c>
      <c r="F104" s="60">
        <v>358.61</v>
      </c>
      <c r="G104" s="60">
        <v>359.21</v>
      </c>
      <c r="H104" s="32">
        <v>10187</v>
      </c>
      <c r="I104" s="50">
        <v>-8.2000000000000007E-3</v>
      </c>
      <c r="J104" s="50">
        <v>1.4E-2</v>
      </c>
      <c r="K104" s="29">
        <v>7493706989.8199997</v>
      </c>
      <c r="L104" s="30">
        <f t="shared" si="48"/>
        <v>3.5879787693873927E-2</v>
      </c>
      <c r="M104" s="60">
        <v>361.77</v>
      </c>
      <c r="N104" s="60">
        <v>362.41</v>
      </c>
      <c r="O104" s="32">
        <v>10194</v>
      </c>
      <c r="P104" s="50">
        <v>8.8999999999999999E-3</v>
      </c>
      <c r="Q104" s="50">
        <v>2.3E-2</v>
      </c>
      <c r="R104" s="56">
        <f t="shared" si="36"/>
        <v>6.8776552244138719E-3</v>
      </c>
      <c r="S104" s="56">
        <f t="shared" si="37"/>
        <v>8.908437961081388E-3</v>
      </c>
      <c r="T104" s="56">
        <f t="shared" si="38"/>
        <v>6.8715028958476489E-4</v>
      </c>
      <c r="U104" s="57">
        <f t="shared" si="39"/>
        <v>1.7100000000000001E-2</v>
      </c>
      <c r="V104" s="58">
        <f t="shared" si="40"/>
        <v>8.9999999999999993E-3</v>
      </c>
    </row>
    <row r="105" spans="1:22">
      <c r="A105" s="135">
        <v>94</v>
      </c>
      <c r="B105" s="133" t="s">
        <v>151</v>
      </c>
      <c r="C105" s="134" t="s">
        <v>52</v>
      </c>
      <c r="D105" s="29">
        <v>88181103384.649994</v>
      </c>
      <c r="E105" s="30">
        <f t="shared" si="47"/>
        <v>0.42313166433825811</v>
      </c>
      <c r="F105" s="29">
        <v>2.0099</v>
      </c>
      <c r="G105" s="29">
        <v>2.0099</v>
      </c>
      <c r="H105" s="32">
        <v>6455</v>
      </c>
      <c r="I105" s="50">
        <v>0.1123</v>
      </c>
      <c r="J105" s="50">
        <v>8.2100000000000006E-2</v>
      </c>
      <c r="K105" s="29">
        <v>88314274076.270004</v>
      </c>
      <c r="L105" s="30">
        <f t="shared" si="48"/>
        <v>0.42284778528167066</v>
      </c>
      <c r="M105" s="29">
        <v>2.0129999999999999</v>
      </c>
      <c r="N105" s="29">
        <v>2.0129999999999999</v>
      </c>
      <c r="O105" s="32">
        <v>6459</v>
      </c>
      <c r="P105" s="50">
        <v>8.3699999999999997E-2</v>
      </c>
      <c r="Q105" s="50">
        <v>8.2199999999999995E-2</v>
      </c>
      <c r="R105" s="56">
        <f t="shared" si="36"/>
        <v>1.5101953424092886E-3</v>
      </c>
      <c r="S105" s="56">
        <f t="shared" si="37"/>
        <v>1.5423652918055031E-3</v>
      </c>
      <c r="T105" s="56">
        <f t="shared" si="38"/>
        <v>6.1967467079783109E-4</v>
      </c>
      <c r="U105" s="57">
        <f t="shared" si="39"/>
        <v>-2.86E-2</v>
      </c>
      <c r="V105" s="58">
        <f t="shared" si="40"/>
        <v>9.9999999999988987E-5</v>
      </c>
    </row>
    <row r="106" spans="1:22">
      <c r="A106" s="135">
        <v>95</v>
      </c>
      <c r="B106" s="133" t="s">
        <v>152</v>
      </c>
      <c r="C106" s="134" t="s">
        <v>52</v>
      </c>
      <c r="D106" s="29">
        <v>24806511595.639999</v>
      </c>
      <c r="E106" s="30">
        <f t="shared" si="47"/>
        <v>0.11903253798156264</v>
      </c>
      <c r="F106" s="29">
        <v>115.259</v>
      </c>
      <c r="G106" s="29">
        <v>115.259</v>
      </c>
      <c r="H106" s="32">
        <v>512</v>
      </c>
      <c r="I106" s="50">
        <v>0.218</v>
      </c>
      <c r="J106" s="50">
        <v>0.219</v>
      </c>
      <c r="K106" s="29">
        <v>25571930199.48</v>
      </c>
      <c r="L106" s="30">
        <f t="shared" si="48"/>
        <v>0.12243812411218183</v>
      </c>
      <c r="M106" s="29">
        <v>115.6709</v>
      </c>
      <c r="N106" s="29">
        <v>115.6709</v>
      </c>
      <c r="O106" s="32">
        <v>530</v>
      </c>
      <c r="P106" s="50">
        <v>0.2044</v>
      </c>
      <c r="Q106" s="50">
        <v>0.21809999999999999</v>
      </c>
      <c r="R106" s="56">
        <f t="shared" ref="R106:R108" si="49">((K106-D106)/D106)</f>
        <v>3.085555181303809E-2</v>
      </c>
      <c r="S106" s="56">
        <f t="shared" ref="S106:S108" si="50">((N106-G106)/G106)</f>
        <v>3.5736905577872687E-3</v>
      </c>
      <c r="T106" s="56">
        <f t="shared" ref="T106:T108" si="51">((O106-H106)/H106)</f>
        <v>3.515625E-2</v>
      </c>
      <c r="U106" s="57">
        <f t="shared" ref="U106:U108" si="52">P106-I106</f>
        <v>-1.3600000000000001E-2</v>
      </c>
      <c r="V106" s="58">
        <f t="shared" ref="V106:V108" si="53">Q106-J106</f>
        <v>-9.000000000000119E-4</v>
      </c>
    </row>
    <row r="107" spans="1:22">
      <c r="A107" s="135">
        <v>96</v>
      </c>
      <c r="B107" s="133" t="s">
        <v>153</v>
      </c>
      <c r="C107" s="133" t="s">
        <v>154</v>
      </c>
      <c r="D107" s="29">
        <v>104283401.19</v>
      </c>
      <c r="E107" s="30">
        <f t="shared" si="47"/>
        <v>5.0039756154899846E-4</v>
      </c>
      <c r="F107" s="29">
        <v>114.18943142733831</v>
      </c>
      <c r="G107" s="29">
        <v>114.18943142733831</v>
      </c>
      <c r="H107" s="62">
        <v>72</v>
      </c>
      <c r="I107" s="63">
        <v>2.3347687843997093E-3</v>
      </c>
      <c r="J107" s="63">
        <v>3.4292706812818263E-2</v>
      </c>
      <c r="K107" s="29">
        <v>104526215.86</v>
      </c>
      <c r="L107" s="64">
        <f t="shared" si="48"/>
        <v>5.0047038649838151E-4</v>
      </c>
      <c r="M107" s="29">
        <v>114.45531141200624</v>
      </c>
      <c r="N107" s="29">
        <v>114.45531141200624</v>
      </c>
      <c r="O107" s="62">
        <v>72</v>
      </c>
      <c r="P107" s="63">
        <v>2.3284114943432333E-3</v>
      </c>
      <c r="Q107" s="63">
        <v>3.6700965839876698E-2</v>
      </c>
      <c r="R107" s="56">
        <f t="shared" si="49"/>
        <v>2.3284114943432233E-3</v>
      </c>
      <c r="S107" s="56">
        <f t="shared" si="50"/>
        <v>2.3284114943432333E-3</v>
      </c>
      <c r="T107" s="56">
        <f t="shared" si="51"/>
        <v>0</v>
      </c>
      <c r="U107" s="57">
        <f t="shared" si="52"/>
        <v>-6.3572900564760372E-6</v>
      </c>
      <c r="V107" s="58">
        <f t="shared" si="53"/>
        <v>2.4082590270584348E-3</v>
      </c>
    </row>
    <row r="108" spans="1:22">
      <c r="A108" s="135">
        <v>97</v>
      </c>
      <c r="B108" s="133" t="s">
        <v>155</v>
      </c>
      <c r="C108" s="134" t="s">
        <v>110</v>
      </c>
      <c r="D108" s="29">
        <v>282382231.79000002</v>
      </c>
      <c r="E108" s="30">
        <f t="shared" si="47"/>
        <v>1.3549939741132073E-3</v>
      </c>
      <c r="F108" s="29">
        <v>1.1775</v>
      </c>
      <c r="G108" s="29">
        <v>1.1775</v>
      </c>
      <c r="H108" s="32">
        <v>476</v>
      </c>
      <c r="I108" s="50">
        <v>2.3879999999999999E-3</v>
      </c>
      <c r="J108" s="50">
        <v>9.3771999999999994E-2</v>
      </c>
      <c r="K108" s="29">
        <v>283547350.99000001</v>
      </c>
      <c r="L108" s="30">
        <f t="shared" si="48"/>
        <v>1.3576216375289483E-3</v>
      </c>
      <c r="M108" s="29">
        <v>1.1821999999999999</v>
      </c>
      <c r="N108" s="29">
        <v>1.1821999999999999</v>
      </c>
      <c r="O108" s="32">
        <v>481</v>
      </c>
      <c r="P108" s="50">
        <v>2.5140000000000002E-3</v>
      </c>
      <c r="Q108" s="50">
        <v>9.8091999999999999E-2</v>
      </c>
      <c r="R108" s="56">
        <f t="shared" si="49"/>
        <v>4.1260358083240007E-3</v>
      </c>
      <c r="S108" s="56">
        <f t="shared" si="50"/>
        <v>3.9915074309978147E-3</v>
      </c>
      <c r="T108" s="56">
        <f t="shared" si="51"/>
        <v>1.050420168067227E-2</v>
      </c>
      <c r="U108" s="57">
        <f t="shared" si="52"/>
        <v>1.2600000000000024E-4</v>
      </c>
      <c r="V108" s="58">
        <f t="shared" si="53"/>
        <v>4.3200000000000044E-3</v>
      </c>
    </row>
    <row r="109" spans="1:22">
      <c r="A109" s="135">
        <v>98</v>
      </c>
      <c r="B109" s="133" t="s">
        <v>156</v>
      </c>
      <c r="C109" s="134" t="s">
        <v>112</v>
      </c>
      <c r="D109" s="29">
        <v>1985034290.1400001</v>
      </c>
      <c r="E109" s="30">
        <f t="shared" si="47"/>
        <v>9.5250663772218219E-3</v>
      </c>
      <c r="F109" s="60">
        <v>28.471699999999998</v>
      </c>
      <c r="G109" s="60">
        <v>28.471699999999998</v>
      </c>
      <c r="H109" s="32">
        <v>1299</v>
      </c>
      <c r="I109" s="50">
        <v>0</v>
      </c>
      <c r="J109" s="50">
        <v>0.1149</v>
      </c>
      <c r="K109" s="29">
        <v>1989143032.9100001</v>
      </c>
      <c r="L109" s="30">
        <f t="shared" si="48"/>
        <v>9.5239952416759244E-3</v>
      </c>
      <c r="M109" s="60">
        <v>28.5381</v>
      </c>
      <c r="N109" s="60">
        <v>28.5381</v>
      </c>
      <c r="O109" s="32">
        <v>1299</v>
      </c>
      <c r="P109" s="50">
        <v>0</v>
      </c>
      <c r="Q109" s="50">
        <v>0.1147</v>
      </c>
      <c r="R109" s="56">
        <f t="shared" si="36"/>
        <v>2.0698598459526867E-3</v>
      </c>
      <c r="S109" s="56">
        <f t="shared" si="37"/>
        <v>2.3321403358423126E-3</v>
      </c>
      <c r="T109" s="56">
        <f t="shared" si="38"/>
        <v>0</v>
      </c>
      <c r="U109" s="57">
        <f t="shared" si="39"/>
        <v>0</v>
      </c>
      <c r="V109" s="58">
        <f t="shared" si="40"/>
        <v>-2.0000000000000573E-4</v>
      </c>
    </row>
    <row r="110" spans="1:22">
      <c r="A110" s="36"/>
      <c r="B110" s="37"/>
      <c r="C110" s="38" t="s">
        <v>53</v>
      </c>
      <c r="D110" s="48">
        <f>SUM(D73:D109)</f>
        <v>208401097853.44882</v>
      </c>
      <c r="E110" s="40">
        <f>(D110/$D$222)</f>
        <v>4.111986815649088E-2</v>
      </c>
      <c r="F110" s="41"/>
      <c r="G110" s="45"/>
      <c r="H110" s="43">
        <f>SUM(H73:H109)</f>
        <v>50720</v>
      </c>
      <c r="I110" s="53"/>
      <c r="J110" s="53"/>
      <c r="K110" s="48">
        <f>SUM(K73:K109)</f>
        <v>208855945686.08514</v>
      </c>
      <c r="L110" s="40">
        <f>(K110/$K$222)</f>
        <v>4.0684808664144423E-2</v>
      </c>
      <c r="M110" s="41"/>
      <c r="N110" s="45"/>
      <c r="O110" s="43">
        <f>SUM(O73:O109)</f>
        <v>50797</v>
      </c>
      <c r="P110" s="53"/>
      <c r="Q110" s="53"/>
      <c r="R110" s="56">
        <f t="shared" si="36"/>
        <v>2.1825596761307787E-3</v>
      </c>
      <c r="S110" s="56" t="e">
        <f t="shared" si="37"/>
        <v>#DIV/0!</v>
      </c>
      <c r="T110" s="56">
        <f t="shared" si="38"/>
        <v>1.5181388012618297E-3</v>
      </c>
      <c r="U110" s="57">
        <f t="shared" si="39"/>
        <v>0</v>
      </c>
      <c r="V110" s="58">
        <f t="shared" si="40"/>
        <v>0</v>
      </c>
    </row>
    <row r="111" spans="1:22" ht="3.75" customHeight="1">
      <c r="A111" s="36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</row>
    <row r="112" spans="1:22" ht="15" customHeight="1">
      <c r="A112" s="179" t="s">
        <v>157</v>
      </c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</row>
    <row r="113" spans="1:28">
      <c r="A113" s="181" t="s">
        <v>158</v>
      </c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Z113" s="65"/>
      <c r="AB113" s="68"/>
    </row>
    <row r="114" spans="1:28" ht="16.5" customHeight="1">
      <c r="A114" s="135">
        <v>99</v>
      </c>
      <c r="B114" s="133" t="s">
        <v>159</v>
      </c>
      <c r="C114" s="134" t="s">
        <v>19</v>
      </c>
      <c r="D114" s="29">
        <f>1931208.4*1599.9384</f>
        <v>3089814477.5625601</v>
      </c>
      <c r="E114" s="30">
        <f t="shared" ref="E114:E119" si="54">(D114/$D$150)</f>
        <v>1.6063607120190631E-3</v>
      </c>
      <c r="F114" s="29">
        <f>112.1637*1599.9384</f>
        <v>179455.01071608</v>
      </c>
      <c r="G114" s="29">
        <f>112.1637*1599.9384</f>
        <v>179455.01071608</v>
      </c>
      <c r="H114" s="32">
        <v>298</v>
      </c>
      <c r="I114" s="50">
        <v>1E-3</v>
      </c>
      <c r="J114" s="50">
        <v>1.9699999999999999E-2</v>
      </c>
      <c r="K114" s="29">
        <f>1938647.95*1599.5491</f>
        <v>3100962583.6393447</v>
      </c>
      <c r="L114" s="30">
        <f t="shared" ref="L114:L130" si="55">(K114/$K$150)</f>
        <v>1.5999010611092448E-3</v>
      </c>
      <c r="M114" s="29">
        <f>112.6478*1599.5493</f>
        <v>180185.70963654001</v>
      </c>
      <c r="N114" s="29">
        <f>112.6478*1599.5493</f>
        <v>180185.70963654001</v>
      </c>
      <c r="O114" s="32">
        <v>298</v>
      </c>
      <c r="P114" s="50">
        <v>3.3E-3</v>
      </c>
      <c r="Q114" s="50">
        <v>2.3099999999999999E-2</v>
      </c>
      <c r="R114" s="57">
        <f>((K114-D114)/D114)</f>
        <v>3.6080179433876361E-3</v>
      </c>
      <c r="S114" s="57">
        <f>((N114-G114)/G114)</f>
        <v>4.0717666090475816E-3</v>
      </c>
      <c r="T114" s="57">
        <f>((O114-H114)/H114)</f>
        <v>0</v>
      </c>
      <c r="U114" s="57">
        <f>P114-I114</f>
        <v>2.3E-3</v>
      </c>
      <c r="V114" s="58">
        <f>Q114-J114</f>
        <v>3.4000000000000002E-3</v>
      </c>
      <c r="X114" s="65"/>
      <c r="Y114" s="69"/>
      <c r="Z114" s="65"/>
      <c r="AA114" s="70"/>
    </row>
    <row r="115" spans="1:28" ht="16.5" customHeight="1">
      <c r="A115" s="135">
        <v>100</v>
      </c>
      <c r="B115" s="133" t="s">
        <v>160</v>
      </c>
      <c r="C115" s="134" t="s">
        <v>57</v>
      </c>
      <c r="D115" s="29">
        <f>1956882.45*1599.9384</f>
        <v>3130891376.04108</v>
      </c>
      <c r="E115" s="30">
        <f t="shared" si="54"/>
        <v>1.6277161417274327E-3</v>
      </c>
      <c r="F115" s="29">
        <f>100*1599.9384</f>
        <v>159993.84</v>
      </c>
      <c r="G115" s="29">
        <f>100*1599.9384</f>
        <v>159993.84</v>
      </c>
      <c r="H115" s="32">
        <v>59</v>
      </c>
      <c r="I115" s="50">
        <v>2.8699999999999998E-4</v>
      </c>
      <c r="J115" s="50">
        <v>7.1548E-2</v>
      </c>
      <c r="K115" s="29">
        <f>1959275.14*1599.5491</f>
        <v>3133956786.8393736</v>
      </c>
      <c r="L115" s="30">
        <f t="shared" si="55"/>
        <v>1.6169239884379029E-3</v>
      </c>
      <c r="M115" s="29">
        <f>100*1599.5491</f>
        <v>159954.91</v>
      </c>
      <c r="N115" s="29">
        <f>100*1599.5491</f>
        <v>159954.91</v>
      </c>
      <c r="O115" s="32">
        <v>59</v>
      </c>
      <c r="P115" s="50">
        <v>1.9799999999999999E-4</v>
      </c>
      <c r="Q115" s="50">
        <v>7.1746000000000004E-2</v>
      </c>
      <c r="R115" s="57">
        <f>((K115-D115)/D115)</f>
        <v>9.7908564370882537E-4</v>
      </c>
      <c r="S115" s="57">
        <f>((N115-G115)/G115)</f>
        <v>-2.433218678918702E-4</v>
      </c>
      <c r="T115" s="57">
        <f>((O115-H115)/H115)</f>
        <v>0</v>
      </c>
      <c r="U115" s="57">
        <f>P115-I115</f>
        <v>-8.8999999999999995E-5</v>
      </c>
      <c r="V115" s="58">
        <f>Q115-J115</f>
        <v>1.9800000000000373E-4</v>
      </c>
      <c r="X115" s="65"/>
      <c r="Y115" s="69"/>
      <c r="Z115" s="65"/>
      <c r="AA115" s="70"/>
    </row>
    <row r="116" spans="1:28">
      <c r="A116" s="135">
        <v>101</v>
      </c>
      <c r="B116" s="133" t="s">
        <v>161</v>
      </c>
      <c r="C116" s="134" t="s">
        <v>23</v>
      </c>
      <c r="D116" s="29">
        <f>10463055.79*1599.9384</f>
        <v>16740244739.763334</v>
      </c>
      <c r="E116" s="30">
        <f t="shared" si="54"/>
        <v>8.7030699269532892E-3</v>
      </c>
      <c r="F116" s="29">
        <f>1.1588*1599.9384</f>
        <v>1854.00861792</v>
      </c>
      <c r="G116" s="29">
        <f>1.1588*1599.9384</f>
        <v>1854.00861792</v>
      </c>
      <c r="H116" s="32">
        <v>305</v>
      </c>
      <c r="I116" s="50">
        <v>0.1716</v>
      </c>
      <c r="J116" s="50">
        <v>6.8099999999999994E-2</v>
      </c>
      <c r="K116" s="29">
        <f>10523188.9*1608.0822</f>
        <v>16922152757.327581</v>
      </c>
      <c r="L116" s="30">
        <f t="shared" si="55"/>
        <v>8.7307632460778915E-3</v>
      </c>
      <c r="M116" s="29">
        <f>1.1614*1608.0822</f>
        <v>1867.6266670800001</v>
      </c>
      <c r="N116" s="29">
        <f>1.1614*1608.0822</f>
        <v>1867.6266670800001</v>
      </c>
      <c r="O116" s="32">
        <v>305</v>
      </c>
      <c r="P116" s="50">
        <v>0.11700000000000001</v>
      </c>
      <c r="Q116" s="50">
        <v>7.1300000000000002E-2</v>
      </c>
      <c r="R116" s="57">
        <f t="shared" ref="R116:R128" si="56">((K116-D116)/D116)</f>
        <v>1.0866508846920172E-2</v>
      </c>
      <c r="S116" s="57">
        <f t="shared" ref="S116:S128" si="57">((N116-G116)/G116)</f>
        <v>7.3451919415984451E-3</v>
      </c>
      <c r="T116" s="57">
        <f t="shared" ref="T116:T128" si="58">((O116-H116)/H116)</f>
        <v>0</v>
      </c>
      <c r="U116" s="57">
        <f t="shared" ref="U116:U128" si="59">P116-I116</f>
        <v>-5.4599999999999996E-2</v>
      </c>
      <c r="V116" s="58">
        <f t="shared" ref="V116:V128" si="60">Q116-J116</f>
        <v>3.2000000000000084E-3</v>
      </c>
    </row>
    <row r="117" spans="1:28">
      <c r="A117" s="135">
        <v>102</v>
      </c>
      <c r="B117" s="133" t="s">
        <v>293</v>
      </c>
      <c r="C117" s="134" t="s">
        <v>23</v>
      </c>
      <c r="D117" s="29">
        <f>1931856.82*1599.9384</f>
        <v>3090851909.6198883</v>
      </c>
      <c r="E117" s="30">
        <f t="shared" si="54"/>
        <v>1.6069000615853181E-3</v>
      </c>
      <c r="F117" s="29">
        <f>1.0131*1599.9384</f>
        <v>1620.8975930399997</v>
      </c>
      <c r="G117" s="29">
        <f>1.0131*1599.9384</f>
        <v>1620.8975930399997</v>
      </c>
      <c r="H117" s="32">
        <v>63</v>
      </c>
      <c r="I117" s="50">
        <v>5.1499999999999997E-2</v>
      </c>
      <c r="J117" s="50">
        <v>4.4299999999999999E-2</v>
      </c>
      <c r="K117" s="29">
        <f>1969783.7*1608.0822</f>
        <v>3167574105.8201399</v>
      </c>
      <c r="L117" s="30">
        <f t="shared" si="55"/>
        <v>1.6342684041985901E-3</v>
      </c>
      <c r="M117" s="29">
        <f>1.0142*1608.0822</f>
        <v>1630.9169672400001</v>
      </c>
      <c r="N117" s="29">
        <f>1.0142*1608.0822</f>
        <v>1630.9169672400001</v>
      </c>
      <c r="O117" s="32">
        <v>65</v>
      </c>
      <c r="P117" s="50">
        <v>5.6599999999999998E-2</v>
      </c>
      <c r="Q117" s="50">
        <v>4.5100000000000001E-2</v>
      </c>
      <c r="R117" s="57">
        <f t="shared" si="56"/>
        <v>2.4822346215120621E-2</v>
      </c>
      <c r="S117" s="57">
        <f t="shared" ref="S117" si="61">((N117-G117)/G117)</f>
        <v>6.181373976383654E-3</v>
      </c>
      <c r="T117" s="57">
        <f t="shared" ref="T117" si="62">((O117-H117)/H117)</f>
        <v>3.1746031746031744E-2</v>
      </c>
      <c r="U117" s="57">
        <f t="shared" ref="U117" si="63">P117-I117</f>
        <v>5.1000000000000004E-3</v>
      </c>
      <c r="V117" s="58">
        <f t="shared" ref="V117" si="64">Q117-J117</f>
        <v>8.000000000000021E-4</v>
      </c>
    </row>
    <row r="118" spans="1:28">
      <c r="A118" s="135">
        <v>103</v>
      </c>
      <c r="B118" s="133" t="s">
        <v>162</v>
      </c>
      <c r="C118" s="134" t="s">
        <v>27</v>
      </c>
      <c r="D118" s="29">
        <f>6930211.69*1599.9384</f>
        <v>11087911802.959896</v>
      </c>
      <c r="E118" s="30">
        <f t="shared" si="54"/>
        <v>5.7644839287107671E-3</v>
      </c>
      <c r="F118" s="29">
        <f>1.0648*1599.9384</f>
        <v>1703.6144083199999</v>
      </c>
      <c r="G118" s="29">
        <f>1.0648*1599.9384</f>
        <v>1703.6144083199999</v>
      </c>
      <c r="H118" s="32">
        <v>400</v>
      </c>
      <c r="I118" s="50">
        <v>4.4000000000000003E-3</v>
      </c>
      <c r="J118" s="50">
        <v>2.4799999999999999E-2</v>
      </c>
      <c r="K118" s="29">
        <f>7454901.33*1599.5491</f>
        <v>11924480712.990303</v>
      </c>
      <c r="L118" s="30">
        <f t="shared" si="55"/>
        <v>6.1522797619504464E-3</v>
      </c>
      <c r="M118" s="29">
        <f>1.0665*1599.5491</f>
        <v>1705.9191151499999</v>
      </c>
      <c r="N118" s="29">
        <f>1.0665*1599.5491</f>
        <v>1705.9191151499999</v>
      </c>
      <c r="O118" s="32">
        <v>410</v>
      </c>
      <c r="P118" s="50">
        <v>5.8999999999999999E-3</v>
      </c>
      <c r="Q118" s="50">
        <v>2.64E-2</v>
      </c>
      <c r="R118" s="57">
        <f t="shared" si="56"/>
        <v>7.5448734161745995E-2</v>
      </c>
      <c r="S118" s="57">
        <f t="shared" ref="S118:T121" si="65">((N118-G118)/G118)</f>
        <v>1.3528336099673792E-3</v>
      </c>
      <c r="T118" s="57">
        <f t="shared" si="65"/>
        <v>2.5000000000000001E-2</v>
      </c>
      <c r="U118" s="57">
        <f t="shared" si="59"/>
        <v>1.4999999999999996E-3</v>
      </c>
      <c r="V118" s="58">
        <f t="shared" si="60"/>
        <v>1.6000000000000007E-3</v>
      </c>
    </row>
    <row r="119" spans="1:28">
      <c r="A119" s="135">
        <v>104</v>
      </c>
      <c r="B119" s="133" t="s">
        <v>163</v>
      </c>
      <c r="C119" s="134" t="s">
        <v>63</v>
      </c>
      <c r="D119" s="29">
        <f>453134.64*1599.9384</f>
        <v>724987510.90617597</v>
      </c>
      <c r="E119" s="30">
        <f t="shared" si="54"/>
        <v>3.7691306797904453E-4</v>
      </c>
      <c r="F119" s="29">
        <f>1*1599.9384</f>
        <v>1599.9384</v>
      </c>
      <c r="G119" s="29">
        <f>1*1599.9384</f>
        <v>1599.9384</v>
      </c>
      <c r="H119" s="32">
        <v>21</v>
      </c>
      <c r="I119" s="50">
        <v>0.22109999999999999</v>
      </c>
      <c r="J119" s="50">
        <v>7.0999999999999994E-2</v>
      </c>
      <c r="K119" s="29">
        <f>456486.28*1599.5491</f>
        <v>730172218.33634806</v>
      </c>
      <c r="L119" s="30">
        <f t="shared" si="55"/>
        <v>3.7672279990485737E-4</v>
      </c>
      <c r="M119" s="29">
        <f>1.08*1599.5491</f>
        <v>1727.5130280000001</v>
      </c>
      <c r="N119" s="29">
        <f>1.09*1599.5491</f>
        <v>1743.508519</v>
      </c>
      <c r="O119" s="32">
        <v>21</v>
      </c>
      <c r="P119" s="50">
        <v>5.7000000000000002E-2</v>
      </c>
      <c r="Q119" s="50">
        <v>9.0999999999999998E-2</v>
      </c>
      <c r="R119" s="57">
        <f t="shared" si="56"/>
        <v>7.1514437865165693E-3</v>
      </c>
      <c r="S119" s="57">
        <f t="shared" si="65"/>
        <v>8.9734779163997802E-2</v>
      </c>
      <c r="T119" s="57">
        <f t="shared" si="65"/>
        <v>0</v>
      </c>
      <c r="U119" s="57">
        <f t="shared" si="59"/>
        <v>-0.1641</v>
      </c>
      <c r="V119" s="58">
        <f t="shared" si="60"/>
        <v>2.0000000000000004E-2</v>
      </c>
    </row>
    <row r="120" spans="1:28">
      <c r="A120" s="135">
        <v>105</v>
      </c>
      <c r="B120" s="133" t="s">
        <v>164</v>
      </c>
      <c r="C120" s="134" t="s">
        <v>29</v>
      </c>
      <c r="D120" s="29">
        <f>290540.37*1599.9384</f>
        <v>464846694.71320802</v>
      </c>
      <c r="E120" s="30">
        <v>0</v>
      </c>
      <c r="F120" s="29">
        <f>1.2889*1599.9384</f>
        <v>2062.16060376</v>
      </c>
      <c r="G120" s="29">
        <f>1.2889*1599.9384</f>
        <v>2062.16060376</v>
      </c>
      <c r="H120" s="32">
        <v>41</v>
      </c>
      <c r="I120" s="50">
        <v>5.44E-4</v>
      </c>
      <c r="J120" s="50">
        <v>3.3000000000000002E-2</v>
      </c>
      <c r="K120" s="29">
        <f>295888.39*1599.5491</f>
        <v>473288007.92494899</v>
      </c>
      <c r="L120" s="30">
        <f t="shared" si="55"/>
        <v>2.4418675352113624E-4</v>
      </c>
      <c r="M120" s="29">
        <f>1.2986*1599.5491</f>
        <v>2077.17446126</v>
      </c>
      <c r="N120" s="29">
        <f>1.2986*1599.5491</f>
        <v>2077.17446126</v>
      </c>
      <c r="O120" s="32">
        <v>41</v>
      </c>
      <c r="P120" s="50">
        <v>7.7499999999999997E-4</v>
      </c>
      <c r="Q120" s="50">
        <v>3.32E-2</v>
      </c>
      <c r="R120" s="57">
        <f t="shared" si="56"/>
        <v>1.8159348679350998E-2</v>
      </c>
      <c r="S120" s="57">
        <f t="shared" si="65"/>
        <v>7.2806441324816621E-3</v>
      </c>
      <c r="T120" s="57">
        <f t="shared" si="65"/>
        <v>0</v>
      </c>
      <c r="U120" s="57">
        <f t="shared" si="59"/>
        <v>2.3099999999999998E-4</v>
      </c>
      <c r="V120" s="58">
        <f t="shared" si="60"/>
        <v>1.9999999999999879E-4</v>
      </c>
    </row>
    <row r="121" spans="1:28">
      <c r="A121" s="135">
        <v>106</v>
      </c>
      <c r="B121" s="133" t="s">
        <v>165</v>
      </c>
      <c r="C121" s="134" t="s">
        <v>72</v>
      </c>
      <c r="D121" s="29">
        <f>476479.18*1599.9384</f>
        <v>762337336.88251197</v>
      </c>
      <c r="E121" s="30">
        <f t="shared" ref="E121:E130" si="66">(D121/$D$150)</f>
        <v>3.9633083350665798E-4</v>
      </c>
      <c r="F121" s="29">
        <f>107.79*1599.9384</f>
        <v>172457.360136</v>
      </c>
      <c r="G121" s="29">
        <f>107.79*1599.9384</f>
        <v>172457.360136</v>
      </c>
      <c r="H121" s="32">
        <v>47</v>
      </c>
      <c r="I121" s="50">
        <v>1E-4</v>
      </c>
      <c r="J121" s="50">
        <v>2.8899999999999999E-2</v>
      </c>
      <c r="K121" s="29">
        <f>475955.8*1599.5491</f>
        <v>761314671.52977991</v>
      </c>
      <c r="L121" s="30">
        <f t="shared" si="55"/>
        <v>3.9279034105243267E-4</v>
      </c>
      <c r="M121" s="29">
        <f>105.91*1599.5491</f>
        <v>169408.24518099998</v>
      </c>
      <c r="N121" s="29">
        <f>106.95*1599.5491</f>
        <v>171071.77624499999</v>
      </c>
      <c r="O121" s="32">
        <v>47</v>
      </c>
      <c r="P121" s="50">
        <v>-1.7500000000000002E-2</v>
      </c>
      <c r="Q121" s="50">
        <v>1.15E-2</v>
      </c>
      <c r="R121" s="57">
        <f t="shared" si="56"/>
        <v>-1.3414866401718312E-3</v>
      </c>
      <c r="S121" s="57">
        <f t="shared" si="65"/>
        <v>-8.0343563760186532E-3</v>
      </c>
      <c r="T121" s="57">
        <f t="shared" si="65"/>
        <v>0</v>
      </c>
      <c r="U121" s="57">
        <f t="shared" si="59"/>
        <v>-1.7600000000000001E-2</v>
      </c>
      <c r="V121" s="58">
        <f t="shared" si="60"/>
        <v>-1.7399999999999999E-2</v>
      </c>
    </row>
    <row r="122" spans="1:28">
      <c r="A122" s="135">
        <v>107</v>
      </c>
      <c r="B122" s="133" t="s">
        <v>166</v>
      </c>
      <c r="C122" s="134" t="s">
        <v>75</v>
      </c>
      <c r="D122" s="29">
        <v>5242917131.918808</v>
      </c>
      <c r="E122" s="30">
        <f t="shared" si="66"/>
        <v>2.7257352045712002E-3</v>
      </c>
      <c r="F122" s="29">
        <v>181636.2067368</v>
      </c>
      <c r="G122" s="29">
        <v>181636.2067368</v>
      </c>
      <c r="H122" s="32">
        <v>59</v>
      </c>
      <c r="I122" s="50" t="s">
        <v>313</v>
      </c>
      <c r="J122" s="50">
        <v>7.3300000000000004E-2</v>
      </c>
      <c r="K122" s="29">
        <v>5252414954.5552425</v>
      </c>
      <c r="L122" s="30">
        <f t="shared" si="55"/>
        <v>2.709914754700679E-3</v>
      </c>
      <c r="M122" s="29">
        <v>181865.85348162</v>
      </c>
      <c r="N122" s="29">
        <v>181865.85348162</v>
      </c>
      <c r="O122" s="32">
        <v>60</v>
      </c>
      <c r="P122" s="50">
        <v>1E-3</v>
      </c>
      <c r="Q122" s="50">
        <v>7.3200000000000001E-2</v>
      </c>
      <c r="R122" s="57">
        <f t="shared" si="56"/>
        <v>1.8115530719743673E-3</v>
      </c>
      <c r="S122" s="57">
        <f t="shared" si="57"/>
        <v>1.2643225100641303E-3</v>
      </c>
      <c r="T122" s="57">
        <f t="shared" si="58"/>
        <v>1.6949152542372881E-2</v>
      </c>
      <c r="U122" s="57">
        <f t="shared" si="59"/>
        <v>3.0000000000000003E-4</v>
      </c>
      <c r="V122" s="58">
        <f t="shared" si="60"/>
        <v>-1.0000000000000286E-4</v>
      </c>
      <c r="X122" s="66"/>
    </row>
    <row r="123" spans="1:28">
      <c r="A123" s="135">
        <v>108</v>
      </c>
      <c r="B123" s="133" t="s">
        <v>167</v>
      </c>
      <c r="C123" s="134" t="s">
        <v>31</v>
      </c>
      <c r="D123" s="29">
        <f>34217419.34*1600.5</f>
        <v>54764979653.670006</v>
      </c>
      <c r="E123" s="30">
        <f t="shared" si="66"/>
        <v>2.8471713220651666E-2</v>
      </c>
      <c r="F123" s="29">
        <f>129.27*1600.5</f>
        <v>206896.63500000001</v>
      </c>
      <c r="G123" s="29">
        <f>129.27*1600.5</f>
        <v>206896.63500000001</v>
      </c>
      <c r="H123" s="32">
        <v>2384</v>
      </c>
      <c r="I123" s="50">
        <v>1.4E-3</v>
      </c>
      <c r="J123" s="50">
        <v>2.2800000000000001E-2</v>
      </c>
      <c r="K123" s="29">
        <f>34245658.01*1589</f>
        <v>54416350577.889999</v>
      </c>
      <c r="L123" s="30">
        <f t="shared" si="55"/>
        <v>2.8075403905416622E-2</v>
      </c>
      <c r="M123" s="29">
        <f>129.47*1589</f>
        <v>205727.83</v>
      </c>
      <c r="N123" s="29">
        <f>129.47*1589</f>
        <v>205727.83</v>
      </c>
      <c r="O123" s="32">
        <v>2387</v>
      </c>
      <c r="P123" s="50">
        <v>1.1999999999999999E-3</v>
      </c>
      <c r="Q123" s="50">
        <v>2.4400000000000002E-2</v>
      </c>
      <c r="R123" s="57">
        <f t="shared" si="56"/>
        <v>-6.3659126322097243E-3</v>
      </c>
      <c r="S123" s="57">
        <f t="shared" si="57"/>
        <v>-5.6492218928549612E-3</v>
      </c>
      <c r="T123" s="57">
        <f t="shared" si="58"/>
        <v>1.2583892617449664E-3</v>
      </c>
      <c r="U123" s="57">
        <f t="shared" si="59"/>
        <v>-2.0000000000000009E-4</v>
      </c>
      <c r="V123" s="58">
        <f t="shared" si="60"/>
        <v>1.6000000000000007E-3</v>
      </c>
    </row>
    <row r="124" spans="1:28">
      <c r="A124" s="135">
        <v>109</v>
      </c>
      <c r="B124" s="174" t="s">
        <v>168</v>
      </c>
      <c r="C124" s="174" t="s">
        <v>31</v>
      </c>
      <c r="D124" s="29">
        <f>88249741.52*1600.5</f>
        <v>141243711302.75998</v>
      </c>
      <c r="E124" s="30">
        <f t="shared" si="66"/>
        <v>7.3431058823797191E-2</v>
      </c>
      <c r="F124" s="29">
        <f>121.57*1600.5</f>
        <v>194572.785</v>
      </c>
      <c r="G124" s="29">
        <f>121.57*1600.5</f>
        <v>194572.785</v>
      </c>
      <c r="H124" s="32">
        <v>798</v>
      </c>
      <c r="I124" s="50">
        <v>1.1999999999999999E-3</v>
      </c>
      <c r="J124" s="50">
        <v>2.3800000000000002E-2</v>
      </c>
      <c r="K124" s="29">
        <f>89145151.04*1589</f>
        <v>141651645002.56</v>
      </c>
      <c r="L124" s="30">
        <f t="shared" si="55"/>
        <v>7.3083312369893363E-2</v>
      </c>
      <c r="M124" s="29">
        <f>121.8*1589</f>
        <v>193540.19999999998</v>
      </c>
      <c r="N124" s="29">
        <f>121.8*1589</f>
        <v>193540.19999999998</v>
      </c>
      <c r="O124" s="32">
        <v>807</v>
      </c>
      <c r="P124" s="50">
        <v>1.6000000000000001E-3</v>
      </c>
      <c r="Q124" s="50">
        <v>2.5899999999999999E-2</v>
      </c>
      <c r="R124" s="57">
        <f t="shared" si="56"/>
        <v>2.888154778980571E-3</v>
      </c>
      <c r="S124" s="57">
        <f t="shared" si="57"/>
        <v>-5.3069343690589667E-3</v>
      </c>
      <c r="T124" s="57">
        <f t="shared" si="58"/>
        <v>1.1278195488721804E-2</v>
      </c>
      <c r="U124" s="57">
        <f t="shared" si="59"/>
        <v>4.0000000000000018E-4</v>
      </c>
      <c r="V124" s="58">
        <f t="shared" si="60"/>
        <v>2.0999999999999977E-3</v>
      </c>
      <c r="X124" s="65"/>
    </row>
    <row r="125" spans="1:28">
      <c r="A125" s="135">
        <v>110</v>
      </c>
      <c r="B125" s="133" t="s">
        <v>305</v>
      </c>
      <c r="C125" s="134" t="s">
        <v>304</v>
      </c>
      <c r="D125" s="29">
        <f>372766.32*1599.9384</f>
        <v>596403149.59468806</v>
      </c>
      <c r="E125" s="30">
        <f t="shared" si="66"/>
        <v>3.1006346659010283E-4</v>
      </c>
      <c r="F125" s="29">
        <f>1599.9384</f>
        <v>1599.9384</v>
      </c>
      <c r="G125" s="29">
        <f>1599.9384</f>
        <v>1599.9384</v>
      </c>
      <c r="H125" s="32">
        <v>5</v>
      </c>
      <c r="I125" s="50">
        <v>9.3200000000000005E-2</v>
      </c>
      <c r="J125" s="50">
        <v>8.6599999999999996E-2</v>
      </c>
      <c r="K125" s="29">
        <f>383583.76*1599.5491</f>
        <v>613561058.08261597</v>
      </c>
      <c r="L125" s="30">
        <f t="shared" si="55"/>
        <v>3.1655879792319896E-4</v>
      </c>
      <c r="M125" s="29">
        <f>1599.5491</f>
        <v>1599.5491</v>
      </c>
      <c r="N125" s="29">
        <f>1599.5491</f>
        <v>1599.5491</v>
      </c>
      <c r="O125" s="32">
        <v>6</v>
      </c>
      <c r="P125" s="50">
        <v>9.1700000000000004E-2</v>
      </c>
      <c r="Q125" s="50">
        <v>8.72E-2</v>
      </c>
      <c r="R125" s="57">
        <f t="shared" ref="R125" si="67">((K125-D125)/D125)</f>
        <v>2.8768976990796113E-2</v>
      </c>
      <c r="S125" s="57">
        <f t="shared" ref="S125" si="68">((N125-G125)/G125)</f>
        <v>-2.4332186789194409E-4</v>
      </c>
      <c r="T125" s="57">
        <f t="shared" si="58"/>
        <v>0.2</v>
      </c>
      <c r="U125" s="57">
        <f t="shared" si="59"/>
        <v>-1.5000000000000013E-3</v>
      </c>
      <c r="V125" s="58">
        <f t="shared" si="60"/>
        <v>6.0000000000000331E-4</v>
      </c>
    </row>
    <row r="126" spans="1:28">
      <c r="A126" s="135">
        <v>111</v>
      </c>
      <c r="B126" s="133" t="s">
        <v>169</v>
      </c>
      <c r="C126" s="134" t="s">
        <v>35</v>
      </c>
      <c r="D126" s="29">
        <f>151966.19*1599.9384</f>
        <v>243136542.882696</v>
      </c>
      <c r="E126" s="30">
        <f t="shared" si="66"/>
        <v>1.2640402618962522E-4</v>
      </c>
      <c r="F126" s="29">
        <f>125.57*1599.9384</f>
        <v>200904.26488799998</v>
      </c>
      <c r="G126" s="29">
        <f>125.57*1599.9384</f>
        <v>200904.26488799998</v>
      </c>
      <c r="H126" s="32">
        <v>8</v>
      </c>
      <c r="I126" s="50">
        <v>1.9E-3</v>
      </c>
      <c r="J126" s="50">
        <v>0.1075</v>
      </c>
      <c r="K126" s="29">
        <f>161939*1599.5491</f>
        <v>259029381.7049</v>
      </c>
      <c r="L126" s="30">
        <f t="shared" si="55"/>
        <v>1.3364281943762404E-4</v>
      </c>
      <c r="M126" s="29">
        <f>125.83*1599.5491</f>
        <v>201271.26325299998</v>
      </c>
      <c r="N126" s="29">
        <f>125.83*1599.5491</f>
        <v>201271.26325299998</v>
      </c>
      <c r="O126" s="32">
        <v>8</v>
      </c>
      <c r="P126" s="50">
        <v>2E-3</v>
      </c>
      <c r="Q126" s="50">
        <v>0.10979999999999999</v>
      </c>
      <c r="R126" s="57">
        <f t="shared" si="56"/>
        <v>6.536589948090063E-2</v>
      </c>
      <c r="S126" s="57">
        <f t="shared" si="57"/>
        <v>1.8267325743662078E-3</v>
      </c>
      <c r="T126" s="57">
        <f t="shared" si="58"/>
        <v>0</v>
      </c>
      <c r="U126" s="57">
        <f t="shared" si="59"/>
        <v>1.0000000000000005E-4</v>
      </c>
      <c r="V126" s="58">
        <f t="shared" si="60"/>
        <v>2.2999999999999965E-3</v>
      </c>
    </row>
    <row r="127" spans="1:28">
      <c r="A127" s="135">
        <v>112</v>
      </c>
      <c r="B127" s="133" t="s">
        <v>170</v>
      </c>
      <c r="C127" s="134" t="s">
        <v>41</v>
      </c>
      <c r="D127" s="29">
        <f>10735847.21*1599.9384</f>
        <v>17176694207.811865</v>
      </c>
      <c r="E127" s="30">
        <f t="shared" si="66"/>
        <v>8.9299752260726881E-3</v>
      </c>
      <c r="F127" s="29">
        <f>1.41*1599.9384</f>
        <v>2255.9131439999996</v>
      </c>
      <c r="G127" s="29">
        <f>1.41*1599.9384</f>
        <v>2255.9131439999996</v>
      </c>
      <c r="H127" s="46">
        <v>114</v>
      </c>
      <c r="I127" s="53">
        <v>8.9999999999999998E-4</v>
      </c>
      <c r="J127" s="53">
        <v>4.9799999999999997E-2</v>
      </c>
      <c r="K127" s="29">
        <f>10704428.91*1599.5491</f>
        <v>17122259629.00448</v>
      </c>
      <c r="L127" s="30">
        <f t="shared" si="55"/>
        <v>8.8340057676162802E-3</v>
      </c>
      <c r="M127" s="29">
        <f>1.41*1599.5491</f>
        <v>2255.364231</v>
      </c>
      <c r="N127" s="29">
        <f>1.41*1599.5491</f>
        <v>2255.364231</v>
      </c>
      <c r="O127" s="46">
        <v>114</v>
      </c>
      <c r="P127" s="53">
        <v>8.9999999999999998E-4</v>
      </c>
      <c r="Q127" s="53">
        <v>4.9799999999999997E-2</v>
      </c>
      <c r="R127" s="57">
        <f t="shared" si="56"/>
        <v>-3.1690951791310314E-3</v>
      </c>
      <c r="S127" s="57">
        <f t="shared" si="57"/>
        <v>-2.4332186789174958E-4</v>
      </c>
      <c r="T127" s="57">
        <f t="shared" si="58"/>
        <v>0</v>
      </c>
      <c r="U127" s="57">
        <f t="shared" si="59"/>
        <v>0</v>
      </c>
      <c r="V127" s="58">
        <f t="shared" si="60"/>
        <v>0</v>
      </c>
    </row>
    <row r="128" spans="1:28">
      <c r="A128" s="135">
        <v>113</v>
      </c>
      <c r="B128" s="133" t="s">
        <v>171</v>
      </c>
      <c r="C128" s="134" t="s">
        <v>89</v>
      </c>
      <c r="D128" s="29">
        <f>18741551.82*1599.9384</f>
        <v>29985328432.40789</v>
      </c>
      <c r="E128" s="30">
        <f t="shared" si="66"/>
        <v>1.5589043899103469E-2</v>
      </c>
      <c r="F128" s="29">
        <f>103.65*1599.9384</f>
        <v>165833.61516000002</v>
      </c>
      <c r="G128" s="29">
        <f>103.65*1599.9384</f>
        <v>165833.61516000002</v>
      </c>
      <c r="H128" s="32">
        <v>601</v>
      </c>
      <c r="I128" s="53">
        <v>3.3E-3</v>
      </c>
      <c r="J128" s="50">
        <v>9.6199999999999994E-2</v>
      </c>
      <c r="K128" s="29">
        <f>18870484*1599.5491</f>
        <v>30184265698.7644</v>
      </c>
      <c r="L128" s="30">
        <f t="shared" si="55"/>
        <v>1.5573176850002616E-2</v>
      </c>
      <c r="M128" s="29">
        <f>103.9*1599.5491</f>
        <v>166193.15149000002</v>
      </c>
      <c r="N128" s="29">
        <f>103.9*1599.5491</f>
        <v>166193.15149000002</v>
      </c>
      <c r="O128" s="32">
        <v>601</v>
      </c>
      <c r="P128" s="53">
        <v>2.5000000000000001E-3</v>
      </c>
      <c r="Q128" s="50">
        <v>9.8199999999999996E-2</v>
      </c>
      <c r="R128" s="57">
        <f t="shared" si="56"/>
        <v>6.6344868226122363E-3</v>
      </c>
      <c r="S128" s="57">
        <f t="shared" si="57"/>
        <v>2.1680545868406347E-3</v>
      </c>
      <c r="T128" s="57">
        <f t="shared" si="58"/>
        <v>0</v>
      </c>
      <c r="U128" s="57">
        <f t="shared" si="59"/>
        <v>-7.9999999999999993E-4</v>
      </c>
      <c r="V128" s="58">
        <f t="shared" si="60"/>
        <v>2.0000000000000018E-3</v>
      </c>
    </row>
    <row r="129" spans="1:24">
      <c r="A129" s="135">
        <v>114</v>
      </c>
      <c r="B129" s="133" t="s">
        <v>172</v>
      </c>
      <c r="C129" s="134" t="s">
        <v>45</v>
      </c>
      <c r="D129" s="29">
        <f>2287650.31*1599.9384</f>
        <v>3660099576.7409039</v>
      </c>
      <c r="E129" s="30">
        <f t="shared" si="66"/>
        <v>1.902845690202171E-3</v>
      </c>
      <c r="F129" s="29">
        <f>181.93*1599.9384</f>
        <v>291076.79311199998</v>
      </c>
      <c r="G129" s="29">
        <f>186.31*1599.9384</f>
        <v>298084.52330400003</v>
      </c>
      <c r="H129" s="32">
        <v>51</v>
      </c>
      <c r="I129" s="50">
        <v>0.34820000000000001</v>
      </c>
      <c r="J129" s="50">
        <v>0.3201</v>
      </c>
      <c r="K129" s="29">
        <f>1747105.18*1599.5491</f>
        <v>2794580518.2743378</v>
      </c>
      <c r="L129" s="30">
        <f t="shared" si="55"/>
        <v>1.4418272442665303E-3</v>
      </c>
      <c r="M129" s="29">
        <f>140.913307*1599.5491</f>
        <v>225397.75338987369</v>
      </c>
      <c r="N129" s="29">
        <f>145.548952*1599.5491</f>
        <v>232812.69517754321</v>
      </c>
      <c r="O129" s="32">
        <v>51</v>
      </c>
      <c r="P129" s="50">
        <v>-0.28760000000000002</v>
      </c>
      <c r="Q129" s="50">
        <v>2.7E-2</v>
      </c>
      <c r="R129" s="57">
        <f t="shared" ref="R129:R130" si="69">((K129-D129)/D129)</f>
        <v>-0.23647418337105958</v>
      </c>
      <c r="S129" s="57">
        <f t="shared" ref="S129:S130" si="70">((N129-G129)/G129)</f>
        <v>-0.21897087243234586</v>
      </c>
      <c r="T129" s="57">
        <f t="shared" ref="T129:T130" si="71">((O129-H129)/H129)</f>
        <v>0</v>
      </c>
      <c r="U129" s="57">
        <f t="shared" ref="U129:U130" si="72">P129-I129</f>
        <v>-0.63580000000000003</v>
      </c>
      <c r="V129" s="58">
        <f t="shared" ref="V129:V130" si="73">Q129-J129</f>
        <v>-0.29309999999999997</v>
      </c>
    </row>
    <row r="130" spans="1:24">
      <c r="A130" s="135">
        <v>115</v>
      </c>
      <c r="B130" s="133" t="s">
        <v>173</v>
      </c>
      <c r="C130" s="134" t="s">
        <v>52</v>
      </c>
      <c r="D130" s="33">
        <f>112109335.43*1599.9384</f>
        <v>179368030752.93753</v>
      </c>
      <c r="E130" s="30">
        <f t="shared" si="66"/>
        <v>9.3251475027407091E-2</v>
      </c>
      <c r="F130" s="29">
        <f>127.0183*1599.9384</f>
        <v>203221.45567271998</v>
      </c>
      <c r="G130" s="29">
        <f>127.0183*1599.9384</f>
        <v>203221.45567271998</v>
      </c>
      <c r="H130" s="32">
        <v>3622</v>
      </c>
      <c r="I130" s="50">
        <v>7.6399999999999996E-2</v>
      </c>
      <c r="J130" s="50">
        <v>6.8699999999999997E-2</v>
      </c>
      <c r="K130" s="33">
        <f>111844871.17*1607.29</f>
        <v>179767142982.82928</v>
      </c>
      <c r="L130" s="30">
        <f t="shared" si="55"/>
        <v>9.2748504715352648E-2</v>
      </c>
      <c r="M130" s="29">
        <f>127.1631*1607.29</f>
        <v>204387.97899899998</v>
      </c>
      <c r="N130" s="29">
        <f>127.1631*1607.29</f>
        <v>204387.97899899998</v>
      </c>
      <c r="O130" s="32">
        <v>3630</v>
      </c>
      <c r="P130" s="50">
        <v>6.1199999999999997E-2</v>
      </c>
      <c r="Q130" s="50">
        <v>6.83E-2</v>
      </c>
      <c r="R130" s="57">
        <f t="shared" si="69"/>
        <v>2.2251023675534101E-3</v>
      </c>
      <c r="S130" s="57">
        <f t="shared" si="70"/>
        <v>5.7401583037503777E-3</v>
      </c>
      <c r="T130" s="57">
        <f t="shared" si="71"/>
        <v>2.2087244616234127E-3</v>
      </c>
      <c r="U130" s="57">
        <f t="shared" si="72"/>
        <v>-1.5199999999999998E-2</v>
      </c>
      <c r="V130" s="58">
        <f t="shared" si="73"/>
        <v>-3.9999999999999758E-4</v>
      </c>
    </row>
    <row r="131" spans="1:24" ht="6" customHeight="1">
      <c r="A131" s="36"/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</row>
    <row r="132" spans="1:24">
      <c r="A132" s="181" t="s">
        <v>174</v>
      </c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</row>
    <row r="133" spans="1:24">
      <c r="A133" s="135">
        <v>116</v>
      </c>
      <c r="B133" s="133" t="s">
        <v>175</v>
      </c>
      <c r="C133" s="134" t="s">
        <v>118</v>
      </c>
      <c r="D133" s="33">
        <f>1194872.24*1599.9384</f>
        <v>1911721979.8700161</v>
      </c>
      <c r="E133" s="30">
        <f t="shared" ref="E133:E146" si="74">(D133/$D$150)</f>
        <v>9.9388332311428065E-4</v>
      </c>
      <c r="F133" s="29">
        <f>108.33*1599.9384</f>
        <v>173321.32687200001</v>
      </c>
      <c r="G133" s="29">
        <f>108.33*1599.9384</f>
        <v>173321.32687200001</v>
      </c>
      <c r="H133" s="32">
        <v>20</v>
      </c>
      <c r="I133" s="50">
        <v>2.6922000000000001E-2</v>
      </c>
      <c r="J133" s="50">
        <v>-2.8E-3</v>
      </c>
      <c r="K133" s="33">
        <f>1202642.67*1599.5491</f>
        <v>1923686000.4200969</v>
      </c>
      <c r="L133" s="30">
        <f t="shared" ref="L133:L149" si="75">(K133/$K$150)</f>
        <v>9.9250061563176313E-4</v>
      </c>
      <c r="M133" s="29">
        <f>104.6*1599.5491</f>
        <v>167312.83585999999</v>
      </c>
      <c r="N133" s="29">
        <f>104.6*1599.5491</f>
        <v>167312.83585999999</v>
      </c>
      <c r="O133" s="32">
        <v>20</v>
      </c>
      <c r="P133" s="50">
        <v>1.2E-2</v>
      </c>
      <c r="Q133" s="50">
        <v>9.5999999999999992E-3</v>
      </c>
      <c r="R133" s="57">
        <f>((K133-D133)/D133)</f>
        <v>6.258242922380506E-3</v>
      </c>
      <c r="S133" s="57">
        <f>((N133-G133)/G133)</f>
        <v>-3.4666772522676102E-2</v>
      </c>
      <c r="T133" s="57">
        <f>((O133-H133)/H133)</f>
        <v>0</v>
      </c>
      <c r="U133" s="57">
        <f>P133-I133</f>
        <v>-1.4922000000000001E-2</v>
      </c>
      <c r="V133" s="58">
        <f>Q133-J133</f>
        <v>1.24E-2</v>
      </c>
    </row>
    <row r="134" spans="1:24">
      <c r="A134" s="135">
        <v>117</v>
      </c>
      <c r="B134" s="134" t="s">
        <v>176</v>
      </c>
      <c r="C134" s="134" t="s">
        <v>25</v>
      </c>
      <c r="D134" s="29">
        <f>11926668.46*1599.9384</f>
        <v>19081934853.222866</v>
      </c>
      <c r="E134" s="30">
        <f t="shared" si="74"/>
        <v>9.9204889743752696E-3</v>
      </c>
      <c r="F134" s="33">
        <f>135.98*1599.9384</f>
        <v>217559.62363199997</v>
      </c>
      <c r="G134" s="33">
        <f>135.98*1599.9384</f>
        <v>217559.62363199997</v>
      </c>
      <c r="H134" s="32">
        <v>556</v>
      </c>
      <c r="I134" s="50">
        <v>5.0000000000000001E-4</v>
      </c>
      <c r="J134" s="50">
        <v>1.67E-2</v>
      </c>
      <c r="K134" s="29">
        <f>11816057.71*1599.5491</f>
        <v>18900364475.578564</v>
      </c>
      <c r="L134" s="30">
        <f t="shared" si="75"/>
        <v>9.7513956922179075E-3</v>
      </c>
      <c r="M134" s="33">
        <f>136.13*1599.5491</f>
        <v>217746.61898299999</v>
      </c>
      <c r="N134" s="33">
        <f>136.13*1599.5491</f>
        <v>217746.61898299999</v>
      </c>
      <c r="O134" s="32">
        <v>557</v>
      </c>
      <c r="P134" s="50">
        <v>5.0000000000000001E-4</v>
      </c>
      <c r="Q134" s="50">
        <v>1.78E-2</v>
      </c>
      <c r="R134" s="57">
        <f t="shared" ref="R134:R150" si="76">((K134-D134)/D134)</f>
        <v>-9.5153022500564632E-3</v>
      </c>
      <c r="S134" s="57">
        <f t="shared" ref="S134:S150" si="77">((N134-G134)/G134)</f>
        <v>8.5951312048746886E-4</v>
      </c>
      <c r="T134" s="57">
        <f t="shared" ref="T134:T150" si="78">((O134-H134)/H134)</f>
        <v>1.7985611510791368E-3</v>
      </c>
      <c r="U134" s="57">
        <f t="shared" ref="U134:U150" si="79">P134-I134</f>
        <v>0</v>
      </c>
      <c r="V134" s="58">
        <f t="shared" ref="V134:V150" si="80">Q134-J134</f>
        <v>1.1000000000000003E-3</v>
      </c>
    </row>
    <row r="135" spans="1:24">
      <c r="A135" s="135">
        <v>118</v>
      </c>
      <c r="B135" s="133" t="s">
        <v>177</v>
      </c>
      <c r="C135" s="134" t="s">
        <v>67</v>
      </c>
      <c r="D135" s="33">
        <v>16614071000.98</v>
      </c>
      <c r="E135" s="30">
        <f t="shared" si="74"/>
        <v>8.6374735818193285E-3</v>
      </c>
      <c r="F135" s="33">
        <v>178607.86</v>
      </c>
      <c r="G135" s="33">
        <v>178607.86</v>
      </c>
      <c r="H135" s="32">
        <v>692</v>
      </c>
      <c r="I135" s="50">
        <v>1E-3</v>
      </c>
      <c r="J135" s="50">
        <v>6.0900000000000003E-2</v>
      </c>
      <c r="K135" s="33">
        <v>16923312432.030001</v>
      </c>
      <c r="L135" s="30">
        <f t="shared" si="75"/>
        <v>8.7313615650633346E-3</v>
      </c>
      <c r="M135" s="33">
        <v>178832.88</v>
      </c>
      <c r="N135" s="33">
        <v>178832.88</v>
      </c>
      <c r="O135" s="32">
        <v>692</v>
      </c>
      <c r="P135" s="50">
        <v>1.2999999999999999E-3</v>
      </c>
      <c r="Q135" s="50">
        <v>6.0900000000000003E-2</v>
      </c>
      <c r="R135" s="57">
        <f t="shared" si="76"/>
        <v>1.8613224358542839E-2</v>
      </c>
      <c r="S135" s="57">
        <f t="shared" si="77"/>
        <v>1.2598549694286614E-3</v>
      </c>
      <c r="T135" s="57">
        <f t="shared" si="78"/>
        <v>0</v>
      </c>
      <c r="U135" s="57">
        <f t="shared" si="79"/>
        <v>2.9999999999999992E-4</v>
      </c>
      <c r="V135" s="58">
        <f t="shared" si="80"/>
        <v>0</v>
      </c>
    </row>
    <row r="136" spans="1:24">
      <c r="A136" s="135">
        <v>119</v>
      </c>
      <c r="B136" s="133" t="s">
        <v>300</v>
      </c>
      <c r="C136" s="134" t="s">
        <v>301</v>
      </c>
      <c r="D136" s="29">
        <f>59271.26*1599.9384</f>
        <v>94830364.890384004</v>
      </c>
      <c r="E136" s="30">
        <f t="shared" ref="E136" si="81">(D136/$D$110)</f>
        <v>4.5503774148574936E-4</v>
      </c>
      <c r="F136" s="35">
        <f>0.9657*1599.9384</f>
        <v>1545.06051288</v>
      </c>
      <c r="G136" s="35">
        <f>0.9657*1599.9384</f>
        <v>1545.06051288</v>
      </c>
      <c r="H136" s="32">
        <v>2</v>
      </c>
      <c r="I136" s="50">
        <v>1.1390701045872476E-3</v>
      </c>
      <c r="J136" s="50">
        <v>2.5384699316233328E-2</v>
      </c>
      <c r="K136" s="29">
        <f>123365.61*1599.5491</f>
        <v>197329350.44645101</v>
      </c>
      <c r="L136" s="30">
        <f t="shared" ref="L136" si="82">(K136/$K$110)</f>
        <v>9.4481078715872972E-4</v>
      </c>
      <c r="M136" s="35">
        <f>0.9676*1599.5491</f>
        <v>1547.72370916</v>
      </c>
      <c r="N136" s="35">
        <f>0.9676*1599.5491</f>
        <v>1547.72370916</v>
      </c>
      <c r="O136" s="32">
        <v>3</v>
      </c>
      <c r="P136" s="50">
        <v>1.1390701045872476E-3</v>
      </c>
      <c r="Q136" s="50">
        <v>2.5384699316233328E-2</v>
      </c>
      <c r="R136" s="56">
        <f t="shared" si="76"/>
        <v>1.0808667210607834</v>
      </c>
      <c r="S136" s="56">
        <f t="shared" si="77"/>
        <v>1.7236841261548748E-3</v>
      </c>
      <c r="T136" s="56">
        <f t="shared" si="78"/>
        <v>0.5</v>
      </c>
      <c r="U136" s="57">
        <f t="shared" si="79"/>
        <v>0</v>
      </c>
      <c r="V136" s="58">
        <f t="shared" si="80"/>
        <v>0</v>
      </c>
    </row>
    <row r="137" spans="1:24">
      <c r="A137" s="135">
        <v>120</v>
      </c>
      <c r="B137" s="133" t="s">
        <v>178</v>
      </c>
      <c r="C137" s="134" t="s">
        <v>65</v>
      </c>
      <c r="D137" s="33">
        <v>9499330267.9134026</v>
      </c>
      <c r="E137" s="30">
        <f t="shared" si="74"/>
        <v>4.938597784326244E-3</v>
      </c>
      <c r="F137" s="33">
        <v>2060.9672729372501</v>
      </c>
      <c r="G137" s="33">
        <v>2060.9672729372501</v>
      </c>
      <c r="H137" s="32">
        <v>250</v>
      </c>
      <c r="I137" s="50">
        <v>5.385433047270656E-2</v>
      </c>
      <c r="J137" s="50">
        <v>6.5274149170483381E-2</v>
      </c>
      <c r="K137" s="33">
        <v>9668286961.1086998</v>
      </c>
      <c r="L137" s="30">
        <f t="shared" si="75"/>
        <v>4.9882261236550004E-3</v>
      </c>
      <c r="M137" s="33">
        <v>2068.9033626546407</v>
      </c>
      <c r="N137" s="33">
        <v>2068.9033626546407</v>
      </c>
      <c r="O137" s="32">
        <v>251</v>
      </c>
      <c r="P137" s="50">
        <v>5.3910109537372158E-2</v>
      </c>
      <c r="Q137" s="50">
        <v>6.4645803601820664E-2</v>
      </c>
      <c r="R137" s="57">
        <f t="shared" si="76"/>
        <v>1.7786168964563205E-2</v>
      </c>
      <c r="S137" s="57">
        <f t="shared" si="77"/>
        <v>3.850662658063574E-3</v>
      </c>
      <c r="T137" s="56">
        <f t="shared" si="78"/>
        <v>4.0000000000000001E-3</v>
      </c>
      <c r="U137" s="57">
        <f t="shared" si="79"/>
        <v>5.5779064665598121E-5</v>
      </c>
      <c r="V137" s="58">
        <f t="shared" si="80"/>
        <v>-6.2834556866271651E-4</v>
      </c>
    </row>
    <row r="138" spans="1:24">
      <c r="A138" s="135">
        <v>121</v>
      </c>
      <c r="B138" s="133" t="s">
        <v>307</v>
      </c>
      <c r="C138" s="134" t="s">
        <v>37</v>
      </c>
      <c r="D138" s="33">
        <v>89554497696.630005</v>
      </c>
      <c r="E138" s="30">
        <f t="shared" si="74"/>
        <v>4.6558402690232537E-2</v>
      </c>
      <c r="F138" s="33">
        <f>100*1599.9384</f>
        <v>159993.84</v>
      </c>
      <c r="G138" s="33">
        <f>100*1599.9384</f>
        <v>159993.84</v>
      </c>
      <c r="H138" s="32">
        <v>1808</v>
      </c>
      <c r="I138" s="50">
        <v>4.2700000000000002E-2</v>
      </c>
      <c r="J138" s="50">
        <v>4.8599999999999997E-2</v>
      </c>
      <c r="K138" s="33">
        <v>90276436448.800003</v>
      </c>
      <c r="L138" s="30">
        <f t="shared" si="75"/>
        <v>4.6576945890810094E-2</v>
      </c>
      <c r="M138" s="33">
        <f>100*1599.5491</f>
        <v>159954.91</v>
      </c>
      <c r="N138" s="33">
        <f>100*1599.5491</f>
        <v>159954.91</v>
      </c>
      <c r="O138" s="32">
        <v>1815</v>
      </c>
      <c r="P138" s="50">
        <v>4.6300000000000001E-2</v>
      </c>
      <c r="Q138" s="50">
        <v>4.8426400000000001E-2</v>
      </c>
      <c r="R138" s="57">
        <f t="shared" si="76"/>
        <v>8.0614460550669266E-3</v>
      </c>
      <c r="S138" s="57">
        <f t="shared" si="77"/>
        <v>-2.433218678918702E-4</v>
      </c>
      <c r="T138" s="57">
        <f t="shared" si="78"/>
        <v>3.8716814159292035E-3</v>
      </c>
      <c r="U138" s="57">
        <f t="shared" si="79"/>
        <v>3.599999999999999E-3</v>
      </c>
      <c r="V138" s="58">
        <f t="shared" si="80"/>
        <v>-1.7359999999999598E-4</v>
      </c>
    </row>
    <row r="139" spans="1:24" ht="15.6">
      <c r="A139" s="135">
        <v>122</v>
      </c>
      <c r="B139" s="133" t="s">
        <v>179</v>
      </c>
      <c r="C139" s="134" t="s">
        <v>135</v>
      </c>
      <c r="D139" s="33">
        <f>1081953.3*1599.9384</f>
        <v>1731058631.6767201</v>
      </c>
      <c r="E139" s="30">
        <f t="shared" si="74"/>
        <v>8.9995842673394296E-4</v>
      </c>
      <c r="F139" s="33">
        <f>1.07*1599.9384</f>
        <v>1711.9340880000002</v>
      </c>
      <c r="G139" s="33">
        <f>1.07*1599.9384</f>
        <v>1711.9340880000002</v>
      </c>
      <c r="H139" s="32">
        <v>51</v>
      </c>
      <c r="I139" s="50">
        <v>1.9E-3</v>
      </c>
      <c r="J139" s="50">
        <v>9.3299999999999994E-2</v>
      </c>
      <c r="K139" s="33">
        <f>1060062.22*1599.5491</f>
        <v>1695621569.9450018</v>
      </c>
      <c r="L139" s="30">
        <f t="shared" si="75"/>
        <v>8.7483375752664199E-4</v>
      </c>
      <c r="M139" s="33">
        <f>1.07*1599.5491</f>
        <v>1711.5175369999999</v>
      </c>
      <c r="N139" s="33">
        <f>1.1*1599.5491</f>
        <v>1759.5040100000001</v>
      </c>
      <c r="O139" s="32">
        <v>51</v>
      </c>
      <c r="P139" s="50">
        <v>1.9E-3</v>
      </c>
      <c r="Q139" s="50">
        <v>9.3299999999999994E-2</v>
      </c>
      <c r="R139" s="57">
        <f t="shared" si="76"/>
        <v>-2.0471323780289073E-2</v>
      </c>
      <c r="S139" s="57">
        <f t="shared" si="77"/>
        <v>2.7787239201232553E-2</v>
      </c>
      <c r="T139" s="57">
        <f t="shared" si="78"/>
        <v>0</v>
      </c>
      <c r="U139" s="57">
        <f t="shared" si="79"/>
        <v>0</v>
      </c>
      <c r="V139" s="58">
        <f t="shared" si="80"/>
        <v>0</v>
      </c>
      <c r="X139" s="67"/>
    </row>
    <row r="140" spans="1:24" ht="15.6">
      <c r="A140" s="135">
        <v>123</v>
      </c>
      <c r="B140" s="133" t="s">
        <v>180</v>
      </c>
      <c r="C140" s="134" t="s">
        <v>43</v>
      </c>
      <c r="D140" s="29">
        <f>3187584.35*1599.9384</f>
        <v>5099938604.80404</v>
      </c>
      <c r="E140" s="30">
        <f t="shared" si="74"/>
        <v>2.6514022340037575E-3</v>
      </c>
      <c r="F140" s="33">
        <f>10.5725*1599.9384</f>
        <v>16915.348733999999</v>
      </c>
      <c r="G140" s="33">
        <f>10.5725*1599.9384</f>
        <v>16915.348733999999</v>
      </c>
      <c r="H140" s="32">
        <v>68</v>
      </c>
      <c r="I140" s="50">
        <v>7.6600000000000001E-2</v>
      </c>
      <c r="J140" s="50">
        <v>9.5799999999999996E-2</v>
      </c>
      <c r="K140" s="29">
        <f>3267811.29*1599.5491</f>
        <v>5227024607.8893385</v>
      </c>
      <c r="L140" s="30">
        <f t="shared" si="75"/>
        <v>2.6968149376351545E-3</v>
      </c>
      <c r="M140" s="33">
        <f>10.58794*1599.5491</f>
        <v>16935.929897853999</v>
      </c>
      <c r="N140" s="33">
        <f>10.58794*1599.5491</f>
        <v>16935.929897853999</v>
      </c>
      <c r="O140" s="32">
        <v>68</v>
      </c>
      <c r="P140" s="50">
        <v>7.4700000000000003E-2</v>
      </c>
      <c r="Q140" s="50">
        <v>9.4100000000000003E-2</v>
      </c>
      <c r="R140" s="57">
        <f t="shared" si="76"/>
        <v>2.4919124117609194E-2</v>
      </c>
      <c r="S140" s="57">
        <f t="shared" si="77"/>
        <v>1.2167153144547105E-3</v>
      </c>
      <c r="T140" s="57">
        <f t="shared" si="78"/>
        <v>0</v>
      </c>
      <c r="U140" s="57">
        <f t="shared" si="79"/>
        <v>-1.8999999999999989E-3</v>
      </c>
      <c r="V140" s="58">
        <f t="shared" si="80"/>
        <v>-1.6999999999999932E-3</v>
      </c>
      <c r="X140" s="67"/>
    </row>
    <row r="141" spans="1:24" ht="15.6">
      <c r="A141" s="135">
        <v>124</v>
      </c>
      <c r="B141" s="134" t="s">
        <v>181</v>
      </c>
      <c r="C141" s="171" t="s">
        <v>47</v>
      </c>
      <c r="D141" s="33">
        <v>24969429491.66</v>
      </c>
      <c r="E141" s="30">
        <f t="shared" si="74"/>
        <v>1.298133296617018E-2</v>
      </c>
      <c r="F141" s="33">
        <f>1.01*1599.9384</f>
        <v>1615.937784</v>
      </c>
      <c r="G141" s="33">
        <f>1.01*1599.9384</f>
        <v>1615.937784</v>
      </c>
      <c r="H141" s="32">
        <v>460</v>
      </c>
      <c r="I141" s="50">
        <v>7.7000000000000002E-3</v>
      </c>
      <c r="J141" s="50">
        <v>-1.2699999999999999E-2</v>
      </c>
      <c r="K141" s="33">
        <v>25460551157.450001</v>
      </c>
      <c r="L141" s="30">
        <f t="shared" si="75"/>
        <v>1.3136038154134673E-2</v>
      </c>
      <c r="M141" s="33">
        <f>1.02*1599.5491</f>
        <v>1631.540082</v>
      </c>
      <c r="N141" s="33">
        <f>1.02*1599.5491</f>
        <v>1631.540082</v>
      </c>
      <c r="O141" s="32">
        <v>460</v>
      </c>
      <c r="P141" s="50">
        <v>1.9699999999999999E-2</v>
      </c>
      <c r="Q141" s="50">
        <v>-2.8E-3</v>
      </c>
      <c r="R141" s="57">
        <f t="shared" si="76"/>
        <v>1.9668918184696196E-2</v>
      </c>
      <c r="S141" s="57">
        <f t="shared" si="77"/>
        <v>9.6552591037131295E-3</v>
      </c>
      <c r="T141" s="57">
        <f t="shared" si="78"/>
        <v>0</v>
      </c>
      <c r="U141" s="57">
        <f t="shared" si="79"/>
        <v>1.1999999999999999E-2</v>
      </c>
      <c r="V141" s="58">
        <f t="shared" si="80"/>
        <v>9.8999999999999991E-3</v>
      </c>
      <c r="X141" s="67"/>
    </row>
    <row r="142" spans="1:24">
      <c r="A142" s="135">
        <v>125</v>
      </c>
      <c r="B142" s="133" t="s">
        <v>182</v>
      </c>
      <c r="C142" s="134" t="s">
        <v>91</v>
      </c>
      <c r="D142" s="29">
        <f>254090.69*1602.78</f>
        <v>407251476.1182</v>
      </c>
      <c r="E142" s="30">
        <f t="shared" si="74"/>
        <v>2.1172558284603373E-4</v>
      </c>
      <c r="F142" s="33">
        <f>1.06*1602.78</f>
        <v>1698.9468000000002</v>
      </c>
      <c r="G142" s="33">
        <f>1.06*1602.78</f>
        <v>1698.9468000000002</v>
      </c>
      <c r="H142" s="32">
        <v>2</v>
      </c>
      <c r="I142" s="50">
        <v>3.2299000000000001E-2</v>
      </c>
      <c r="J142" s="50">
        <v>-4.6433000000000002E-2</v>
      </c>
      <c r="K142" s="29">
        <f>264220.66*1607.29</f>
        <v>424679224.61139995</v>
      </c>
      <c r="L142" s="30">
        <f t="shared" si="75"/>
        <v>2.1910768793908557E-4</v>
      </c>
      <c r="M142" s="33">
        <f>1.1*1607.29</f>
        <v>1768.019</v>
      </c>
      <c r="N142" s="33">
        <f>1.1*1607.29</f>
        <v>1768.019</v>
      </c>
      <c r="O142" s="32">
        <v>2</v>
      </c>
      <c r="P142" s="50">
        <v>3.9868000000000001E-2</v>
      </c>
      <c r="Q142" s="50">
        <v>-8.4169999999999991E-3</v>
      </c>
      <c r="R142" s="57">
        <f t="shared" si="76"/>
        <v>4.2793579680339193E-2</v>
      </c>
      <c r="S142" s="57">
        <f t="shared" si="77"/>
        <v>4.0655893404078242E-2</v>
      </c>
      <c r="T142" s="57">
        <f t="shared" si="78"/>
        <v>0</v>
      </c>
      <c r="U142" s="57">
        <f t="shared" si="79"/>
        <v>7.5689999999999993E-3</v>
      </c>
      <c r="V142" s="58">
        <f t="shared" si="80"/>
        <v>3.8016000000000001E-2</v>
      </c>
    </row>
    <row r="143" spans="1:24">
      <c r="A143" s="135">
        <v>126</v>
      </c>
      <c r="B143" s="133" t="s">
        <v>310</v>
      </c>
      <c r="C143" s="134" t="s">
        <v>308</v>
      </c>
      <c r="D143" s="29">
        <f>414923.559463615*1599.9384</f>
        <v>663852135.85052109</v>
      </c>
      <c r="E143" s="30">
        <f t="shared" si="74"/>
        <v>3.4512945594761122E-4</v>
      </c>
      <c r="F143" s="33">
        <f>1.00236406271416*1599.9384</f>
        <v>1603.7207547163925</v>
      </c>
      <c r="G143" s="33">
        <f>1.00236406271416*1599.9384</f>
        <v>1603.7207547163925</v>
      </c>
      <c r="H143" s="32">
        <v>5</v>
      </c>
      <c r="I143" s="50">
        <v>6.3500000000000001E-2</v>
      </c>
      <c r="J143" s="50">
        <v>2.3599999999999999E-2</v>
      </c>
      <c r="K143" s="29">
        <f>415428.92*1599.5491</f>
        <v>664498955.09997201</v>
      </c>
      <c r="L143" s="30">
        <f t="shared" si="75"/>
        <v>3.4283953923839943E-4</v>
      </c>
      <c r="M143" s="33">
        <f>1.00358489848515*1599.5491</f>
        <v>1605.2833211455131</v>
      </c>
      <c r="N143" s="33">
        <f>1.00358489848515*1599.5491</f>
        <v>1605.2833211455131</v>
      </c>
      <c r="O143" s="32">
        <v>5</v>
      </c>
      <c r="P143" s="50">
        <v>6.3600000000000004E-2</v>
      </c>
      <c r="Q143" s="50">
        <v>3.5799999999999998E-2</v>
      </c>
      <c r="R143" s="57">
        <f t="shared" ref="R143" si="83">((K143-D143)/D143)</f>
        <v>9.7434234902659962E-4</v>
      </c>
      <c r="S143" s="57">
        <f t="shared" ref="S143" si="84">((N143-G143)/G143)</f>
        <v>9.7433822224051033E-4</v>
      </c>
      <c r="T143" s="57">
        <f t="shared" si="78"/>
        <v>0</v>
      </c>
      <c r="U143" s="57">
        <f t="shared" si="79"/>
        <v>1.0000000000000286E-4</v>
      </c>
      <c r="V143" s="58">
        <f t="shared" si="80"/>
        <v>1.2199999999999999E-2</v>
      </c>
    </row>
    <row r="144" spans="1:24">
      <c r="A144" s="135">
        <v>127</v>
      </c>
      <c r="B144" s="133" t="s">
        <v>183</v>
      </c>
      <c r="C144" s="134" t="s">
        <v>49</v>
      </c>
      <c r="D144" s="29">
        <v>1069190302043.0601</v>
      </c>
      <c r="E144" s="30">
        <f t="shared" si="74"/>
        <v>0.55586032991490264</v>
      </c>
      <c r="F144" s="33">
        <v>2574.06</v>
      </c>
      <c r="G144" s="33">
        <v>2574.06</v>
      </c>
      <c r="H144" s="32">
        <v>10535</v>
      </c>
      <c r="I144" s="50">
        <v>1.1000000000000001E-3</v>
      </c>
      <c r="J144" s="50">
        <v>1.9900000000000001E-2</v>
      </c>
      <c r="K144" s="29">
        <v>1080722675822.8199</v>
      </c>
      <c r="L144" s="30">
        <f t="shared" si="75"/>
        <v>0.55758472060778919</v>
      </c>
      <c r="M144" s="33">
        <v>2585.17</v>
      </c>
      <c r="N144" s="33">
        <v>2585.17</v>
      </c>
      <c r="O144" s="32">
        <v>10587</v>
      </c>
      <c r="P144" s="50">
        <v>1.5E-3</v>
      </c>
      <c r="Q144" s="50">
        <v>2.1499999999999998E-2</v>
      </c>
      <c r="R144" s="57">
        <f t="shared" si="76"/>
        <v>1.0786081540136751E-2</v>
      </c>
      <c r="S144" s="57">
        <f t="shared" si="77"/>
        <v>4.3161387069454975E-3</v>
      </c>
      <c r="T144" s="57">
        <f t="shared" si="78"/>
        <v>4.9359278595158991E-3</v>
      </c>
      <c r="U144" s="57">
        <f t="shared" si="79"/>
        <v>3.9999999999999996E-4</v>
      </c>
      <c r="V144" s="58">
        <f t="shared" si="80"/>
        <v>1.5999999999999973E-3</v>
      </c>
    </row>
    <row r="145" spans="1:22">
      <c r="A145" s="135">
        <v>128</v>
      </c>
      <c r="B145" s="133" t="s">
        <v>292</v>
      </c>
      <c r="C145" s="133" t="s">
        <v>101</v>
      </c>
      <c r="D145" s="29">
        <f>289622.37*1599.9384</f>
        <v>463377951.26200801</v>
      </c>
      <c r="E145" s="30">
        <f t="shared" si="74"/>
        <v>2.4090512266301687E-4</v>
      </c>
      <c r="F145" s="33">
        <f>101.911*1599.9384</f>
        <v>163051.32228240001</v>
      </c>
      <c r="G145" s="33">
        <f>101.911*1599.9384</f>
        <v>163051.32228240001</v>
      </c>
      <c r="H145" s="32">
        <v>20</v>
      </c>
      <c r="I145" s="50">
        <v>0</v>
      </c>
      <c r="J145" s="50">
        <v>7.22E-2</v>
      </c>
      <c r="K145" s="29">
        <f>290026.02*1599.5491</f>
        <v>463910859.267582</v>
      </c>
      <c r="L145" s="30">
        <f t="shared" si="75"/>
        <v>2.3934873639501751E-4</v>
      </c>
      <c r="M145" s="33">
        <f>102.05*1599.5491</f>
        <v>163233.985655</v>
      </c>
      <c r="N145" s="33">
        <f>102.05*1599.5491</f>
        <v>163233.985655</v>
      </c>
      <c r="O145" s="32">
        <v>20</v>
      </c>
      <c r="P145" s="50">
        <v>0</v>
      </c>
      <c r="Q145" s="50">
        <v>7.2499999999999995E-2</v>
      </c>
      <c r="R145" s="57">
        <f t="shared" ref="R145" si="85">((K145-D145)/D145)</f>
        <v>1.1500504159134355E-3</v>
      </c>
      <c r="S145" s="57">
        <f t="shared" ref="S145" si="86">((N145-G145)/G145)</f>
        <v>1.1202814552072012E-3</v>
      </c>
      <c r="T145" s="57">
        <f t="shared" ref="T145" si="87">((O145-H145)/H145)</f>
        <v>0</v>
      </c>
      <c r="U145" s="57">
        <f t="shared" ref="U145" si="88">P145-I145</f>
        <v>0</v>
      </c>
      <c r="V145" s="58">
        <f t="shared" ref="V145" si="89">Q145-J145</f>
        <v>2.9999999999999472E-4</v>
      </c>
    </row>
    <row r="146" spans="1:22" ht="16.5" customHeight="1">
      <c r="A146" s="135">
        <v>129</v>
      </c>
      <c r="B146" s="133" t="s">
        <v>184</v>
      </c>
      <c r="C146" s="134" t="s">
        <v>52</v>
      </c>
      <c r="D146" s="29">
        <f>130868542.79*1599.9384</f>
        <v>209381606961.76416</v>
      </c>
      <c r="E146" s="30">
        <f t="shared" si="74"/>
        <v>0.10885520463614473</v>
      </c>
      <c r="F146" s="33">
        <f>1.1948*1599.9384</f>
        <v>1911.6064003200001</v>
      </c>
      <c r="G146" s="33">
        <f>1.1948*1599.9384</f>
        <v>1911.6064003200001</v>
      </c>
      <c r="H146" s="32">
        <v>640</v>
      </c>
      <c r="I146" s="50">
        <v>7.3899999999999993E-2</v>
      </c>
      <c r="J146" s="50">
        <v>7.7399999999999997E-2</v>
      </c>
      <c r="K146" s="29">
        <f>130653671.65*1607.29</f>
        <v>209998339906.32849</v>
      </c>
      <c r="L146" s="30">
        <f t="shared" si="75"/>
        <v>0.1083458951165437</v>
      </c>
      <c r="M146" s="33">
        <f>1.1964*1607.29</f>
        <v>1922.9617559999997</v>
      </c>
      <c r="N146" s="33">
        <f>1.1964*1607.29</f>
        <v>1922.9617559999997</v>
      </c>
      <c r="O146" s="32">
        <v>647</v>
      </c>
      <c r="P146" s="50">
        <v>7.2300000000000003E-2</v>
      </c>
      <c r="Q146" s="50">
        <v>7.7200000000000005E-2</v>
      </c>
      <c r="R146" s="57">
        <f t="shared" si="76"/>
        <v>2.9454972359484978E-3</v>
      </c>
      <c r="S146" s="57">
        <f t="shared" si="77"/>
        <v>5.9402163950166087E-3</v>
      </c>
      <c r="T146" s="57">
        <f t="shared" si="78"/>
        <v>1.0937499999999999E-2</v>
      </c>
      <c r="U146" s="57">
        <f t="shared" si="79"/>
        <v>-1.5999999999999903E-3</v>
      </c>
      <c r="V146" s="58">
        <f t="shared" si="80"/>
        <v>-1.9999999999999185E-4</v>
      </c>
    </row>
    <row r="147" spans="1:22" ht="16.5" customHeight="1">
      <c r="A147" s="135">
        <v>130</v>
      </c>
      <c r="B147" s="133" t="s">
        <v>185</v>
      </c>
      <c r="C147" s="134" t="s">
        <v>96</v>
      </c>
      <c r="D147" s="33">
        <v>1078627642.3038712</v>
      </c>
      <c r="E147" s="30">
        <v>0</v>
      </c>
      <c r="F147" s="33">
        <v>168067.51079999999</v>
      </c>
      <c r="G147" s="33">
        <v>168067.51079999999</v>
      </c>
      <c r="H147" s="32">
        <v>24</v>
      </c>
      <c r="I147" s="50">
        <v>8.9999999999999998E-4</v>
      </c>
      <c r="J147" s="50">
        <v>6.2300000000000001E-2</v>
      </c>
      <c r="K147" s="33">
        <v>1082580873.709779</v>
      </c>
      <c r="L147" s="30">
        <f t="shared" si="75"/>
        <v>5.5854343348835783E-4</v>
      </c>
      <c r="M147" s="33">
        <v>168669.01259999999</v>
      </c>
      <c r="N147" s="33">
        <v>168669.01259999999</v>
      </c>
      <c r="O147" s="32">
        <v>24</v>
      </c>
      <c r="P147" s="50">
        <v>8.0000000000000004E-4</v>
      </c>
      <c r="Q147" s="50">
        <v>6.2300000000000001E-2</v>
      </c>
      <c r="R147" s="57">
        <f t="shared" si="76"/>
        <v>3.6650566431470745E-3</v>
      </c>
      <c r="S147" s="57">
        <f t="shared" si="77"/>
        <v>3.5789296642572649E-3</v>
      </c>
      <c r="T147" s="57">
        <f t="shared" si="78"/>
        <v>0</v>
      </c>
      <c r="U147" s="57">
        <f t="shared" si="79"/>
        <v>-9.9999999999999937E-5</v>
      </c>
      <c r="V147" s="58">
        <f t="shared" si="80"/>
        <v>0</v>
      </c>
    </row>
    <row r="148" spans="1:22" ht="16.5" customHeight="1">
      <c r="A148" s="135">
        <v>131</v>
      </c>
      <c r="B148" s="133" t="s">
        <v>314</v>
      </c>
      <c r="C148" s="134" t="s">
        <v>108</v>
      </c>
      <c r="D148" s="33">
        <f>253019.23*1599.9384</f>
        <v>404815182.015432</v>
      </c>
      <c r="E148" s="30"/>
      <c r="F148" s="33">
        <f>0.9444*1599.9384</f>
        <v>1510.98182496</v>
      </c>
      <c r="G148" s="33">
        <f>0.9444*1599.9384</f>
        <v>1510.98182496</v>
      </c>
      <c r="H148" s="32">
        <v>7</v>
      </c>
      <c r="I148" s="50">
        <v>0</v>
      </c>
      <c r="J148" s="50">
        <v>0.1095</v>
      </c>
      <c r="K148" s="33">
        <f>253052.62*1599.5491</f>
        <v>404770090.57364196</v>
      </c>
      <c r="L148" s="30"/>
      <c r="M148" s="33">
        <f>0.9426*1599.5491</f>
        <v>1507.7349816599999</v>
      </c>
      <c r="N148" s="33">
        <f>0.9426*1599.5491</f>
        <v>1507.7349816599999</v>
      </c>
      <c r="O148" s="32">
        <v>7</v>
      </c>
      <c r="P148" s="50">
        <v>0</v>
      </c>
      <c r="Q148" s="50">
        <v>0.1095</v>
      </c>
      <c r="R148" s="57">
        <f t="shared" ref="R148" si="90">((K148-D148)/D148)</f>
        <v>-1.1138772406101452E-4</v>
      </c>
      <c r="S148" s="57">
        <f t="shared" ref="S148" si="91">((N148-G148)/G148)</f>
        <v>-2.1488301489570134E-3</v>
      </c>
      <c r="T148" s="57">
        <f t="shared" si="78"/>
        <v>0</v>
      </c>
      <c r="U148" s="57">
        <f t="shared" si="79"/>
        <v>0</v>
      </c>
      <c r="V148" s="58">
        <f t="shared" si="80"/>
        <v>0</v>
      </c>
    </row>
    <row r="149" spans="1:22">
      <c r="A149" s="135">
        <v>132</v>
      </c>
      <c r="B149" s="133" t="s">
        <v>186</v>
      </c>
      <c r="C149" s="134" t="s">
        <v>110</v>
      </c>
      <c r="D149" s="33">
        <f>1229733.27*1599.9384</f>
        <v>1967497480.430568</v>
      </c>
      <c r="E149" s="30">
        <f>(D149/$D$150)</f>
        <v>1.0228803950887593E-3</v>
      </c>
      <c r="F149" s="33">
        <f>1.2367*1599.9384</f>
        <v>1978.6438192799999</v>
      </c>
      <c r="G149" s="33">
        <f>1.2367*1599.9384</f>
        <v>1978.6438192799999</v>
      </c>
      <c r="H149" s="32">
        <v>95</v>
      </c>
      <c r="I149" s="50">
        <v>1.7451999999999999E-2</v>
      </c>
      <c r="J149" s="50">
        <v>-5.5529999999999998E-3</v>
      </c>
      <c r="K149" s="33">
        <f>1195491.79*1599.5491</f>
        <v>1912247816.751889</v>
      </c>
      <c r="L149" s="30">
        <f t="shared" si="75"/>
        <v>9.8659923446564428E-4</v>
      </c>
      <c r="M149" s="33">
        <f>1.2589*1599.5491</f>
        <v>2013.6723619899999</v>
      </c>
      <c r="N149" s="33">
        <f>1.2589*1599.5491</f>
        <v>2013.6723619899999</v>
      </c>
      <c r="O149" s="32">
        <v>95</v>
      </c>
      <c r="P149" s="50">
        <v>1.7364000000000001E-2</v>
      </c>
      <c r="Q149" s="50">
        <v>1.2295E-2</v>
      </c>
      <c r="R149" s="57">
        <f t="shared" si="76"/>
        <v>-2.8081186496151513E-2</v>
      </c>
      <c r="S149" s="57">
        <f t="shared" si="77"/>
        <v>1.7703308886966019E-2</v>
      </c>
      <c r="T149" s="57">
        <f t="shared" si="78"/>
        <v>0</v>
      </c>
      <c r="U149" s="57">
        <f t="shared" si="79"/>
        <v>-8.7999999999997802E-5</v>
      </c>
      <c r="V149" s="58">
        <f t="shared" si="80"/>
        <v>1.7847999999999999E-2</v>
      </c>
    </row>
    <row r="150" spans="1:22">
      <c r="A150" s="36"/>
      <c r="B150" s="37"/>
      <c r="C150" s="71" t="s">
        <v>53</v>
      </c>
      <c r="D150" s="48">
        <f>SUM(D114:D149)</f>
        <v>1923487330363.6252</v>
      </c>
      <c r="E150" s="40">
        <f>(D150/$D$222)</f>
        <v>0.37952556987417024</v>
      </c>
      <c r="F150" s="41"/>
      <c r="G150" s="45"/>
      <c r="H150" s="43">
        <f>SUM(H114:H149)</f>
        <v>24111</v>
      </c>
      <c r="I150" s="80"/>
      <c r="J150" s="80"/>
      <c r="K150" s="48">
        <f>SUM(K114:K149)</f>
        <v>1938221468200.9041</v>
      </c>
      <c r="L150" s="40">
        <f>(K150/$K$222)</f>
        <v>0.37756248367002843</v>
      </c>
      <c r="M150" s="41"/>
      <c r="N150" s="45"/>
      <c r="O150" s="43">
        <f>SUM(O114:O149)</f>
        <v>24214</v>
      </c>
      <c r="P150" s="80"/>
      <c r="Q150" s="80"/>
      <c r="R150" s="57">
        <f t="shared" si="76"/>
        <v>7.6601169161293085E-3</v>
      </c>
      <c r="S150" s="57" t="e">
        <f t="shared" si="77"/>
        <v>#DIV/0!</v>
      </c>
      <c r="T150" s="57">
        <f t="shared" si="78"/>
        <v>4.2719090871386504E-3</v>
      </c>
      <c r="U150" s="57">
        <f t="shared" si="79"/>
        <v>0</v>
      </c>
      <c r="V150" s="58">
        <f t="shared" si="80"/>
        <v>0</v>
      </c>
    </row>
    <row r="151" spans="1:22" ht="6" customHeight="1">
      <c r="A151" s="36"/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</row>
    <row r="152" spans="1:22">
      <c r="A152" s="182" t="s">
        <v>187</v>
      </c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</row>
    <row r="153" spans="1:22">
      <c r="A153" s="135">
        <v>133</v>
      </c>
      <c r="B153" s="133" t="s">
        <v>188</v>
      </c>
      <c r="C153" s="134" t="s">
        <v>189</v>
      </c>
      <c r="D153" s="72">
        <v>2367511678.4364562</v>
      </c>
      <c r="E153" s="30">
        <f>(D153/$D$158)</f>
        <v>2.3327743616918327E-2</v>
      </c>
      <c r="F153" s="60">
        <v>111.56982462000265</v>
      </c>
      <c r="G153" s="60">
        <v>111.56982462000265</v>
      </c>
      <c r="H153" s="32">
        <v>8</v>
      </c>
      <c r="I153" s="50">
        <v>4.7999999999999154E-3</v>
      </c>
      <c r="J153" s="50">
        <v>5.8156427898513829E-2</v>
      </c>
      <c r="K153" s="72">
        <v>2367511678.4364562</v>
      </c>
      <c r="L153" s="30">
        <f>(K153/$K$158)</f>
        <v>2.3142579789652753E-2</v>
      </c>
      <c r="M153" s="60">
        <v>111.56982462000265</v>
      </c>
      <c r="N153" s="60">
        <v>111.56982462000265</v>
      </c>
      <c r="O153" s="32">
        <v>8</v>
      </c>
      <c r="P153" s="50">
        <v>4.7999999999999154E-3</v>
      </c>
      <c r="Q153" s="50">
        <v>5.8156427898513829E-2</v>
      </c>
      <c r="R153" s="57">
        <f t="shared" ref="R153:R158" si="92">((K153-D153)/D153)</f>
        <v>0</v>
      </c>
      <c r="S153" s="57">
        <f t="shared" ref="S153:T158" si="93">((N153-G153)/G153)</f>
        <v>0</v>
      </c>
      <c r="T153" s="57">
        <f t="shared" si="93"/>
        <v>0</v>
      </c>
      <c r="U153" s="57">
        <f t="shared" ref="U153:V158" si="94">P153-I153</f>
        <v>0</v>
      </c>
      <c r="V153" s="58">
        <f t="shared" si="94"/>
        <v>0</v>
      </c>
    </row>
    <row r="154" spans="1:22">
      <c r="A154" s="135">
        <v>134</v>
      </c>
      <c r="B154" s="133" t="s">
        <v>190</v>
      </c>
      <c r="C154" s="134" t="s">
        <v>47</v>
      </c>
      <c r="D154" s="29">
        <v>54160728474</v>
      </c>
      <c r="E154" s="30">
        <f>(D154/$D$158)</f>
        <v>0.53366055147884284</v>
      </c>
      <c r="F154" s="60">
        <v>102.07</v>
      </c>
      <c r="G154" s="60">
        <v>102.07</v>
      </c>
      <c r="H154" s="32">
        <v>645</v>
      </c>
      <c r="I154" s="50">
        <v>8.3900000000000002E-2</v>
      </c>
      <c r="J154" s="50">
        <v>8.3900000000000002E-2</v>
      </c>
      <c r="K154" s="29">
        <v>54160728474</v>
      </c>
      <c r="L154" s="30">
        <f>(K154/$K$158)</f>
        <v>0.52942462400145007</v>
      </c>
      <c r="M154" s="60">
        <v>102.07</v>
      </c>
      <c r="N154" s="60">
        <v>102.07</v>
      </c>
      <c r="O154" s="32">
        <v>645</v>
      </c>
      <c r="P154" s="50">
        <v>8.3900000000000002E-2</v>
      </c>
      <c r="Q154" s="50">
        <v>8.3900000000000002E-2</v>
      </c>
      <c r="R154" s="57">
        <f t="shared" si="92"/>
        <v>0</v>
      </c>
      <c r="S154" s="57">
        <f t="shared" si="93"/>
        <v>0</v>
      </c>
      <c r="T154" s="57">
        <f t="shared" si="93"/>
        <v>0</v>
      </c>
      <c r="U154" s="57">
        <f t="shared" si="94"/>
        <v>0</v>
      </c>
      <c r="V154" s="58">
        <f t="shared" si="94"/>
        <v>0</v>
      </c>
    </row>
    <row r="155" spans="1:22" ht="15.75" customHeight="1">
      <c r="A155" s="135">
        <v>135</v>
      </c>
      <c r="B155" s="133" t="s">
        <v>191</v>
      </c>
      <c r="C155" s="134" t="s">
        <v>145</v>
      </c>
      <c r="D155" s="29">
        <v>2869448747.708168</v>
      </c>
      <c r="E155" s="30">
        <f>(D155/$D$158)</f>
        <v>2.8273467589663721E-2</v>
      </c>
      <c r="F155" s="60">
        <v>206</v>
      </c>
      <c r="G155" s="60">
        <v>206</v>
      </c>
      <c r="H155" s="32">
        <v>3250</v>
      </c>
      <c r="I155" s="50">
        <v>0.12926995739832386</v>
      </c>
      <c r="J155" s="50">
        <v>4.6096904076973658E-2</v>
      </c>
      <c r="K155" s="29">
        <v>2877883775.9601493</v>
      </c>
      <c r="L155" s="30">
        <f>(K155/$K$158)</f>
        <v>2.8131500054305852E-2</v>
      </c>
      <c r="M155" s="60">
        <v>206</v>
      </c>
      <c r="N155" s="60">
        <v>206</v>
      </c>
      <c r="O155" s="32">
        <v>3250</v>
      </c>
      <c r="P155" s="50">
        <v>0.19489382850153239</v>
      </c>
      <c r="Q155" s="50">
        <v>4.7118089923210177E-2</v>
      </c>
      <c r="R155" s="57">
        <f t="shared" si="92"/>
        <v>2.9395988545598958E-3</v>
      </c>
      <c r="S155" s="57">
        <f t="shared" si="93"/>
        <v>0</v>
      </c>
      <c r="T155" s="57">
        <f t="shared" si="93"/>
        <v>0</v>
      </c>
      <c r="U155" s="57">
        <f t="shared" si="94"/>
        <v>6.5623871103208525E-2</v>
      </c>
      <c r="V155" s="58">
        <f t="shared" si="94"/>
        <v>1.0211858462365192E-3</v>
      </c>
    </row>
    <row r="156" spans="1:22">
      <c r="A156" s="135">
        <v>136</v>
      </c>
      <c r="B156" s="133" t="s">
        <v>192</v>
      </c>
      <c r="C156" s="134" t="s">
        <v>145</v>
      </c>
      <c r="D156" s="29">
        <v>10935579052.82</v>
      </c>
      <c r="E156" s="30">
        <f>(D156/$D$158)</f>
        <v>0.10775126761579538</v>
      </c>
      <c r="F156" s="60">
        <v>46.15</v>
      </c>
      <c r="G156" s="60">
        <v>46.15</v>
      </c>
      <c r="H156" s="32">
        <v>5344</v>
      </c>
      <c r="I156" s="50">
        <v>1.99733688415447E-2</v>
      </c>
      <c r="J156" s="50">
        <v>0.14763478756115875</v>
      </c>
      <c r="K156" s="29">
        <v>10949202974.280001</v>
      </c>
      <c r="L156" s="30">
        <f>(K156/$K$158)</f>
        <v>0.10702916727858464</v>
      </c>
      <c r="M156" s="60">
        <v>46.15</v>
      </c>
      <c r="N156" s="60">
        <v>46.15</v>
      </c>
      <c r="O156" s="32">
        <v>5344</v>
      </c>
      <c r="P156" s="50">
        <v>2.1138482023968175E-2</v>
      </c>
      <c r="Q156" s="50">
        <v>0.14537747305569521</v>
      </c>
      <c r="R156" s="57">
        <f t="shared" si="92"/>
        <v>1.2458344815757826E-3</v>
      </c>
      <c r="S156" s="57">
        <f t="shared" si="93"/>
        <v>0</v>
      </c>
      <c r="T156" s="57">
        <f t="shared" si="93"/>
        <v>0</v>
      </c>
      <c r="U156" s="57">
        <f t="shared" si="94"/>
        <v>1.1651131824234745E-3</v>
      </c>
      <c r="V156" s="58">
        <f t="shared" si="94"/>
        <v>-2.2573145054635424E-3</v>
      </c>
    </row>
    <row r="157" spans="1:22">
      <c r="A157" s="135">
        <v>137</v>
      </c>
      <c r="B157" s="133" t="s">
        <v>193</v>
      </c>
      <c r="C157" s="134" t="s">
        <v>49</v>
      </c>
      <c r="D157" s="29">
        <v>31155830920.68</v>
      </c>
      <c r="E157" s="30">
        <f>(D157/$D$158)</f>
        <v>0.3069869696987797</v>
      </c>
      <c r="F157" s="60">
        <v>5.9</v>
      </c>
      <c r="G157" s="60">
        <v>5.9</v>
      </c>
      <c r="H157" s="32">
        <v>208195</v>
      </c>
      <c r="I157" s="50">
        <v>0</v>
      </c>
      <c r="J157" s="50">
        <v>0.18</v>
      </c>
      <c r="K157" s="29">
        <v>31945786454.400002</v>
      </c>
      <c r="L157" s="30">
        <f>(K157/$K$158)</f>
        <v>0.31227212887600675</v>
      </c>
      <c r="M157" s="60">
        <v>6.05</v>
      </c>
      <c r="N157" s="60">
        <v>6.05</v>
      </c>
      <c r="O157" s="32">
        <v>208195</v>
      </c>
      <c r="P157" s="50">
        <v>2.5399999999999999E-2</v>
      </c>
      <c r="Q157" s="50">
        <v>0.21</v>
      </c>
      <c r="R157" s="57">
        <f t="shared" si="92"/>
        <v>2.5354982049143816E-2</v>
      </c>
      <c r="S157" s="57">
        <f t="shared" si="93"/>
        <v>2.542372881355923E-2</v>
      </c>
      <c r="T157" s="57">
        <f t="shared" si="93"/>
        <v>0</v>
      </c>
      <c r="U157" s="57">
        <f t="shared" si="94"/>
        <v>2.5399999999999999E-2</v>
      </c>
      <c r="V157" s="58">
        <f t="shared" si="94"/>
        <v>0.03</v>
      </c>
    </row>
    <row r="158" spans="1:22">
      <c r="A158" s="36"/>
      <c r="B158" s="73"/>
      <c r="C158" s="38" t="s">
        <v>53</v>
      </c>
      <c r="D158" s="39">
        <f>SUM(D153:D157)</f>
        <v>101489098873.64462</v>
      </c>
      <c r="E158" s="40">
        <f>(D158/$D$222)</f>
        <v>2.0024934647609252E-2</v>
      </c>
      <c r="F158" s="41"/>
      <c r="G158" s="74"/>
      <c r="H158" s="43">
        <f>SUM(H153:H157)</f>
        <v>217442</v>
      </c>
      <c r="I158" s="81"/>
      <c r="J158" s="81"/>
      <c r="K158" s="39">
        <f>SUM(K153:K157)</f>
        <v>102301113357.0766</v>
      </c>
      <c r="L158" s="40">
        <f>(K158/$K$222)</f>
        <v>1.9928095460195021E-2</v>
      </c>
      <c r="M158" s="41"/>
      <c r="N158" s="74"/>
      <c r="O158" s="43">
        <f>SUM(O153:O157)</f>
        <v>217442</v>
      </c>
      <c r="P158" s="81"/>
      <c r="Q158" s="81"/>
      <c r="R158" s="57">
        <f t="shared" si="92"/>
        <v>8.0010020036038153E-3</v>
      </c>
      <c r="S158" s="57" t="e">
        <f t="shared" si="93"/>
        <v>#DIV/0!</v>
      </c>
      <c r="T158" s="57">
        <f t="shared" si="93"/>
        <v>0</v>
      </c>
      <c r="U158" s="57">
        <f t="shared" si="94"/>
        <v>0</v>
      </c>
      <c r="V158" s="58">
        <f t="shared" si="94"/>
        <v>0</v>
      </c>
    </row>
    <row r="159" spans="1:22" ht="5.25" customHeight="1">
      <c r="A159" s="36"/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</row>
    <row r="160" spans="1:22" ht="15" customHeight="1">
      <c r="A160" s="182" t="s">
        <v>194</v>
      </c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</row>
    <row r="161" spans="1:22">
      <c r="A161" s="141">
        <v>138</v>
      </c>
      <c r="B161" s="133" t="s">
        <v>195</v>
      </c>
      <c r="C161" s="134" t="s">
        <v>57</v>
      </c>
      <c r="D161" s="33">
        <v>284918422.32999998</v>
      </c>
      <c r="E161" s="30">
        <f t="shared" ref="E161:E189" si="95">(D161/$D$190)</f>
        <v>4.9479298599772676E-3</v>
      </c>
      <c r="F161" s="33">
        <v>6.03</v>
      </c>
      <c r="G161" s="33">
        <v>6.1120000000000001</v>
      </c>
      <c r="H161" s="34">
        <v>11842</v>
      </c>
      <c r="I161" s="51">
        <v>1.768E-3</v>
      </c>
      <c r="J161" s="51">
        <v>5.5246000000000003E-2</v>
      </c>
      <c r="K161" s="33">
        <v>287871716.45999998</v>
      </c>
      <c r="L161" s="54">
        <f t="shared" ref="L161:L188" si="96">(K161/$K$190)</f>
        <v>4.9118345193529039E-3</v>
      </c>
      <c r="M161" s="33">
        <v>6.1047000000000002</v>
      </c>
      <c r="N161" s="33">
        <v>6.1848999999999998</v>
      </c>
      <c r="O161" s="34">
        <v>11842</v>
      </c>
      <c r="P161" s="51">
        <v>1.3075E-2</v>
      </c>
      <c r="Q161" s="51">
        <v>6.8320000000000006E-2</v>
      </c>
      <c r="R161" s="57">
        <f>((K161-D161)/D161)</f>
        <v>1.0365402510124152E-2</v>
      </c>
      <c r="S161" s="57">
        <f>((N161-G161)/G161)</f>
        <v>1.1927356020942366E-2</v>
      </c>
      <c r="T161" s="57">
        <f>((O161-H161)/H161)</f>
        <v>0</v>
      </c>
      <c r="U161" s="57">
        <f>P161-I161</f>
        <v>1.1306999999999999E-2</v>
      </c>
      <c r="V161" s="58">
        <f>Q161-J161</f>
        <v>1.3074000000000002E-2</v>
      </c>
    </row>
    <row r="162" spans="1:22">
      <c r="A162" s="141">
        <v>139</v>
      </c>
      <c r="B162" s="133" t="s">
        <v>196</v>
      </c>
      <c r="C162" s="133" t="s">
        <v>197</v>
      </c>
      <c r="D162" s="33">
        <v>682140209.8588711</v>
      </c>
      <c r="E162" s="30">
        <f t="shared" si="95"/>
        <v>1.1846134361724929E-2</v>
      </c>
      <c r="F162" s="33">
        <v>1565.105536460577</v>
      </c>
      <c r="G162" s="33">
        <v>1583.6340883944815</v>
      </c>
      <c r="H162" s="34">
        <v>161</v>
      </c>
      <c r="I162" s="51">
        <v>-1.9956729061375349E-2</v>
      </c>
      <c r="J162" s="51">
        <v>0.3990676683923029</v>
      </c>
      <c r="K162" s="33">
        <v>693597087.57939386</v>
      </c>
      <c r="L162" s="54">
        <f t="shared" si="96"/>
        <v>1.1834556583708316E-2</v>
      </c>
      <c r="M162" s="33">
        <v>1593.4477954709196</v>
      </c>
      <c r="N162" s="33">
        <v>1613.2743575171367</v>
      </c>
      <c r="O162" s="34">
        <v>160</v>
      </c>
      <c r="P162" s="51">
        <v>1.8478268119720101E-2</v>
      </c>
      <c r="Q162" s="51">
        <v>0.42492001588648753</v>
      </c>
      <c r="R162" s="57">
        <f>((K162-D162)/D162)</f>
        <v>1.6795488016888918E-2</v>
      </c>
      <c r="S162" s="57">
        <f>((N162-G162)/G162)</f>
        <v>1.8716614740659564E-2</v>
      </c>
      <c r="T162" s="57">
        <f>((O162-H162)/H162)</f>
        <v>-6.2111801242236021E-3</v>
      </c>
      <c r="U162" s="57">
        <f>P162-I162</f>
        <v>3.843499718109545E-2</v>
      </c>
      <c r="V162" s="58">
        <f>Q162-J162</f>
        <v>2.5852347494184635E-2</v>
      </c>
    </row>
    <row r="163" spans="1:22">
      <c r="A163" s="141">
        <v>140</v>
      </c>
      <c r="B163" s="133" t="s">
        <v>198</v>
      </c>
      <c r="C163" s="134" t="s">
        <v>23</v>
      </c>
      <c r="D163" s="33">
        <v>7038551836.2299995</v>
      </c>
      <c r="E163" s="30">
        <f t="shared" si="95"/>
        <v>0.12223239380830052</v>
      </c>
      <c r="F163" s="33">
        <v>823.5394</v>
      </c>
      <c r="G163" s="33">
        <v>848.36969999999997</v>
      </c>
      <c r="H163" s="34">
        <v>21432</v>
      </c>
      <c r="I163" s="51">
        <v>0.75819999999999999</v>
      </c>
      <c r="J163" s="51">
        <v>0.12180000000000001</v>
      </c>
      <c r="K163" s="33">
        <v>7006786439.4899998</v>
      </c>
      <c r="L163" s="54">
        <f t="shared" si="96"/>
        <v>0.11955386213846043</v>
      </c>
      <c r="M163" s="33">
        <v>820.63530000000003</v>
      </c>
      <c r="N163" s="33">
        <v>845.37810000000002</v>
      </c>
      <c r="O163" s="34">
        <v>21441</v>
      </c>
      <c r="P163" s="51">
        <v>0.50770000000000004</v>
      </c>
      <c r="Q163" s="51">
        <v>0.1028</v>
      </c>
      <c r="R163" s="57">
        <f t="shared" ref="R163:R189" si="97">((K163-D163)/D163)</f>
        <v>-4.5130585778301244E-3</v>
      </c>
      <c r="S163" s="57">
        <f t="shared" ref="S163:T189" si="98">((N163-G163)/G163)</f>
        <v>-3.526292841434517E-3</v>
      </c>
      <c r="T163" s="57">
        <f t="shared" si="98"/>
        <v>4.1993281075027993E-4</v>
      </c>
      <c r="U163" s="57">
        <f t="shared" ref="U163:V189" si="99">P163-I163</f>
        <v>-0.25049999999999994</v>
      </c>
      <c r="V163" s="58">
        <f t="shared" si="99"/>
        <v>-1.9000000000000003E-2</v>
      </c>
    </row>
    <row r="164" spans="1:22">
      <c r="A164" s="141">
        <v>141</v>
      </c>
      <c r="B164" s="133" t="s">
        <v>199</v>
      </c>
      <c r="C164" s="134" t="s">
        <v>112</v>
      </c>
      <c r="D164" s="33">
        <v>3908098833.4699998</v>
      </c>
      <c r="E164" s="30">
        <f t="shared" si="95"/>
        <v>6.7868545514659359E-2</v>
      </c>
      <c r="F164" s="33">
        <v>23.801600000000001</v>
      </c>
      <c r="G164" s="33">
        <v>24.0976</v>
      </c>
      <c r="H164" s="32">
        <v>6151</v>
      </c>
      <c r="I164" s="50">
        <v>-1.6500000000000001E-2</v>
      </c>
      <c r="J164" s="50">
        <v>0.11940000000000001</v>
      </c>
      <c r="K164" s="33">
        <v>3972475892.9400001</v>
      </c>
      <c r="L164" s="54">
        <f t="shared" si="96"/>
        <v>6.7780692240917567E-2</v>
      </c>
      <c r="M164" s="33">
        <v>23.743099999999998</v>
      </c>
      <c r="N164" s="33">
        <v>24.037700000000001</v>
      </c>
      <c r="O164" s="32">
        <v>6151</v>
      </c>
      <c r="P164" s="50">
        <v>2.2499999999999999E-2</v>
      </c>
      <c r="Q164" s="50">
        <v>0.1167</v>
      </c>
      <c r="R164" s="57">
        <f t="shared" si="97"/>
        <v>1.64727306583595E-2</v>
      </c>
      <c r="S164" s="57">
        <f t="shared" si="98"/>
        <v>-2.4857247194740952E-3</v>
      </c>
      <c r="T164" s="57">
        <f t="shared" si="98"/>
        <v>0</v>
      </c>
      <c r="U164" s="57">
        <f t="shared" si="99"/>
        <v>3.9E-2</v>
      </c>
      <c r="V164" s="58">
        <f t="shared" si="99"/>
        <v>-2.7000000000000079E-3</v>
      </c>
    </row>
    <row r="165" spans="1:22">
      <c r="A165" s="141">
        <v>142</v>
      </c>
      <c r="B165" s="133" t="s">
        <v>200</v>
      </c>
      <c r="C165" s="134" t="s">
        <v>121</v>
      </c>
      <c r="D165" s="29">
        <v>2000148416.5876465</v>
      </c>
      <c r="E165" s="30">
        <f t="shared" si="95"/>
        <v>3.4734833900483181E-2</v>
      </c>
      <c r="F165" s="33">
        <v>4.7742154409798756</v>
      </c>
      <c r="G165" s="33">
        <v>4.8803123296176771</v>
      </c>
      <c r="H165" s="32">
        <v>2740</v>
      </c>
      <c r="I165" s="50">
        <v>0.36699999999999999</v>
      </c>
      <c r="J165" s="50">
        <v>0.15759999999999999</v>
      </c>
      <c r="K165" s="29">
        <v>2070942821.7926884</v>
      </c>
      <c r="L165" s="54">
        <f t="shared" si="96"/>
        <v>3.5335629928412444E-2</v>
      </c>
      <c r="M165" s="33">
        <v>4.9416000000000002</v>
      </c>
      <c r="N165" s="33">
        <v>5.0545999999999998</v>
      </c>
      <c r="O165" s="32">
        <v>2740</v>
      </c>
      <c r="P165" s="50">
        <v>1.8621000000000001</v>
      </c>
      <c r="Q165" s="50">
        <v>0.26519999999999999</v>
      </c>
      <c r="R165" s="57">
        <f t="shared" si="97"/>
        <v>3.5394576031423056E-2</v>
      </c>
      <c r="S165" s="57">
        <f t="shared" si="98"/>
        <v>3.5712400889714425E-2</v>
      </c>
      <c r="T165" s="57">
        <f t="shared" si="98"/>
        <v>0</v>
      </c>
      <c r="U165" s="57">
        <f t="shared" si="99"/>
        <v>1.4951000000000001</v>
      </c>
      <c r="V165" s="58">
        <f t="shared" si="99"/>
        <v>0.1076</v>
      </c>
    </row>
    <row r="166" spans="1:22">
      <c r="A166" s="141">
        <v>143</v>
      </c>
      <c r="B166" s="133" t="s">
        <v>312</v>
      </c>
      <c r="C166" s="134" t="s">
        <v>27</v>
      </c>
      <c r="D166" s="29">
        <v>751660030.58000004</v>
      </c>
      <c r="E166" s="30">
        <f t="shared" si="95"/>
        <v>1.305342448355473E-2</v>
      </c>
      <c r="F166" s="33">
        <v>1.0092000000000001</v>
      </c>
      <c r="G166" s="33">
        <v>1.0092000000000001</v>
      </c>
      <c r="H166" s="32">
        <v>192</v>
      </c>
      <c r="I166" s="50">
        <v>4.7999999999999996E-3</v>
      </c>
      <c r="J166" s="50">
        <v>9.1999999999999998E-3</v>
      </c>
      <c r="K166" s="29">
        <v>767369334.85000002</v>
      </c>
      <c r="L166" s="54">
        <f t="shared" si="96"/>
        <v>1.3093301538474829E-2</v>
      </c>
      <c r="M166" s="33">
        <v>1.0123</v>
      </c>
      <c r="N166" s="33">
        <v>1.0123</v>
      </c>
      <c r="O166" s="32">
        <v>192</v>
      </c>
      <c r="P166" s="50">
        <v>7.9000000000000008E-3</v>
      </c>
      <c r="Q166" s="50">
        <v>1.23E-2</v>
      </c>
      <c r="R166" s="57">
        <f t="shared" ref="R166" si="100">((K166-D166)/D166)</f>
        <v>2.0899480657336909E-2</v>
      </c>
      <c r="S166" s="57">
        <f t="shared" ref="S166" si="101">((N166-G166)/G166)</f>
        <v>3.0717399920728106E-3</v>
      </c>
      <c r="T166" s="57">
        <f t="shared" ref="T166" si="102">((O166-H166)/H166)</f>
        <v>0</v>
      </c>
      <c r="U166" s="57">
        <f t="shared" ref="U166" si="103">P166-I166</f>
        <v>3.1000000000000012E-3</v>
      </c>
      <c r="V166" s="58">
        <f t="shared" ref="V166" si="104">Q166-J166</f>
        <v>3.1000000000000003E-3</v>
      </c>
    </row>
    <row r="167" spans="1:22">
      <c r="A167" s="141">
        <v>144</v>
      </c>
      <c r="B167" s="133" t="s">
        <v>201</v>
      </c>
      <c r="C167" s="134" t="s">
        <v>65</v>
      </c>
      <c r="D167" s="33">
        <v>3782074746.5605302</v>
      </c>
      <c r="E167" s="30">
        <f t="shared" si="95"/>
        <v>6.5679995060124285E-2</v>
      </c>
      <c r="F167" s="33">
        <v>8455.3351037958</v>
      </c>
      <c r="G167" s="33">
        <v>8528.4242242526198</v>
      </c>
      <c r="H167" s="32">
        <v>1003</v>
      </c>
      <c r="I167" s="50">
        <v>-0.75625917246923313</v>
      </c>
      <c r="J167" s="50">
        <v>0.35995231742890477</v>
      </c>
      <c r="K167" s="33">
        <v>3868467646.5439601</v>
      </c>
      <c r="L167" s="54">
        <f t="shared" si="96"/>
        <v>6.6006043097793371E-2</v>
      </c>
      <c r="M167" s="33">
        <v>8647.9922830776195</v>
      </c>
      <c r="N167" s="33">
        <v>8723.6898494789093</v>
      </c>
      <c r="O167" s="32">
        <v>1007</v>
      </c>
      <c r="P167" s="50">
        <v>1.1880896089296307</v>
      </c>
      <c r="Q167" s="50">
        <v>0.41806306000110732</v>
      </c>
      <c r="R167" s="57">
        <f t="shared" si="97"/>
        <v>2.2842726749913334E-2</v>
      </c>
      <c r="S167" s="57">
        <f t="shared" si="98"/>
        <v>2.2895862130193397E-2</v>
      </c>
      <c r="T167" s="57">
        <f t="shared" si="98"/>
        <v>3.9880358923230306E-3</v>
      </c>
      <c r="U167" s="57">
        <f t="shared" si="99"/>
        <v>1.9443487813988638</v>
      </c>
      <c r="V167" s="58">
        <f t="shared" si="99"/>
        <v>5.8110742572202556E-2</v>
      </c>
    </row>
    <row r="168" spans="1:22">
      <c r="A168" s="141">
        <v>145</v>
      </c>
      <c r="B168" s="133" t="s">
        <v>202</v>
      </c>
      <c r="C168" s="134" t="s">
        <v>67</v>
      </c>
      <c r="D168" s="33">
        <v>868863079.75999999</v>
      </c>
      <c r="E168" s="30">
        <f t="shared" si="95"/>
        <v>1.5088787665674404E-2</v>
      </c>
      <c r="F168" s="33">
        <v>210.56</v>
      </c>
      <c r="G168" s="33">
        <v>212.27</v>
      </c>
      <c r="H168" s="32">
        <v>695</v>
      </c>
      <c r="I168" s="50">
        <v>-2.7400000000000001E-2</v>
      </c>
      <c r="J168" s="50">
        <v>3.0800000000000001E-2</v>
      </c>
      <c r="K168" s="33">
        <v>897345492.66999996</v>
      </c>
      <c r="L168" s="54">
        <f t="shared" si="96"/>
        <v>1.5311030277247419E-2</v>
      </c>
      <c r="M168" s="33">
        <v>214.4</v>
      </c>
      <c r="N168" s="33">
        <v>216.17</v>
      </c>
      <c r="O168" s="32">
        <v>695</v>
      </c>
      <c r="P168" s="50">
        <v>1.83E-2</v>
      </c>
      <c r="Q168" s="50">
        <v>4.9599999999999998E-2</v>
      </c>
      <c r="R168" s="57">
        <f t="shared" si="97"/>
        <v>3.2781244333534652E-2</v>
      </c>
      <c r="S168" s="57">
        <f t="shared" si="98"/>
        <v>1.8372827059876463E-2</v>
      </c>
      <c r="T168" s="57">
        <f t="shared" si="98"/>
        <v>0</v>
      </c>
      <c r="U168" s="57">
        <f t="shared" si="99"/>
        <v>4.5700000000000005E-2</v>
      </c>
      <c r="V168" s="58">
        <f t="shared" si="99"/>
        <v>1.8799999999999997E-2</v>
      </c>
    </row>
    <row r="169" spans="1:22">
      <c r="A169" s="141">
        <v>146</v>
      </c>
      <c r="B169" s="133" t="s">
        <v>203</v>
      </c>
      <c r="C169" s="134" t="s">
        <v>69</v>
      </c>
      <c r="D169" s="33">
        <v>3734808.11</v>
      </c>
      <c r="E169" s="30">
        <f t="shared" si="95"/>
        <v>6.4859156588164537E-5</v>
      </c>
      <c r="F169" s="33">
        <v>102.747</v>
      </c>
      <c r="G169" s="33">
        <v>102.99</v>
      </c>
      <c r="H169" s="32">
        <v>0</v>
      </c>
      <c r="I169" s="50">
        <v>0</v>
      </c>
      <c r="J169" s="50">
        <v>0</v>
      </c>
      <c r="K169" s="33">
        <v>3734808.11</v>
      </c>
      <c r="L169" s="54">
        <f t="shared" si="96"/>
        <v>6.372546641068227E-5</v>
      </c>
      <c r="M169" s="33">
        <v>102.747</v>
      </c>
      <c r="N169" s="33">
        <v>102.99</v>
      </c>
      <c r="O169" s="32">
        <v>0</v>
      </c>
      <c r="P169" s="50">
        <v>0</v>
      </c>
      <c r="Q169" s="50">
        <v>0</v>
      </c>
      <c r="R169" s="57">
        <f t="shared" si="97"/>
        <v>0</v>
      </c>
      <c r="S169" s="57">
        <f t="shared" si="98"/>
        <v>0</v>
      </c>
      <c r="T169" s="57" t="e">
        <f t="shared" si="98"/>
        <v>#DIV/0!</v>
      </c>
      <c r="U169" s="57">
        <f t="shared" si="99"/>
        <v>0</v>
      </c>
      <c r="V169" s="58">
        <f t="shared" si="99"/>
        <v>0</v>
      </c>
    </row>
    <row r="170" spans="1:22">
      <c r="A170" s="141">
        <v>147</v>
      </c>
      <c r="B170" s="133" t="s">
        <v>204</v>
      </c>
      <c r="C170" s="134" t="s">
        <v>126</v>
      </c>
      <c r="D170" s="33">
        <v>237341286.19999999</v>
      </c>
      <c r="E170" s="30">
        <f t="shared" si="95"/>
        <v>4.1216992126757949E-3</v>
      </c>
      <c r="F170" s="33">
        <v>1.5650999999999999</v>
      </c>
      <c r="G170" s="33">
        <v>1.5803</v>
      </c>
      <c r="H170" s="32">
        <v>400</v>
      </c>
      <c r="I170" s="50">
        <v>-1.0807736063708884E-2</v>
      </c>
      <c r="J170" s="50">
        <v>6.9130405082314272E-2</v>
      </c>
      <c r="K170" s="33">
        <v>242432149.08000001</v>
      </c>
      <c r="L170" s="54">
        <f t="shared" si="96"/>
        <v>4.1365182140688499E-3</v>
      </c>
      <c r="M170" s="33">
        <v>1.5976999999999999</v>
      </c>
      <c r="N170" s="33">
        <v>1.6134999999999999</v>
      </c>
      <c r="O170" s="32">
        <v>400</v>
      </c>
      <c r="P170" s="50">
        <v>2.0829339978276185E-2</v>
      </c>
      <c r="Q170" s="50">
        <v>9.1399685770885863E-2</v>
      </c>
      <c r="R170" s="57">
        <f t="shared" si="97"/>
        <v>2.1449546185193066E-2</v>
      </c>
      <c r="S170" s="57">
        <f t="shared" si="98"/>
        <v>2.1008669240017652E-2</v>
      </c>
      <c r="T170" s="57">
        <f t="shared" si="98"/>
        <v>0</v>
      </c>
      <c r="U170" s="57">
        <f t="shared" si="99"/>
        <v>3.1637076041985068E-2</v>
      </c>
      <c r="V170" s="58">
        <f t="shared" si="99"/>
        <v>2.2269280688571591E-2</v>
      </c>
    </row>
    <row r="171" spans="1:22">
      <c r="A171" s="141">
        <v>148</v>
      </c>
      <c r="B171" s="133" t="s">
        <v>205</v>
      </c>
      <c r="C171" s="134" t="s">
        <v>29</v>
      </c>
      <c r="D171" s="44">
        <v>128654873.52</v>
      </c>
      <c r="E171" s="30">
        <f t="shared" si="95"/>
        <v>2.2342370321842809E-3</v>
      </c>
      <c r="F171" s="33">
        <v>154.6823</v>
      </c>
      <c r="G171" s="33">
        <v>155.5172</v>
      </c>
      <c r="H171" s="32">
        <v>110</v>
      </c>
      <c r="I171" s="50">
        <v>-5.6300000000000002E-4</v>
      </c>
      <c r="J171" s="50">
        <v>2.5499999999999998E-2</v>
      </c>
      <c r="K171" s="44">
        <v>129048558.01000001</v>
      </c>
      <c r="L171" s="54">
        <f t="shared" si="96"/>
        <v>2.2019014917511351E-3</v>
      </c>
      <c r="M171" s="33">
        <v>155.10759999999999</v>
      </c>
      <c r="N171" s="33">
        <v>155.9451</v>
      </c>
      <c r="O171" s="32">
        <v>110</v>
      </c>
      <c r="P171" s="50">
        <v>2.5929999999999998E-3</v>
      </c>
      <c r="Q171" s="50">
        <v>2.6100000000000002E-2</v>
      </c>
      <c r="R171" s="57">
        <f t="shared" si="97"/>
        <v>3.0600044850909551E-3</v>
      </c>
      <c r="S171" s="57">
        <f t="shared" si="98"/>
        <v>2.7514641467309979E-3</v>
      </c>
      <c r="T171" s="57">
        <f t="shared" si="98"/>
        <v>0</v>
      </c>
      <c r="U171" s="57">
        <f t="shared" si="99"/>
        <v>3.156E-3</v>
      </c>
      <c r="V171" s="58">
        <f t="shared" si="99"/>
        <v>6.0000000000000331E-4</v>
      </c>
    </row>
    <row r="172" spans="1:22">
      <c r="A172" s="141">
        <v>149</v>
      </c>
      <c r="B172" s="133" t="s">
        <v>206</v>
      </c>
      <c r="C172" s="134" t="s">
        <v>72</v>
      </c>
      <c r="D172" s="44">
        <v>252147211.27000001</v>
      </c>
      <c r="E172" s="30">
        <f t="shared" si="95"/>
        <v>4.3788208061457641E-3</v>
      </c>
      <c r="F172" s="33">
        <v>127.53</v>
      </c>
      <c r="G172" s="33">
        <v>128.07</v>
      </c>
      <c r="H172" s="32">
        <v>34</v>
      </c>
      <c r="I172" s="50">
        <v>-1.1299999999999999E-2</v>
      </c>
      <c r="J172" s="50">
        <v>7.51E-2</v>
      </c>
      <c r="K172" s="44">
        <v>256255070.24000001</v>
      </c>
      <c r="L172" s="54">
        <f t="shared" si="96"/>
        <v>4.3723729279216287E-3</v>
      </c>
      <c r="M172" s="33">
        <v>129.65</v>
      </c>
      <c r="N172" s="33">
        <v>129.03</v>
      </c>
      <c r="O172" s="32">
        <v>34</v>
      </c>
      <c r="P172" s="50">
        <v>1.2999999999999999E-2</v>
      </c>
      <c r="Q172" s="50">
        <v>8.8099999999999998E-2</v>
      </c>
      <c r="R172" s="57">
        <f t="shared" si="97"/>
        <v>1.6291510619172746E-2</v>
      </c>
      <c r="S172" s="57">
        <f t="shared" si="98"/>
        <v>7.4959006793160615E-3</v>
      </c>
      <c r="T172" s="57">
        <f t="shared" si="98"/>
        <v>0</v>
      </c>
      <c r="U172" s="57">
        <f t="shared" si="99"/>
        <v>2.4299999999999999E-2</v>
      </c>
      <c r="V172" s="58">
        <f t="shared" si="99"/>
        <v>1.2999999999999998E-2</v>
      </c>
    </row>
    <row r="173" spans="1:22" ht="15.75" customHeight="1">
      <c r="A173" s="141">
        <v>150</v>
      </c>
      <c r="B173" s="133" t="s">
        <v>207</v>
      </c>
      <c r="C173" s="134" t="s">
        <v>75</v>
      </c>
      <c r="D173" s="29">
        <v>333638240.35000002</v>
      </c>
      <c r="E173" s="30">
        <f t="shared" si="95"/>
        <v>5.7940044675174295E-3</v>
      </c>
      <c r="F173" s="33">
        <v>1.3391999999999999</v>
      </c>
      <c r="G173" s="33">
        <v>1.3533999999999999</v>
      </c>
      <c r="H173" s="32">
        <v>99</v>
      </c>
      <c r="I173" s="50">
        <v>2.8E-3</v>
      </c>
      <c r="J173" s="50">
        <v>5.0799999999999998E-2</v>
      </c>
      <c r="K173" s="29">
        <v>341675808.57999998</v>
      </c>
      <c r="L173" s="54">
        <f t="shared" si="96"/>
        <v>5.8298712066916581E-3</v>
      </c>
      <c r="M173" s="33">
        <v>1.3714999999999999</v>
      </c>
      <c r="N173" s="33">
        <v>1.3863000000000001</v>
      </c>
      <c r="O173" s="32">
        <v>99</v>
      </c>
      <c r="P173" s="50">
        <v>2.3400000000000001E-2</v>
      </c>
      <c r="Q173" s="50">
        <v>7.6100000000000001E-2</v>
      </c>
      <c r="R173" s="57">
        <f t="shared" si="97"/>
        <v>2.40906684484615E-2</v>
      </c>
      <c r="S173" s="57">
        <f t="shared" si="98"/>
        <v>2.4309147332643825E-2</v>
      </c>
      <c r="T173" s="57">
        <f t="shared" si="98"/>
        <v>0</v>
      </c>
      <c r="U173" s="57">
        <f t="shared" si="99"/>
        <v>2.06E-2</v>
      </c>
      <c r="V173" s="58">
        <f t="shared" si="99"/>
        <v>2.5300000000000003E-2</v>
      </c>
    </row>
    <row r="174" spans="1:22">
      <c r="A174" s="141">
        <v>151</v>
      </c>
      <c r="B174" s="133" t="s">
        <v>208</v>
      </c>
      <c r="C174" s="134" t="s">
        <v>31</v>
      </c>
      <c r="D174" s="33">
        <v>9990105949.9300003</v>
      </c>
      <c r="E174" s="30">
        <f t="shared" si="95"/>
        <v>0.17348946105262264</v>
      </c>
      <c r="F174" s="33">
        <v>344.65</v>
      </c>
      <c r="G174" s="33">
        <v>347.43</v>
      </c>
      <c r="H174" s="32">
        <v>5483</v>
      </c>
      <c r="I174" s="50">
        <v>2.9999999999999997E-4</v>
      </c>
      <c r="J174" s="50">
        <v>6.3299999999999995E-2</v>
      </c>
      <c r="K174" s="33">
        <v>10180945018.450001</v>
      </c>
      <c r="L174" s="54">
        <f t="shared" si="96"/>
        <v>0.17371320043594915</v>
      </c>
      <c r="M174" s="33">
        <v>351.04</v>
      </c>
      <c r="N174" s="33">
        <v>353.95</v>
      </c>
      <c r="O174" s="32">
        <v>5485</v>
      </c>
      <c r="P174" s="50">
        <v>1.84E-2</v>
      </c>
      <c r="Q174" s="50">
        <v>8.3099999999999993E-2</v>
      </c>
      <c r="R174" s="57">
        <f t="shared" si="97"/>
        <v>1.9102807265155945E-2</v>
      </c>
      <c r="S174" s="57">
        <f t="shared" si="98"/>
        <v>1.8766370204069831E-2</v>
      </c>
      <c r="T174" s="57">
        <f t="shared" si="98"/>
        <v>3.6476381542950939E-4</v>
      </c>
      <c r="U174" s="57">
        <f t="shared" si="99"/>
        <v>1.8099999999999998E-2</v>
      </c>
      <c r="V174" s="58">
        <f t="shared" si="99"/>
        <v>1.9799999999999998E-2</v>
      </c>
    </row>
    <row r="175" spans="1:22">
      <c r="A175" s="141">
        <v>152</v>
      </c>
      <c r="B175" s="133" t="s">
        <v>209</v>
      </c>
      <c r="C175" s="134" t="s">
        <v>80</v>
      </c>
      <c r="D175" s="33">
        <v>3523066588.3099999</v>
      </c>
      <c r="E175" s="30">
        <f t="shared" si="95"/>
        <v>6.1182026168870265E-2</v>
      </c>
      <c r="F175" s="33">
        <v>2.4659</v>
      </c>
      <c r="G175" s="33">
        <v>2.5085000000000002</v>
      </c>
      <c r="H175" s="32">
        <v>10305</v>
      </c>
      <c r="I175" s="50">
        <v>-1.83E-2</v>
      </c>
      <c r="J175" s="50">
        <v>6.3399999999999998E-2</v>
      </c>
      <c r="K175" s="33">
        <v>3572808094.5700002</v>
      </c>
      <c r="L175" s="54">
        <f t="shared" si="96"/>
        <v>6.0961328003096324E-2</v>
      </c>
      <c r="M175" s="33">
        <v>2.5011999999999999</v>
      </c>
      <c r="N175" s="33">
        <v>2.5449000000000002</v>
      </c>
      <c r="O175" s="32">
        <v>10304</v>
      </c>
      <c r="P175" s="50">
        <v>1.44E-2</v>
      </c>
      <c r="Q175" s="50">
        <v>7.8700000000000006E-2</v>
      </c>
      <c r="R175" s="57">
        <f t="shared" si="97"/>
        <v>1.4118809569211412E-2</v>
      </c>
      <c r="S175" s="57">
        <f t="shared" si="98"/>
        <v>1.4510663743272867E-2</v>
      </c>
      <c r="T175" s="57">
        <f t="shared" si="98"/>
        <v>-9.704027171276079E-5</v>
      </c>
      <c r="U175" s="57">
        <f t="shared" si="99"/>
        <v>3.27E-2</v>
      </c>
      <c r="V175" s="58">
        <f t="shared" si="99"/>
        <v>1.5300000000000008E-2</v>
      </c>
    </row>
    <row r="176" spans="1:22">
      <c r="A176" s="141">
        <v>153</v>
      </c>
      <c r="B176" s="133" t="s">
        <v>210</v>
      </c>
      <c r="C176" s="134" t="s">
        <v>82</v>
      </c>
      <c r="D176" s="33">
        <v>252791752.56</v>
      </c>
      <c r="E176" s="30">
        <f t="shared" si="95"/>
        <v>4.3900139928435529E-3</v>
      </c>
      <c r="F176" s="33">
        <v>328.77409999999998</v>
      </c>
      <c r="G176" s="33">
        <v>330.82709999999997</v>
      </c>
      <c r="H176" s="32">
        <v>32</v>
      </c>
      <c r="I176" s="50">
        <v>-1.9930543134800027E-2</v>
      </c>
      <c r="J176" s="50">
        <v>-1.755834453907068E-2</v>
      </c>
      <c r="K176" s="33">
        <v>258045393.40000001</v>
      </c>
      <c r="L176" s="54">
        <f t="shared" si="96"/>
        <v>4.4029204621018649E-3</v>
      </c>
      <c r="M176" s="33">
        <v>335.61</v>
      </c>
      <c r="N176" s="33">
        <v>337.76</v>
      </c>
      <c r="O176" s="32">
        <v>32</v>
      </c>
      <c r="P176" s="50">
        <v>2.0799999999999999E-2</v>
      </c>
      <c r="Q176" s="50">
        <v>2.8999999999999998E-3</v>
      </c>
      <c r="R176" s="57">
        <f t="shared" si="97"/>
        <v>2.0782485135677257E-2</v>
      </c>
      <c r="S176" s="57">
        <f t="shared" si="98"/>
        <v>2.095626386109245E-2</v>
      </c>
      <c r="T176" s="57">
        <f t="shared" si="98"/>
        <v>0</v>
      </c>
      <c r="U176" s="57">
        <f t="shared" si="99"/>
        <v>4.0730543134800026E-2</v>
      </c>
      <c r="V176" s="58">
        <f t="shared" si="99"/>
        <v>2.045834453907068E-2</v>
      </c>
    </row>
    <row r="177" spans="1:22">
      <c r="A177" s="141">
        <v>154</v>
      </c>
      <c r="B177" s="133" t="s">
        <v>211</v>
      </c>
      <c r="C177" s="133" t="s">
        <v>84</v>
      </c>
      <c r="D177" s="136">
        <v>58523725.220696792</v>
      </c>
      <c r="E177" s="30">
        <f t="shared" si="95"/>
        <v>1.0163305172355662E-3</v>
      </c>
      <c r="F177" s="33">
        <v>1.1396994585251783</v>
      </c>
      <c r="G177" s="33">
        <v>1.1509316844126096</v>
      </c>
      <c r="H177" s="32">
        <v>32</v>
      </c>
      <c r="I177" s="50">
        <v>-3.3239585726004163E-4</v>
      </c>
      <c r="J177" s="50">
        <v>-4.2172501534539629E-2</v>
      </c>
      <c r="K177" s="136">
        <v>59415437.333417058</v>
      </c>
      <c r="L177" s="54">
        <f t="shared" si="96"/>
        <v>1.0137807203344285E-3</v>
      </c>
      <c r="M177" s="33">
        <v>1.1566510898782092</v>
      </c>
      <c r="N177" s="33">
        <v>1.1684681573564291</v>
      </c>
      <c r="O177" s="32">
        <v>32</v>
      </c>
      <c r="P177" s="50">
        <v>1.5236762686543984E-2</v>
      </c>
      <c r="Q177" s="50">
        <v>-2.7578311245775339E-2</v>
      </c>
      <c r="R177" s="57">
        <f t="shared" si="97"/>
        <v>1.5236762686543984E-2</v>
      </c>
      <c r="S177" s="57">
        <f t="shared" si="98"/>
        <v>1.5236762686544131E-2</v>
      </c>
      <c r="T177" s="57">
        <f t="shared" si="98"/>
        <v>0</v>
      </c>
      <c r="U177" s="57">
        <f t="shared" si="99"/>
        <v>1.5569158543804026E-2</v>
      </c>
      <c r="V177" s="58">
        <f t="shared" si="99"/>
        <v>1.459419028876429E-2</v>
      </c>
    </row>
    <row r="178" spans="1:22" ht="13.5" customHeight="1">
      <c r="A178" s="141">
        <v>155</v>
      </c>
      <c r="B178" s="133" t="s">
        <v>212</v>
      </c>
      <c r="C178" s="134" t="s">
        <v>37</v>
      </c>
      <c r="D178" s="29">
        <v>3180874893.1999998</v>
      </c>
      <c r="E178" s="30">
        <f t="shared" si="95"/>
        <v>5.5239481309099954E-2</v>
      </c>
      <c r="F178" s="33">
        <v>4.484451</v>
      </c>
      <c r="G178" s="33">
        <v>4.484451</v>
      </c>
      <c r="H178" s="32">
        <v>2376</v>
      </c>
      <c r="I178" s="50">
        <v>-3.9976134545673281E-2</v>
      </c>
      <c r="J178" s="50">
        <v>5.7831672597696837E-2</v>
      </c>
      <c r="K178" s="29">
        <v>3254661310.29</v>
      </c>
      <c r="L178" s="54">
        <f t="shared" si="96"/>
        <v>5.5532922682614748E-2</v>
      </c>
      <c r="M178" s="33">
        <v>4.5880830000000001</v>
      </c>
      <c r="N178" s="33">
        <v>4.7366979999999996</v>
      </c>
      <c r="O178" s="32">
        <v>2379</v>
      </c>
      <c r="P178" s="50">
        <v>2.3109183264573563E-2</v>
      </c>
      <c r="Q178" s="50">
        <v>8.2277298582827507E-2</v>
      </c>
      <c r="R178" s="57">
        <f t="shared" si="97"/>
        <v>2.3196893800425486E-2</v>
      </c>
      <c r="S178" s="57">
        <f t="shared" si="98"/>
        <v>5.6249248793218985E-2</v>
      </c>
      <c r="T178" s="57">
        <f t="shared" si="98"/>
        <v>1.2626262626262627E-3</v>
      </c>
      <c r="U178" s="57">
        <f t="shared" si="99"/>
        <v>6.3085317810246844E-2</v>
      </c>
      <c r="V178" s="58">
        <f t="shared" si="99"/>
        <v>2.444562598513067E-2</v>
      </c>
    </row>
    <row r="179" spans="1:22" ht="13.5" customHeight="1">
      <c r="A179" s="141">
        <v>156</v>
      </c>
      <c r="B179" s="133" t="s">
        <v>213</v>
      </c>
      <c r="C179" s="134" t="s">
        <v>214</v>
      </c>
      <c r="D179" s="29">
        <v>80475966.219999999</v>
      </c>
      <c r="E179" s="30">
        <f t="shared" si="95"/>
        <v>1.3975559495737573E-3</v>
      </c>
      <c r="F179" s="33">
        <v>2.2599999999999998</v>
      </c>
      <c r="G179" s="33">
        <v>2.27</v>
      </c>
      <c r="H179" s="32">
        <v>86</v>
      </c>
      <c r="I179" s="50">
        <v>-4.0000000000000001E-3</v>
      </c>
      <c r="J179" s="50">
        <v>6.9000000000000006E-2</v>
      </c>
      <c r="K179" s="29">
        <v>81422926.530000001</v>
      </c>
      <c r="L179" s="54">
        <f t="shared" si="96"/>
        <v>1.3892852903885776E-3</v>
      </c>
      <c r="M179" s="33">
        <v>2.2780999999999998</v>
      </c>
      <c r="N179" s="33">
        <v>2.2892999999999999</v>
      </c>
      <c r="O179" s="32">
        <v>87</v>
      </c>
      <c r="P179" s="50">
        <v>9.9000000000000008E-3</v>
      </c>
      <c r="Q179" s="50">
        <v>7.9299999999999995E-2</v>
      </c>
      <c r="R179" s="57">
        <f t="shared" si="97"/>
        <v>1.1766995222042609E-2</v>
      </c>
      <c r="S179" s="57">
        <f t="shared" si="98"/>
        <v>8.5022026431717506E-3</v>
      </c>
      <c r="T179" s="57">
        <f t="shared" si="98"/>
        <v>1.1627906976744186E-2</v>
      </c>
      <c r="U179" s="57">
        <f t="shared" si="99"/>
        <v>1.3900000000000001E-2</v>
      </c>
      <c r="V179" s="58">
        <f t="shared" si="99"/>
        <v>1.029999999999999E-2</v>
      </c>
    </row>
    <row r="180" spans="1:22">
      <c r="A180" s="141">
        <v>157</v>
      </c>
      <c r="B180" s="133" t="s">
        <v>215</v>
      </c>
      <c r="C180" s="134" t="s">
        <v>135</v>
      </c>
      <c r="D180" s="29">
        <v>592391432.01999998</v>
      </c>
      <c r="E180" s="30">
        <f t="shared" si="95"/>
        <v>1.028754557643718E-2</v>
      </c>
      <c r="F180" s="33">
        <v>252.32</v>
      </c>
      <c r="G180" s="33">
        <v>253.4</v>
      </c>
      <c r="H180" s="32">
        <v>145</v>
      </c>
      <c r="I180" s="50">
        <v>1.37E-2</v>
      </c>
      <c r="J180" s="50">
        <v>0.2303</v>
      </c>
      <c r="K180" s="29">
        <v>565049150.70000005</v>
      </c>
      <c r="L180" s="54">
        <f t="shared" si="96"/>
        <v>9.6411969806174044E-3</v>
      </c>
      <c r="M180" s="33">
        <v>240.67</v>
      </c>
      <c r="N180" s="33">
        <v>241.79</v>
      </c>
      <c r="O180" s="32">
        <v>145</v>
      </c>
      <c r="P180" s="50">
        <v>1.37E-2</v>
      </c>
      <c r="Q180" s="50">
        <v>0.2303</v>
      </c>
      <c r="R180" s="57">
        <f t="shared" si="97"/>
        <v>-4.6155767693609753E-2</v>
      </c>
      <c r="S180" s="57">
        <f t="shared" si="98"/>
        <v>-4.581689029202847E-2</v>
      </c>
      <c r="T180" s="57">
        <f t="shared" si="98"/>
        <v>0</v>
      </c>
      <c r="U180" s="57">
        <f t="shared" si="99"/>
        <v>0</v>
      </c>
      <c r="V180" s="58">
        <f t="shared" si="99"/>
        <v>0</v>
      </c>
    </row>
    <row r="181" spans="1:22">
      <c r="A181" s="141">
        <v>158</v>
      </c>
      <c r="B181" s="133" t="s">
        <v>216</v>
      </c>
      <c r="C181" s="134" t="s">
        <v>33</v>
      </c>
      <c r="D181" s="29">
        <v>2150659150.3200002</v>
      </c>
      <c r="E181" s="30">
        <f t="shared" si="95"/>
        <v>3.7348622603899664E-2</v>
      </c>
      <c r="F181" s="33">
        <v>552.22</v>
      </c>
      <c r="G181" s="33">
        <v>552.22</v>
      </c>
      <c r="H181" s="32">
        <v>823</v>
      </c>
      <c r="I181" s="50">
        <v>-2.4649999999999998E-2</v>
      </c>
      <c r="J181" s="50">
        <v>-3.6700000000000001E-3</v>
      </c>
      <c r="K181" s="29">
        <v>2165393708.23</v>
      </c>
      <c r="L181" s="54">
        <f t="shared" si="96"/>
        <v>3.6947205841778463E-2</v>
      </c>
      <c r="M181" s="33">
        <v>552.22</v>
      </c>
      <c r="N181" s="33">
        <v>552.22</v>
      </c>
      <c r="O181" s="32">
        <v>823</v>
      </c>
      <c r="P181" s="50">
        <v>6.8999999999999999E-3</v>
      </c>
      <c r="Q181" s="50">
        <v>-1.3520000000000001E-2</v>
      </c>
      <c r="R181" s="57">
        <f t="shared" si="97"/>
        <v>6.8511823027872492E-3</v>
      </c>
      <c r="S181" s="57">
        <f t="shared" si="98"/>
        <v>0</v>
      </c>
      <c r="T181" s="57">
        <f t="shared" si="98"/>
        <v>0</v>
      </c>
      <c r="U181" s="57">
        <f t="shared" si="99"/>
        <v>3.1549999999999995E-2</v>
      </c>
      <c r="V181" s="58">
        <f t="shared" si="99"/>
        <v>-9.8500000000000011E-3</v>
      </c>
    </row>
    <row r="182" spans="1:22">
      <c r="A182" s="141">
        <v>159</v>
      </c>
      <c r="B182" s="133" t="s">
        <v>217</v>
      </c>
      <c r="C182" s="134" t="s">
        <v>91</v>
      </c>
      <c r="D182" s="33">
        <v>35093697.100000001</v>
      </c>
      <c r="E182" s="30">
        <f t="shared" si="95"/>
        <v>6.0944164423658059E-4</v>
      </c>
      <c r="F182" s="33">
        <v>1.88</v>
      </c>
      <c r="G182" s="33">
        <v>1.88</v>
      </c>
      <c r="H182" s="32">
        <v>9</v>
      </c>
      <c r="I182" s="50">
        <v>-1.6546000000000002E-2</v>
      </c>
      <c r="J182" s="50">
        <v>4.9100000000000001E-4</v>
      </c>
      <c r="K182" s="33">
        <v>35933372.990000002</v>
      </c>
      <c r="L182" s="54">
        <f t="shared" si="96"/>
        <v>6.1311609219376003E-4</v>
      </c>
      <c r="M182" s="33">
        <v>1.92</v>
      </c>
      <c r="N182" s="33">
        <v>1.92</v>
      </c>
      <c r="O182" s="32">
        <v>9</v>
      </c>
      <c r="P182" s="50">
        <v>2.3179000000000002E-2</v>
      </c>
      <c r="Q182" s="50">
        <v>2.3682000000000002E-2</v>
      </c>
      <c r="R182" s="57">
        <f t="shared" si="97"/>
        <v>2.3926686538820116E-2</v>
      </c>
      <c r="S182" s="57">
        <f t="shared" si="98"/>
        <v>2.1276595744680871E-2</v>
      </c>
      <c r="T182" s="57">
        <f t="shared" si="98"/>
        <v>0</v>
      </c>
      <c r="U182" s="57">
        <f t="shared" si="99"/>
        <v>3.9725000000000003E-2</v>
      </c>
      <c r="V182" s="58">
        <f t="shared" si="99"/>
        <v>2.3191000000000003E-2</v>
      </c>
    </row>
    <row r="183" spans="1:22">
      <c r="A183" s="141">
        <v>160</v>
      </c>
      <c r="B183" s="133" t="s">
        <v>218</v>
      </c>
      <c r="C183" s="134" t="s">
        <v>45</v>
      </c>
      <c r="D183" s="33">
        <v>267373672.05000001</v>
      </c>
      <c r="E183" s="30">
        <f t="shared" si="95"/>
        <v>4.6432454766848789E-3</v>
      </c>
      <c r="F183" s="33">
        <v>2.68</v>
      </c>
      <c r="G183" s="33">
        <v>2.75</v>
      </c>
      <c r="H183" s="32">
        <v>121</v>
      </c>
      <c r="I183" s="50">
        <v>-1.23E-2</v>
      </c>
      <c r="J183" s="50">
        <v>2.81E-2</v>
      </c>
      <c r="K183" s="33">
        <v>278552541.36000001</v>
      </c>
      <c r="L183" s="54">
        <f t="shared" si="96"/>
        <v>4.752825338072553E-3</v>
      </c>
      <c r="M183" s="33">
        <v>2.7972709999999998</v>
      </c>
      <c r="N183" s="33">
        <v>2.8622179999999999</v>
      </c>
      <c r="O183" s="32">
        <v>121</v>
      </c>
      <c r="P183" s="50">
        <v>2.9899999999999999E-2</v>
      </c>
      <c r="Q183" s="50">
        <v>7.0999999999999994E-2</v>
      </c>
      <c r="R183" s="57">
        <f t="shared" si="97"/>
        <v>4.1809910543134952E-2</v>
      </c>
      <c r="S183" s="57">
        <f t="shared" si="98"/>
        <v>4.0806545454545429E-2</v>
      </c>
      <c r="T183" s="57">
        <f t="shared" si="98"/>
        <v>0</v>
      </c>
      <c r="U183" s="57">
        <f t="shared" si="99"/>
        <v>4.2200000000000001E-2</v>
      </c>
      <c r="V183" s="58">
        <f t="shared" si="99"/>
        <v>4.2899999999999994E-2</v>
      </c>
    </row>
    <row r="184" spans="1:22">
      <c r="A184" s="141">
        <v>161</v>
      </c>
      <c r="B184" s="133" t="s">
        <v>219</v>
      </c>
      <c r="C184" s="134" t="s">
        <v>49</v>
      </c>
      <c r="D184" s="29">
        <v>2880752397.23</v>
      </c>
      <c r="E184" s="30">
        <f t="shared" si="95"/>
        <v>5.0027515556527735E-2</v>
      </c>
      <c r="F184" s="33">
        <v>6745.19</v>
      </c>
      <c r="G184" s="33">
        <v>6804.84</v>
      </c>
      <c r="H184" s="32">
        <v>2322</v>
      </c>
      <c r="I184" s="50">
        <v>-2.1399999999999999E-2</v>
      </c>
      <c r="J184" s="50">
        <v>5.7200000000000001E-2</v>
      </c>
      <c r="K184" s="29">
        <v>2942290318.5599999</v>
      </c>
      <c r="L184" s="30">
        <f t="shared" si="96"/>
        <v>5.0203067291152183E-2</v>
      </c>
      <c r="M184" s="33">
        <v>7025.84</v>
      </c>
      <c r="N184" s="33">
        <v>7090.5</v>
      </c>
      <c r="O184" s="32">
        <v>2332</v>
      </c>
      <c r="P184" s="50">
        <v>4.2000000000000003E-2</v>
      </c>
      <c r="Q184" s="50">
        <v>0.1016</v>
      </c>
      <c r="R184" s="57">
        <f t="shared" si="97"/>
        <v>2.1361753057698392E-2</v>
      </c>
      <c r="S184" s="57">
        <f t="shared" si="98"/>
        <v>4.1978944398398763E-2</v>
      </c>
      <c r="T184" s="57">
        <f t="shared" si="98"/>
        <v>4.3066322136089581E-3</v>
      </c>
      <c r="U184" s="57">
        <f t="shared" si="99"/>
        <v>6.3399999999999998E-2</v>
      </c>
      <c r="V184" s="58">
        <f t="shared" si="99"/>
        <v>4.4399999999999995E-2</v>
      </c>
    </row>
    <row r="185" spans="1:22">
      <c r="A185" s="141">
        <v>162</v>
      </c>
      <c r="B185" s="133" t="s">
        <v>220</v>
      </c>
      <c r="C185" s="133" t="s">
        <v>101</v>
      </c>
      <c r="D185" s="29">
        <v>109146469.77</v>
      </c>
      <c r="E185" s="30">
        <f t="shared" si="95"/>
        <v>1.895451590913943E-3</v>
      </c>
      <c r="F185" s="33">
        <v>1150.3800000000001</v>
      </c>
      <c r="G185" s="33">
        <v>1165.77</v>
      </c>
      <c r="H185" s="32">
        <v>11</v>
      </c>
      <c r="I185" s="50">
        <v>-5.9982752009168916E-4</v>
      </c>
      <c r="J185" s="50">
        <v>3.8300000000000001E-2</v>
      </c>
      <c r="K185" s="29">
        <v>110478453.28</v>
      </c>
      <c r="L185" s="30">
        <f t="shared" si="96"/>
        <v>1.8850475730595889E-3</v>
      </c>
      <c r="M185" s="33">
        <v>1164.32</v>
      </c>
      <c r="N185" s="33">
        <v>1180.06</v>
      </c>
      <c r="O185" s="32">
        <v>11</v>
      </c>
      <c r="P185" s="50">
        <v>1.1888821091795787E-2</v>
      </c>
      <c r="Q185" s="50">
        <v>5.1299999999999998E-2</v>
      </c>
      <c r="R185" s="57">
        <f t="shared" si="97"/>
        <v>1.2203633455180374E-2</v>
      </c>
      <c r="S185" s="57">
        <f t="shared" si="98"/>
        <v>1.2257992571433443E-2</v>
      </c>
      <c r="T185" s="57">
        <f t="shared" si="98"/>
        <v>0</v>
      </c>
      <c r="U185" s="57">
        <f t="shared" si="99"/>
        <v>1.2488648611887476E-2</v>
      </c>
      <c r="V185" s="58">
        <f t="shared" si="99"/>
        <v>1.2999999999999998E-2</v>
      </c>
    </row>
    <row r="186" spans="1:22">
      <c r="A186" s="141">
        <v>163</v>
      </c>
      <c r="B186" s="133" t="s">
        <v>221</v>
      </c>
      <c r="C186" s="133" t="s">
        <v>84</v>
      </c>
      <c r="D186" s="29">
        <v>750351773.32015681</v>
      </c>
      <c r="E186" s="30">
        <f t="shared" si="95"/>
        <v>1.3030705120210043E-2</v>
      </c>
      <c r="F186" s="33">
        <v>1.4322600797818932</v>
      </c>
      <c r="G186" s="33">
        <v>1.4322600797818932</v>
      </c>
      <c r="H186" s="32">
        <v>44</v>
      </c>
      <c r="I186" s="50">
        <v>2.4846633640544678E-3</v>
      </c>
      <c r="J186" s="50">
        <v>6.4341529184723828E-2</v>
      </c>
      <c r="K186" s="29">
        <v>752403773.23897946</v>
      </c>
      <c r="L186" s="30">
        <f t="shared" si="96"/>
        <v>1.2837950429215273E-2</v>
      </c>
      <c r="M186" s="33">
        <v>1.4359999999999999</v>
      </c>
      <c r="N186" s="33">
        <v>1.4359999999999999</v>
      </c>
      <c r="O186" s="32">
        <v>43</v>
      </c>
      <c r="P186" s="50">
        <v>2.7347172243532606E-3</v>
      </c>
      <c r="Q186" s="50">
        <v>6.7252202297179792E-2</v>
      </c>
      <c r="R186" s="57">
        <f t="shared" si="97"/>
        <v>2.7347172243532606E-3</v>
      </c>
      <c r="S186" s="57">
        <f t="shared" si="98"/>
        <v>2.6112018835826823E-3</v>
      </c>
      <c r="T186" s="57">
        <f t="shared" si="98"/>
        <v>-2.2727272727272728E-2</v>
      </c>
      <c r="U186" s="57">
        <f t="shared" si="99"/>
        <v>2.5005386029879279E-4</v>
      </c>
      <c r="V186" s="58">
        <f t="shared" si="99"/>
        <v>2.9106731124559637E-3</v>
      </c>
    </row>
    <row r="187" spans="1:22">
      <c r="A187" s="141">
        <v>164</v>
      </c>
      <c r="B187" s="133" t="s">
        <v>222</v>
      </c>
      <c r="C187" s="134" t="s">
        <v>52</v>
      </c>
      <c r="D187" s="33">
        <v>2335934749.8699999</v>
      </c>
      <c r="E187" s="30">
        <f t="shared" si="95"/>
        <v>4.0566142425334212E-2</v>
      </c>
      <c r="F187" s="33">
        <v>2.1004999999999998</v>
      </c>
      <c r="G187" s="33">
        <v>2.1145</v>
      </c>
      <c r="H187" s="32">
        <v>2306</v>
      </c>
      <c r="I187" s="50">
        <v>2.0000000000000001E-4</v>
      </c>
      <c r="J187" s="50">
        <v>6.2300000000000001E-2</v>
      </c>
      <c r="K187" s="33">
        <v>2382233238.9099998</v>
      </c>
      <c r="L187" s="54">
        <f t="shared" si="96"/>
        <v>4.0647047927870654E-2</v>
      </c>
      <c r="M187" s="33">
        <v>2.1413000000000002</v>
      </c>
      <c r="N187" s="33">
        <v>2.1558000000000002</v>
      </c>
      <c r="O187" s="32">
        <v>2313</v>
      </c>
      <c r="P187" s="50">
        <v>1.9400000000000001E-2</v>
      </c>
      <c r="Q187" s="50">
        <v>8.2900000000000001E-2</v>
      </c>
      <c r="R187" s="57">
        <f t="shared" si="97"/>
        <v>1.982011228805795E-2</v>
      </c>
      <c r="S187" s="57">
        <f t="shared" si="98"/>
        <v>1.9531804209032923E-2</v>
      </c>
      <c r="T187" s="57">
        <f t="shared" si="98"/>
        <v>3.0355594102341719E-3</v>
      </c>
      <c r="U187" s="57">
        <f t="shared" si="99"/>
        <v>1.9200000000000002E-2</v>
      </c>
      <c r="V187" s="58">
        <f t="shared" si="99"/>
        <v>2.06E-2</v>
      </c>
    </row>
    <row r="188" spans="1:22">
      <c r="A188" s="141">
        <v>165</v>
      </c>
      <c r="B188" s="133" t="s">
        <v>223</v>
      </c>
      <c r="C188" s="134" t="s">
        <v>52</v>
      </c>
      <c r="D188" s="33">
        <v>1338394332.22</v>
      </c>
      <c r="E188" s="30">
        <f t="shared" si="95"/>
        <v>2.3242727608345289E-2</v>
      </c>
      <c r="F188" s="33">
        <v>1.6245000000000001</v>
      </c>
      <c r="G188" s="33">
        <v>1.6338999999999999</v>
      </c>
      <c r="H188" s="32">
        <v>925</v>
      </c>
      <c r="I188" s="50">
        <v>2.3999999999999998E-3</v>
      </c>
      <c r="J188" s="50">
        <v>6.9199999999999998E-2</v>
      </c>
      <c r="K188" s="33">
        <v>1346832908.03</v>
      </c>
      <c r="L188" s="54">
        <f t="shared" si="96"/>
        <v>2.2980445772210579E-2</v>
      </c>
      <c r="M188" s="33">
        <v>1.6348</v>
      </c>
      <c r="N188" s="33">
        <v>1.6442000000000001</v>
      </c>
      <c r="O188" s="32">
        <v>926</v>
      </c>
      <c r="P188" s="50">
        <v>6.3E-3</v>
      </c>
      <c r="Q188" s="50">
        <v>7.5999999999999998E-2</v>
      </c>
      <c r="R188" s="57">
        <f t="shared" si="97"/>
        <v>6.3049996603040323E-3</v>
      </c>
      <c r="S188" s="57">
        <f t="shared" si="98"/>
        <v>6.3039353693617713E-3</v>
      </c>
      <c r="T188" s="57">
        <f t="shared" si="98"/>
        <v>1.0810810810810811E-3</v>
      </c>
      <c r="U188" s="57">
        <f t="shared" si="99"/>
        <v>3.9000000000000003E-3</v>
      </c>
      <c r="V188" s="58">
        <f t="shared" si="99"/>
        <v>6.8000000000000005E-3</v>
      </c>
    </row>
    <row r="189" spans="1:22">
      <c r="A189" s="141">
        <v>166</v>
      </c>
      <c r="B189" s="133" t="s">
        <v>224</v>
      </c>
      <c r="C189" s="134" t="s">
        <v>106</v>
      </c>
      <c r="D189" s="29">
        <v>9765450636.9400005</v>
      </c>
      <c r="E189" s="30">
        <f t="shared" si="95"/>
        <v>0.1695880680775545</v>
      </c>
      <c r="F189" s="33">
        <v>567.1</v>
      </c>
      <c r="G189" s="33">
        <v>573.87</v>
      </c>
      <c r="H189" s="32">
        <v>35</v>
      </c>
      <c r="I189" s="50">
        <v>-1.04E-2</v>
      </c>
      <c r="J189" s="50">
        <v>9.64E-2</v>
      </c>
      <c r="K189" s="29">
        <v>10083311436.85</v>
      </c>
      <c r="L189" s="54">
        <v>5.2058</v>
      </c>
      <c r="M189" s="33">
        <v>585.65</v>
      </c>
      <c r="N189" s="33">
        <v>592.49</v>
      </c>
      <c r="O189" s="32">
        <v>35</v>
      </c>
      <c r="P189" s="50">
        <v>3.2500000000000001E-2</v>
      </c>
      <c r="Q189" s="50">
        <v>0.1321</v>
      </c>
      <c r="R189" s="57">
        <f t="shared" si="97"/>
        <v>3.2549527075342567E-2</v>
      </c>
      <c r="S189" s="57">
        <f t="shared" si="98"/>
        <v>3.2446372871904793E-2</v>
      </c>
      <c r="T189" s="57">
        <f t="shared" si="98"/>
        <v>0</v>
      </c>
      <c r="U189" s="57">
        <f t="shared" si="99"/>
        <v>4.2900000000000001E-2</v>
      </c>
      <c r="V189" s="58">
        <f t="shared" si="99"/>
        <v>3.5699999999999996E-2</v>
      </c>
    </row>
    <row r="190" spans="1:22">
      <c r="A190" s="36"/>
      <c r="B190" s="37"/>
      <c r="C190" s="38" t="s">
        <v>53</v>
      </c>
      <c r="D190" s="75">
        <f>SUM(D161:D189)</f>
        <v>57583359181.10791</v>
      </c>
      <c r="E190" s="40">
        <f>(D190/$D$222)</f>
        <v>1.1361840997594489E-2</v>
      </c>
      <c r="F190" s="41"/>
      <c r="G190" s="76"/>
      <c r="H190" s="43">
        <f>SUM(H161:H189)</f>
        <v>69914</v>
      </c>
      <c r="I190" s="82"/>
      <c r="J190" s="82"/>
      <c r="K190" s="75">
        <f>SUM(K161:K189)</f>
        <v>58607779909.068443</v>
      </c>
      <c r="L190" s="40">
        <f>(K190/$K$222)</f>
        <v>1.1416703048591253E-2</v>
      </c>
      <c r="M190" s="41"/>
      <c r="N190" s="76"/>
      <c r="O190" s="43">
        <f>SUM(O161:O189)</f>
        <v>69948</v>
      </c>
      <c r="P190" s="82"/>
      <c r="Q190" s="82"/>
      <c r="R190" s="57">
        <f t="shared" ref="R190" si="105">((K190-D190)/D190)</f>
        <v>1.7790221732959053E-2</v>
      </c>
      <c r="S190" s="57" t="e">
        <f t="shared" ref="S190" si="106">((N190-G190)/G190)</f>
        <v>#DIV/0!</v>
      </c>
      <c r="T190" s="57">
        <f t="shared" ref="T190" si="107">((O190-H190)/H190)</f>
        <v>4.8631175444117057E-4</v>
      </c>
      <c r="U190" s="57">
        <f t="shared" ref="U190" si="108">P190-I190</f>
        <v>0</v>
      </c>
      <c r="V190" s="58">
        <f t="shared" ref="V190" si="109">Q190-J190</f>
        <v>0</v>
      </c>
    </row>
    <row r="191" spans="1:22" ht="5.25" customHeight="1">
      <c r="A191" s="36"/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</row>
    <row r="192" spans="1:22" ht="15" customHeight="1">
      <c r="A192" s="182" t="s">
        <v>225</v>
      </c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</row>
    <row r="193" spans="1:24" ht="16.2" customHeight="1">
      <c r="A193" s="135">
        <v>167</v>
      </c>
      <c r="B193" s="133" t="s">
        <v>226</v>
      </c>
      <c r="C193" s="134" t="s">
        <v>23</v>
      </c>
      <c r="D193" s="78">
        <v>1095992442.8099999</v>
      </c>
      <c r="E193" s="30">
        <f>(D193/$D$196)</f>
        <v>0.16477994493986903</v>
      </c>
      <c r="F193" s="77">
        <v>71.601100000000002</v>
      </c>
      <c r="G193" s="77">
        <v>73.759900000000002</v>
      </c>
      <c r="H193" s="34">
        <v>1742</v>
      </c>
      <c r="I193" s="51">
        <v>0.1163</v>
      </c>
      <c r="J193" s="51">
        <v>0.14949999999999999</v>
      </c>
      <c r="K193" s="78">
        <v>1111908420.47</v>
      </c>
      <c r="L193" s="54">
        <f>(K193/$K$196)</f>
        <v>0.16209399315108555</v>
      </c>
      <c r="M193" s="77">
        <v>72.436800000000005</v>
      </c>
      <c r="N193" s="77">
        <v>74.620800000000003</v>
      </c>
      <c r="O193" s="34">
        <v>1750</v>
      </c>
      <c r="P193" s="51">
        <v>0.60860000000000003</v>
      </c>
      <c r="Q193" s="51">
        <v>0.17899999999999999</v>
      </c>
      <c r="R193" s="57">
        <f>((K193-D193)/D193)</f>
        <v>1.4521977559620147E-2</v>
      </c>
      <c r="S193" s="57">
        <f t="shared" ref="S193:T196" si="110">((N193-G193)/G193)</f>
        <v>1.1671653567860055E-2</v>
      </c>
      <c r="T193" s="57">
        <f t="shared" si="110"/>
        <v>4.5924225028702642E-3</v>
      </c>
      <c r="U193" s="57">
        <f t="shared" ref="U193:V196" si="111">P193-I193</f>
        <v>0.49230000000000002</v>
      </c>
      <c r="V193" s="58">
        <f t="shared" si="111"/>
        <v>2.9499999999999998E-2</v>
      </c>
    </row>
    <row r="194" spans="1:24">
      <c r="A194" s="135">
        <v>168</v>
      </c>
      <c r="B194" s="133" t="s">
        <v>227</v>
      </c>
      <c r="C194" s="134" t="s">
        <v>228</v>
      </c>
      <c r="D194" s="78">
        <v>1046230909.3200001</v>
      </c>
      <c r="E194" s="30">
        <f>(D194/$D$196)</f>
        <v>0.1572984127428198</v>
      </c>
      <c r="F194" s="77">
        <v>30.163599999999999</v>
      </c>
      <c r="G194" s="77">
        <v>30.455200000000001</v>
      </c>
      <c r="H194" s="32">
        <v>1490</v>
      </c>
      <c r="I194" s="50">
        <v>-2.2100000000000002E-2</v>
      </c>
      <c r="J194" s="50">
        <v>0.13300000000000001</v>
      </c>
      <c r="K194" s="78">
        <v>1069092421.77</v>
      </c>
      <c r="L194" s="54">
        <f>(K194/$K$196)</f>
        <v>0.1558522774915341</v>
      </c>
      <c r="M194" s="77">
        <v>29.988</v>
      </c>
      <c r="N194" s="77">
        <v>30.275300000000001</v>
      </c>
      <c r="O194" s="32">
        <v>1490</v>
      </c>
      <c r="P194" s="50">
        <v>2.6499999999999999E-2</v>
      </c>
      <c r="Q194" s="50">
        <v>0.12640000000000001</v>
      </c>
      <c r="R194" s="57">
        <f>((K194-D194)/D194)</f>
        <v>2.1851306672691227E-2</v>
      </c>
      <c r="S194" s="57">
        <f t="shared" si="110"/>
        <v>-5.907037221886572E-3</v>
      </c>
      <c r="T194" s="57">
        <f t="shared" si="110"/>
        <v>0</v>
      </c>
      <c r="U194" s="57">
        <f t="shared" si="111"/>
        <v>4.8600000000000004E-2</v>
      </c>
      <c r="V194" s="58">
        <f t="shared" si="111"/>
        <v>-6.5999999999999948E-3</v>
      </c>
    </row>
    <row r="195" spans="1:24">
      <c r="A195" s="135">
        <v>169</v>
      </c>
      <c r="B195" s="133" t="s">
        <v>229</v>
      </c>
      <c r="C195" s="134" t="s">
        <v>49</v>
      </c>
      <c r="D195" s="44">
        <v>4509025640.6400003</v>
      </c>
      <c r="E195" s="30">
        <f>(D195/$D$196)</f>
        <v>0.67792164231731111</v>
      </c>
      <c r="F195" s="77">
        <v>3.06</v>
      </c>
      <c r="G195" s="77">
        <v>3.1</v>
      </c>
      <c r="H195" s="32">
        <v>10345</v>
      </c>
      <c r="I195" s="50">
        <v>-2.8199999999999999E-2</v>
      </c>
      <c r="J195" s="50">
        <v>6.9000000000000006E-2</v>
      </c>
      <c r="K195" s="44">
        <v>4678651380.8599997</v>
      </c>
      <c r="L195" s="54">
        <f>(K195/$K$196)</f>
        <v>0.6820537293573804</v>
      </c>
      <c r="M195" s="77">
        <v>3.18</v>
      </c>
      <c r="N195" s="77">
        <v>3.22</v>
      </c>
      <c r="O195" s="32">
        <v>10356</v>
      </c>
      <c r="P195" s="50">
        <v>3.8699999999999998E-2</v>
      </c>
      <c r="Q195" s="50">
        <v>0.1103</v>
      </c>
      <c r="R195" s="57">
        <f>((K195-D195)/D195)</f>
        <v>3.7619156274286129E-2</v>
      </c>
      <c r="S195" s="57">
        <f t="shared" si="110"/>
        <v>3.8709677419354875E-2</v>
      </c>
      <c r="T195" s="57">
        <f t="shared" si="110"/>
        <v>1.0633156114064765E-3</v>
      </c>
      <c r="U195" s="57">
        <f t="shared" si="111"/>
        <v>6.6900000000000001E-2</v>
      </c>
      <c r="V195" s="58">
        <f t="shared" si="111"/>
        <v>4.1299999999999989E-2</v>
      </c>
    </row>
    <row r="196" spans="1:24">
      <c r="A196" s="36"/>
      <c r="B196" s="37"/>
      <c r="C196" s="71" t="s">
        <v>53</v>
      </c>
      <c r="D196" s="75">
        <f>SUM(D193:D195)</f>
        <v>6651248992.7700005</v>
      </c>
      <c r="E196" s="40">
        <f>(D196/$D$222)</f>
        <v>1.3123658391234769E-3</v>
      </c>
      <c r="F196" s="41"/>
      <c r="G196" s="76"/>
      <c r="H196" s="43">
        <f>SUM(H193:H195)</f>
        <v>13577</v>
      </c>
      <c r="I196" s="82"/>
      <c r="J196" s="82"/>
      <c r="K196" s="75">
        <f>SUM(K193:K195)</f>
        <v>6859652223.0999994</v>
      </c>
      <c r="L196" s="40">
        <f>(K196/$K$222)</f>
        <v>1.3362494291585311E-3</v>
      </c>
      <c r="M196" s="41"/>
      <c r="N196" s="76"/>
      <c r="O196" s="43">
        <f>SUM(O193:O195)</f>
        <v>13596</v>
      </c>
      <c r="P196" s="82"/>
      <c r="Q196" s="82"/>
      <c r="R196" s="57">
        <f>((K196-D196)/D196)</f>
        <v>3.1332946722718719E-2</v>
      </c>
      <c r="S196" s="57" t="e">
        <f t="shared" si="110"/>
        <v>#DIV/0!</v>
      </c>
      <c r="T196" s="57">
        <f t="shared" si="110"/>
        <v>1.3994254990056714E-3</v>
      </c>
      <c r="U196" s="57">
        <f t="shared" si="111"/>
        <v>0</v>
      </c>
      <c r="V196" s="58">
        <f t="shared" si="111"/>
        <v>0</v>
      </c>
    </row>
    <row r="197" spans="1:24" ht="6" customHeight="1">
      <c r="A197" s="36"/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</row>
    <row r="198" spans="1:24" ht="15" customHeight="1">
      <c r="A198" s="183" t="s">
        <v>230</v>
      </c>
      <c r="B198" s="183"/>
      <c r="C198" s="183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83"/>
      <c r="O198" s="183"/>
      <c r="P198" s="183"/>
      <c r="Q198" s="183"/>
      <c r="R198" s="183"/>
      <c r="S198" s="183"/>
      <c r="T198" s="183"/>
      <c r="U198" s="183"/>
      <c r="V198" s="183"/>
    </row>
    <row r="199" spans="1:24">
      <c r="A199" s="184" t="s">
        <v>231</v>
      </c>
      <c r="B199" s="184"/>
      <c r="C199" s="184"/>
      <c r="D199" s="184"/>
      <c r="E199" s="184"/>
      <c r="F199" s="184"/>
      <c r="G199" s="184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</row>
    <row r="200" spans="1:24">
      <c r="A200" s="135">
        <v>170</v>
      </c>
      <c r="B200" s="133" t="s">
        <v>232</v>
      </c>
      <c r="C200" s="134" t="s">
        <v>233</v>
      </c>
      <c r="D200" s="47">
        <v>5360083250.6199999</v>
      </c>
      <c r="E200" s="30">
        <f>(D200/$D$221)</f>
        <v>9.3885217604099264E-2</v>
      </c>
      <c r="F200" s="79">
        <v>2.38</v>
      </c>
      <c r="G200" s="79">
        <v>3.06</v>
      </c>
      <c r="H200" s="46">
        <v>15019</v>
      </c>
      <c r="I200" s="53">
        <v>3.3999999999999998E-3</v>
      </c>
      <c r="J200" s="53">
        <v>3.0599999999999999E-2</v>
      </c>
      <c r="K200" s="47">
        <v>5415147228.3400002</v>
      </c>
      <c r="L200" s="30">
        <f>(K200/$K$221)</f>
        <v>9.3910628770612806E-2</v>
      </c>
      <c r="M200" s="79">
        <v>2.36</v>
      </c>
      <c r="N200" s="79">
        <v>2.41</v>
      </c>
      <c r="O200" s="46">
        <v>15019</v>
      </c>
      <c r="P200" s="53">
        <v>9.9000000000000008E-3</v>
      </c>
      <c r="Q200" s="53">
        <v>4.0800000000000003E-2</v>
      </c>
      <c r="R200" s="57">
        <f>((K200-D200)/D200)</f>
        <v>1.027297061358721E-2</v>
      </c>
      <c r="S200" s="57">
        <f>((N200-G200)/G200)</f>
        <v>-0.21241830065359474</v>
      </c>
      <c r="T200" s="57">
        <f>((O200-H200)/H200)</f>
        <v>0</v>
      </c>
      <c r="U200" s="57">
        <f>P200-I200</f>
        <v>6.5000000000000006E-3</v>
      </c>
      <c r="V200" s="58">
        <f>Q200-J200</f>
        <v>1.0200000000000004E-2</v>
      </c>
    </row>
    <row r="201" spans="1:24">
      <c r="A201" s="135">
        <v>171</v>
      </c>
      <c r="B201" s="133" t="s">
        <v>234</v>
      </c>
      <c r="C201" s="134" t="s">
        <v>49</v>
      </c>
      <c r="D201" s="47">
        <v>916271690</v>
      </c>
      <c r="E201" s="30">
        <f>(D201/$D$221)</f>
        <v>1.6049072930010063E-2</v>
      </c>
      <c r="F201" s="79">
        <v>553.5</v>
      </c>
      <c r="G201" s="79">
        <v>560.5</v>
      </c>
      <c r="H201" s="46">
        <v>939</v>
      </c>
      <c r="I201" s="53">
        <v>3.0000000000000001E-3</v>
      </c>
      <c r="J201" s="53">
        <v>0.1106</v>
      </c>
      <c r="K201" s="47">
        <v>936395699.91999996</v>
      </c>
      <c r="L201" s="30">
        <f>(K201/$K$221)</f>
        <v>1.6239172316011487E-2</v>
      </c>
      <c r="M201" s="79">
        <v>571.4</v>
      </c>
      <c r="N201" s="79">
        <v>578.70000000000005</v>
      </c>
      <c r="O201" s="46">
        <v>952</v>
      </c>
      <c r="P201" s="53">
        <v>3.2500000000000001E-2</v>
      </c>
      <c r="Q201" s="53">
        <v>0.14660000000000001</v>
      </c>
      <c r="R201" s="57">
        <f>((K201-D201)/D201)</f>
        <v>2.1962928833913833E-2</v>
      </c>
      <c r="S201" s="57">
        <f>((N201-G201)/G201)</f>
        <v>3.2471008028546022E-2</v>
      </c>
      <c r="T201" s="57">
        <f>((O201-H201)/H201)</f>
        <v>1.3844515441959531E-2</v>
      </c>
      <c r="U201" s="57">
        <f>P201-I201</f>
        <v>2.9500000000000002E-2</v>
      </c>
      <c r="V201" s="58">
        <f>Q201-J201</f>
        <v>3.6000000000000004E-2</v>
      </c>
    </row>
    <row r="202" spans="1:24" ht="6" customHeight="1">
      <c r="A202" s="36"/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</row>
    <row r="203" spans="1:24" ht="15" customHeight="1">
      <c r="A203" s="184" t="s">
        <v>174</v>
      </c>
      <c r="B203" s="184"/>
      <c r="C203" s="184"/>
      <c r="D203" s="184"/>
      <c r="E203" s="184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</row>
    <row r="204" spans="1:24">
      <c r="A204" s="135">
        <v>172</v>
      </c>
      <c r="B204" s="133" t="s">
        <v>294</v>
      </c>
      <c r="C204" s="134" t="s">
        <v>23</v>
      </c>
      <c r="D204" s="29">
        <v>1244683975.8399999</v>
      </c>
      <c r="E204" s="30">
        <f>(D204/$D$221)</f>
        <v>2.1801419951183957E-2</v>
      </c>
      <c r="F204" s="77">
        <v>1.0613999999999999</v>
      </c>
      <c r="G204" s="77">
        <v>1.0613999999999999</v>
      </c>
      <c r="H204" s="32">
        <v>567</v>
      </c>
      <c r="I204" s="50">
        <v>0.13789999999999999</v>
      </c>
      <c r="J204" s="50">
        <v>0.16109999999999999</v>
      </c>
      <c r="K204" s="29">
        <v>1264189145.5</v>
      </c>
      <c r="L204" s="30">
        <f t="shared" ref="L204:L216" si="112">(K204/$K$221)</f>
        <v>2.1923835591683864E-2</v>
      </c>
      <c r="M204" s="77">
        <v>1.0638000000000001</v>
      </c>
      <c r="N204" s="77">
        <v>1.0638000000000001</v>
      </c>
      <c r="O204" s="32">
        <v>573</v>
      </c>
      <c r="P204" s="50">
        <v>0.1179</v>
      </c>
      <c r="Q204" s="50">
        <v>0.1588</v>
      </c>
      <c r="R204" s="57">
        <f>((K204-D204)/D204)</f>
        <v>1.5670780727161392E-2</v>
      </c>
      <c r="S204" s="57">
        <f>((N204-G204)/G204)</f>
        <v>2.2611644997175238E-3</v>
      </c>
      <c r="T204" s="57">
        <f>((O204-H204)/H204)</f>
        <v>1.0582010582010581E-2</v>
      </c>
      <c r="U204" s="57">
        <f>P204-I204</f>
        <v>-1.999999999999999E-2</v>
      </c>
      <c r="V204" s="58">
        <f>Q204-J204</f>
        <v>-2.2999999999999965E-3</v>
      </c>
      <c r="X204" s="83"/>
    </row>
    <row r="205" spans="1:24">
      <c r="A205" s="135">
        <v>173</v>
      </c>
      <c r="B205" s="133" t="s">
        <v>235</v>
      </c>
      <c r="C205" s="134" t="s">
        <v>236</v>
      </c>
      <c r="D205" s="29">
        <v>349601049.12</v>
      </c>
      <c r="E205" s="30">
        <f>(D205/$D$221)</f>
        <v>6.1234814902279807E-3</v>
      </c>
      <c r="F205" s="77">
        <v>1068.4100000000001</v>
      </c>
      <c r="G205" s="77">
        <v>1068.4100000000001</v>
      </c>
      <c r="H205" s="32">
        <v>18</v>
      </c>
      <c r="I205" s="50">
        <v>1.2999999999999999E-3</v>
      </c>
      <c r="J205" s="50">
        <v>2.9700000000000001E-2</v>
      </c>
      <c r="K205" s="29">
        <v>347864480.80000001</v>
      </c>
      <c r="L205" s="30">
        <f t="shared" si="112"/>
        <v>6.032739414345548E-3</v>
      </c>
      <c r="M205" s="77">
        <v>1063.0999999999999</v>
      </c>
      <c r="N205" s="77">
        <v>1063.0999999999999</v>
      </c>
      <c r="O205" s="32">
        <v>18</v>
      </c>
      <c r="P205" s="50">
        <v>1.6000000000000001E-3</v>
      </c>
      <c r="Q205" s="50">
        <v>3.1300000000000001E-2</v>
      </c>
      <c r="R205" s="57">
        <f>((K205-D205)/D205)</f>
        <v>-4.9672857800947805E-3</v>
      </c>
      <c r="S205" s="57">
        <f>((N205-G205)/G205)</f>
        <v>-4.970002152731791E-3</v>
      </c>
      <c r="T205" s="57">
        <f>((O205-H205)/H205)</f>
        <v>0</v>
      </c>
      <c r="U205" s="57">
        <f>P205-I205</f>
        <v>3.0000000000000014E-4</v>
      </c>
      <c r="V205" s="58">
        <f>Q205-J205</f>
        <v>1.6000000000000007E-3</v>
      </c>
      <c r="X205" s="83"/>
    </row>
    <row r="206" spans="1:24">
      <c r="A206" s="135">
        <v>174</v>
      </c>
      <c r="B206" s="133" t="s">
        <v>237</v>
      </c>
      <c r="C206" s="134" t="s">
        <v>67</v>
      </c>
      <c r="D206" s="29">
        <v>246491585.93000001</v>
      </c>
      <c r="E206" s="30">
        <f>(D206/$D$221)</f>
        <v>4.3174546178813104E-3</v>
      </c>
      <c r="F206" s="77">
        <v>119.48</v>
      </c>
      <c r="G206" s="77">
        <v>119.48</v>
      </c>
      <c r="H206" s="32">
        <v>75</v>
      </c>
      <c r="I206" s="50">
        <v>1.6000000000000001E-3</v>
      </c>
      <c r="J206" s="50">
        <v>0.11219999999999999</v>
      </c>
      <c r="K206" s="29">
        <v>211224392.91999999</v>
      </c>
      <c r="L206" s="30">
        <f t="shared" si="112"/>
        <v>3.6630981050701588E-3</v>
      </c>
      <c r="M206" s="77">
        <v>119.7</v>
      </c>
      <c r="N206" s="77">
        <v>119.7</v>
      </c>
      <c r="O206" s="32">
        <v>75</v>
      </c>
      <c r="P206" s="50">
        <v>1.8E-3</v>
      </c>
      <c r="Q206" s="50">
        <v>0.11219999999999999</v>
      </c>
      <c r="R206" s="57">
        <f t="shared" ref="R206:R222" si="113">((K206-D206)/D206)</f>
        <v>-0.1430766607182096</v>
      </c>
      <c r="S206" s="57">
        <f t="shared" ref="S206:S221" si="114">((N206-G206)/G206)</f>
        <v>1.8413123535319623E-3</v>
      </c>
      <c r="T206" s="57">
        <f t="shared" ref="T206:T221" si="115">((O206-H206)/H206)</f>
        <v>0</v>
      </c>
      <c r="U206" s="57">
        <f t="shared" ref="U206:U221" si="116">P206-I206</f>
        <v>1.9999999999999987E-4</v>
      </c>
      <c r="V206" s="58">
        <f t="shared" ref="V206:V221" si="117">Q206-J206</f>
        <v>0</v>
      </c>
    </row>
    <row r="207" spans="1:24">
      <c r="A207" s="135">
        <v>175</v>
      </c>
      <c r="B207" s="175" t="s">
        <v>238</v>
      </c>
      <c r="C207" s="134" t="s">
        <v>72</v>
      </c>
      <c r="D207" s="44">
        <v>62244371.299999997</v>
      </c>
      <c r="E207" s="30">
        <f>(D207/$D$221)</f>
        <v>1.090249175412508E-3</v>
      </c>
      <c r="F207" s="77">
        <v>101.6</v>
      </c>
      <c r="G207" s="77">
        <v>101.6</v>
      </c>
      <c r="H207" s="32">
        <v>15</v>
      </c>
      <c r="I207" s="50">
        <v>1.4E-3</v>
      </c>
      <c r="J207" s="50">
        <v>4.6600000000000003E-2</v>
      </c>
      <c r="K207" s="44">
        <v>62306946.159999996</v>
      </c>
      <c r="L207" s="30">
        <f t="shared" si="112"/>
        <v>1.0805402409079126E-3</v>
      </c>
      <c r="M207" s="77">
        <v>101.77</v>
      </c>
      <c r="N207" s="77">
        <v>101.77</v>
      </c>
      <c r="O207" s="32">
        <v>15</v>
      </c>
      <c r="P207" s="50">
        <v>1.8E-3</v>
      </c>
      <c r="Q207" s="50">
        <v>4.8399999999999999E-2</v>
      </c>
      <c r="R207" s="57">
        <f t="shared" si="113"/>
        <v>1.0053095355145696E-3</v>
      </c>
      <c r="S207" s="57">
        <f t="shared" si="114"/>
        <v>1.6732283464567098E-3</v>
      </c>
      <c r="T207" s="57">
        <f t="shared" si="115"/>
        <v>0</v>
      </c>
      <c r="U207" s="57">
        <f t="shared" si="116"/>
        <v>3.9999999999999996E-4</v>
      </c>
      <c r="V207" s="58">
        <f t="shared" si="117"/>
        <v>1.799999999999996E-3</v>
      </c>
    </row>
    <row r="208" spans="1:24">
      <c r="A208" s="135">
        <v>176</v>
      </c>
      <c r="B208" s="133" t="s">
        <v>239</v>
      </c>
      <c r="C208" s="134" t="s">
        <v>75</v>
      </c>
      <c r="D208" s="44">
        <v>122075972.72</v>
      </c>
      <c r="E208" s="30">
        <v>0</v>
      </c>
      <c r="F208" s="77">
        <v>1.0773999999999999</v>
      </c>
      <c r="G208" s="77">
        <v>1.0773999999999999</v>
      </c>
      <c r="H208" s="32">
        <v>39</v>
      </c>
      <c r="I208" s="50">
        <v>1.1999999999999999E-3</v>
      </c>
      <c r="J208" s="50">
        <v>0.1192</v>
      </c>
      <c r="K208" s="44">
        <v>122771249.41</v>
      </c>
      <c r="L208" s="30">
        <f t="shared" si="112"/>
        <v>2.1291249786723112E-3</v>
      </c>
      <c r="M208" s="77">
        <v>1.0799000000000001</v>
      </c>
      <c r="N208" s="77">
        <v>1.0799000000000001</v>
      </c>
      <c r="O208" s="32">
        <v>39</v>
      </c>
      <c r="P208" s="50">
        <v>1.5E-3</v>
      </c>
      <c r="Q208" s="50">
        <v>0.1187</v>
      </c>
      <c r="R208" s="57">
        <f t="shared" ref="R208:R209" si="118">((K208-D208)/D208)</f>
        <v>5.6954425552251916E-3</v>
      </c>
      <c r="S208" s="57">
        <f t="shared" ref="S208:S209" si="119">((N208-G208)/G208)</f>
        <v>2.3204009652869582E-3</v>
      </c>
      <c r="T208" s="57">
        <f t="shared" ref="T208" si="120">((O208-H208)/H208)</f>
        <v>0</v>
      </c>
      <c r="U208" s="57">
        <f t="shared" ref="U208" si="121">P208-I208</f>
        <v>3.0000000000000014E-4</v>
      </c>
      <c r="V208" s="58">
        <f t="shared" ref="V208" si="122">Q208-J208</f>
        <v>-5.0000000000000044E-4</v>
      </c>
    </row>
    <row r="209" spans="1:22">
      <c r="A209" s="135">
        <v>177</v>
      </c>
      <c r="B209" s="133" t="s">
        <v>240</v>
      </c>
      <c r="C209" s="134" t="s">
        <v>31</v>
      </c>
      <c r="D209" s="29">
        <v>5363644826.3599997</v>
      </c>
      <c r="E209" s="30">
        <f t="shared" ref="E209:E216" si="123">(D209/$D$221)</f>
        <v>9.3947600835427747E-2</v>
      </c>
      <c r="F209" s="77">
        <v>150.46</v>
      </c>
      <c r="G209" s="77">
        <v>150.46</v>
      </c>
      <c r="H209" s="32">
        <v>699</v>
      </c>
      <c r="I209" s="50">
        <v>2.3E-3</v>
      </c>
      <c r="J209" s="50">
        <v>4.87E-2</v>
      </c>
      <c r="K209" s="29">
        <v>5397058964.2200003</v>
      </c>
      <c r="L209" s="30">
        <f t="shared" si="112"/>
        <v>9.3596938267797275E-2</v>
      </c>
      <c r="M209" s="77">
        <v>150.91</v>
      </c>
      <c r="N209" s="77">
        <v>150.91</v>
      </c>
      <c r="O209" s="32">
        <v>699</v>
      </c>
      <c r="P209" s="50">
        <v>2.7000000000000001E-3</v>
      </c>
      <c r="Q209" s="50">
        <v>5.1900000000000002E-2</v>
      </c>
      <c r="R209" s="57">
        <f t="shared" si="118"/>
        <v>6.2297446870054748E-3</v>
      </c>
      <c r="S209" s="57">
        <f t="shared" si="119"/>
        <v>2.9908281270768881E-3</v>
      </c>
      <c r="T209" s="57">
        <f t="shared" si="115"/>
        <v>0</v>
      </c>
      <c r="U209" s="57">
        <f t="shared" si="116"/>
        <v>4.0000000000000018E-4</v>
      </c>
      <c r="V209" s="58">
        <f t="shared" si="117"/>
        <v>3.2000000000000015E-3</v>
      </c>
    </row>
    <row r="210" spans="1:22">
      <c r="A210" s="135">
        <v>178</v>
      </c>
      <c r="B210" s="133" t="s">
        <v>241</v>
      </c>
      <c r="C210" s="134" t="s">
        <v>65</v>
      </c>
      <c r="D210" s="29">
        <v>757716137.23889399</v>
      </c>
      <c r="E210" s="30">
        <f t="shared" si="123"/>
        <v>1.3271873047602861E-2</v>
      </c>
      <c r="F210" s="35">
        <v>1237.91010193584</v>
      </c>
      <c r="G210" s="35">
        <v>1237.91010193584</v>
      </c>
      <c r="H210" s="32">
        <v>172</v>
      </c>
      <c r="I210" s="50">
        <v>0.10560843208125233</v>
      </c>
      <c r="J210" s="50">
        <v>0.14496262354639392</v>
      </c>
      <c r="K210" s="29">
        <v>794829415.95887899</v>
      </c>
      <c r="L210" s="30">
        <f t="shared" si="112"/>
        <v>1.3784099872194774E-2</v>
      </c>
      <c r="M210" s="35">
        <v>1240.1232449014699</v>
      </c>
      <c r="N210" s="35">
        <v>1240.1232449014699</v>
      </c>
      <c r="O210" s="32">
        <v>176</v>
      </c>
      <c r="P210" s="50">
        <v>9.3221306872848228E-2</v>
      </c>
      <c r="Q210" s="50">
        <v>0.14205654186542699</v>
      </c>
      <c r="R210" s="57">
        <f t="shared" si="113"/>
        <v>4.8980451776077023E-2</v>
      </c>
      <c r="S210" s="57">
        <f t="shared" si="114"/>
        <v>1.7878058852327057E-3</v>
      </c>
      <c r="T210" s="57">
        <f t="shared" si="115"/>
        <v>2.3255813953488372E-2</v>
      </c>
      <c r="U210" s="57">
        <f t="shared" si="116"/>
        <v>-1.2387125208404098E-2</v>
      </c>
      <c r="V210" s="58">
        <f t="shared" si="117"/>
        <v>-2.9060816809669265E-3</v>
      </c>
    </row>
    <row r="211" spans="1:22">
      <c r="A211" s="135">
        <v>179</v>
      </c>
      <c r="B211" s="133" t="s">
        <v>242</v>
      </c>
      <c r="C211" s="134" t="s">
        <v>233</v>
      </c>
      <c r="D211" s="29">
        <v>30009147988.91</v>
      </c>
      <c r="E211" s="30">
        <f t="shared" si="123"/>
        <v>0.52562903546816053</v>
      </c>
      <c r="F211" s="35">
        <v>1237.5</v>
      </c>
      <c r="G211" s="35">
        <v>1237.5</v>
      </c>
      <c r="H211" s="32">
        <v>10022</v>
      </c>
      <c r="I211" s="50">
        <v>2.3E-3</v>
      </c>
      <c r="J211" s="50">
        <v>3.8899999999999997E-2</v>
      </c>
      <c r="K211" s="29">
        <v>30425192364.389999</v>
      </c>
      <c r="L211" s="30">
        <f t="shared" si="112"/>
        <v>0.52764012222112666</v>
      </c>
      <c r="M211" s="35">
        <v>1240.01</v>
      </c>
      <c r="N211" s="35">
        <v>1240.01</v>
      </c>
      <c r="O211" s="32">
        <v>10069</v>
      </c>
      <c r="P211" s="50">
        <v>2E-3</v>
      </c>
      <c r="Q211" s="50">
        <v>4.0899999999999999E-2</v>
      </c>
      <c r="R211" s="57">
        <f t="shared" si="113"/>
        <v>1.3863918283643055E-2</v>
      </c>
      <c r="S211" s="57">
        <f t="shared" si="114"/>
        <v>2.028282828282821E-3</v>
      </c>
      <c r="T211" s="57">
        <f t="shared" si="115"/>
        <v>4.6896826980642589E-3</v>
      </c>
      <c r="U211" s="57">
        <f t="shared" si="116"/>
        <v>-2.9999999999999992E-4</v>
      </c>
      <c r="V211" s="58">
        <f t="shared" si="117"/>
        <v>2.0000000000000018E-3</v>
      </c>
    </row>
    <row r="212" spans="1:22">
      <c r="A212" s="135">
        <v>180</v>
      </c>
      <c r="B212" s="133" t="s">
        <v>243</v>
      </c>
      <c r="C212" s="134" t="s">
        <v>244</v>
      </c>
      <c r="D212" s="29">
        <v>496474059.61000001</v>
      </c>
      <c r="E212" s="30">
        <f t="shared" si="123"/>
        <v>8.6960543226420692E-3</v>
      </c>
      <c r="F212" s="79">
        <v>121.06</v>
      </c>
      <c r="G212" s="79">
        <v>122.03</v>
      </c>
      <c r="H212" s="46">
        <v>149</v>
      </c>
      <c r="I212" s="50">
        <v>-9.5999999999999992E-3</v>
      </c>
      <c r="J212" s="50">
        <v>-2.4E-2</v>
      </c>
      <c r="K212" s="29">
        <v>506721608.54000002</v>
      </c>
      <c r="L212" s="30">
        <f t="shared" si="112"/>
        <v>8.7876733287333472E-3</v>
      </c>
      <c r="M212" s="79">
        <v>123.67</v>
      </c>
      <c r="N212" s="79">
        <v>124.67</v>
      </c>
      <c r="O212" s="46">
        <v>149</v>
      </c>
      <c r="P212" s="50">
        <v>2.155E-2</v>
      </c>
      <c r="Q212" s="50">
        <v>-2.8999999999999998E-3</v>
      </c>
      <c r="R212" s="57">
        <f t="shared" si="113"/>
        <v>2.064065328619558E-2</v>
      </c>
      <c r="S212" s="57">
        <f t="shared" si="114"/>
        <v>2.1634024420224541E-2</v>
      </c>
      <c r="T212" s="57">
        <f t="shared" si="115"/>
        <v>0</v>
      </c>
      <c r="U212" s="57">
        <f t="shared" si="116"/>
        <v>3.1149999999999997E-2</v>
      </c>
      <c r="V212" s="58">
        <f t="shared" si="117"/>
        <v>2.1100000000000001E-2</v>
      </c>
    </row>
    <row r="213" spans="1:22">
      <c r="A213" s="135">
        <v>181</v>
      </c>
      <c r="B213" s="133" t="s">
        <v>245</v>
      </c>
      <c r="C213" s="134" t="s">
        <v>244</v>
      </c>
      <c r="D213" s="29">
        <v>164007774.87</v>
      </c>
      <c r="E213" s="30">
        <f t="shared" si="123"/>
        <v>2.8726989698626419E-3</v>
      </c>
      <c r="F213" s="79">
        <v>119.28</v>
      </c>
      <c r="G213" s="79">
        <v>119.28</v>
      </c>
      <c r="H213" s="46">
        <v>73</v>
      </c>
      <c r="I213" s="50">
        <v>3.8E-3</v>
      </c>
      <c r="J213" s="50">
        <v>6.7900000000000002E-2</v>
      </c>
      <c r="K213" s="29">
        <v>177232198.94</v>
      </c>
      <c r="L213" s="30">
        <f t="shared" si="112"/>
        <v>3.0735982862567356E-3</v>
      </c>
      <c r="M213" s="79">
        <v>119.88</v>
      </c>
      <c r="N213" s="79">
        <v>119.88</v>
      </c>
      <c r="O213" s="46">
        <v>74</v>
      </c>
      <c r="P213" s="50">
        <v>7.3300000000000004E-2</v>
      </c>
      <c r="Q213" s="50">
        <v>6.7900000000000002E-2</v>
      </c>
      <c r="R213" s="57">
        <f t="shared" si="113"/>
        <v>8.0632909509822145E-2</v>
      </c>
      <c r="S213" s="57">
        <f t="shared" si="114"/>
        <v>5.030181086519067E-3</v>
      </c>
      <c r="T213" s="57">
        <f t="shared" si="115"/>
        <v>1.3698630136986301E-2</v>
      </c>
      <c r="U213" s="57">
        <f t="shared" si="116"/>
        <v>6.9500000000000006E-2</v>
      </c>
      <c r="V213" s="58">
        <f t="shared" si="117"/>
        <v>0</v>
      </c>
    </row>
    <row r="214" spans="1:22" ht="13.5" customHeight="1">
      <c r="A214" s="135">
        <v>182</v>
      </c>
      <c r="B214" s="133" t="s">
        <v>246</v>
      </c>
      <c r="C214" s="134" t="s">
        <v>89</v>
      </c>
      <c r="D214" s="29">
        <v>1430624835</v>
      </c>
      <c r="E214" s="30">
        <f t="shared" si="123"/>
        <v>2.5058290639099211E-2</v>
      </c>
      <c r="F214" s="60">
        <v>103.89</v>
      </c>
      <c r="G214" s="60">
        <v>103.89</v>
      </c>
      <c r="H214" s="32">
        <v>624</v>
      </c>
      <c r="I214" s="50">
        <v>2.5000000000000001E-3</v>
      </c>
      <c r="J214" s="50">
        <v>0.14099999999999999</v>
      </c>
      <c r="K214" s="29">
        <v>1446064224</v>
      </c>
      <c r="L214" s="30">
        <f t="shared" si="112"/>
        <v>2.5077951677439005E-2</v>
      </c>
      <c r="M214" s="60">
        <v>104.19</v>
      </c>
      <c r="N214" s="60">
        <v>104.19</v>
      </c>
      <c r="O214" s="32">
        <v>624</v>
      </c>
      <c r="P214" s="50">
        <v>2.8999999999999998E-3</v>
      </c>
      <c r="Q214" s="50">
        <v>0.14169999999999999</v>
      </c>
      <c r="R214" s="57">
        <f t="shared" si="113"/>
        <v>1.0792059960290009E-2</v>
      </c>
      <c r="S214" s="57">
        <f t="shared" si="114"/>
        <v>2.8876696505919447E-3</v>
      </c>
      <c r="T214" s="57">
        <f t="shared" si="115"/>
        <v>0</v>
      </c>
      <c r="U214" s="57">
        <f t="shared" si="116"/>
        <v>3.9999999999999975E-4</v>
      </c>
      <c r="V214" s="58">
        <f t="shared" si="117"/>
        <v>7.0000000000000617E-4</v>
      </c>
    </row>
    <row r="215" spans="1:22" ht="15.75" customHeight="1">
      <c r="A215" s="135">
        <v>183</v>
      </c>
      <c r="B215" s="133" t="s">
        <v>247</v>
      </c>
      <c r="C215" s="134" t="s">
        <v>49</v>
      </c>
      <c r="D215" s="29">
        <v>6223920633.8000002</v>
      </c>
      <c r="E215" s="30">
        <f t="shared" si="123"/>
        <v>0.10901587078659024</v>
      </c>
      <c r="F215" s="60">
        <v>135.88</v>
      </c>
      <c r="G215" s="60">
        <v>135.88</v>
      </c>
      <c r="H215" s="32">
        <v>1307</v>
      </c>
      <c r="I215" s="50">
        <v>1E-4</v>
      </c>
      <c r="J215" s="50">
        <v>1.18E-2</v>
      </c>
      <c r="K215" s="29">
        <v>6199578047.4200001</v>
      </c>
      <c r="L215" s="30">
        <f t="shared" si="112"/>
        <v>0.10751439397598321</v>
      </c>
      <c r="M215" s="60">
        <v>135.91</v>
      </c>
      <c r="N215" s="60">
        <v>135.91</v>
      </c>
      <c r="O215" s="32">
        <v>1314</v>
      </c>
      <c r="P215" s="50">
        <v>2.0000000000000001E-4</v>
      </c>
      <c r="Q215" s="50">
        <v>1.2E-2</v>
      </c>
      <c r="R215" s="57">
        <f t="shared" si="113"/>
        <v>-3.9111338033142309E-3</v>
      </c>
      <c r="S215" s="57">
        <f t="shared" si="114"/>
        <v>2.2078304386223974E-4</v>
      </c>
      <c r="T215" s="57">
        <f t="shared" si="115"/>
        <v>5.3557765876052028E-3</v>
      </c>
      <c r="U215" s="57">
        <f t="shared" si="116"/>
        <v>1E-4</v>
      </c>
      <c r="V215" s="58">
        <f t="shared" si="117"/>
        <v>2.0000000000000052E-4</v>
      </c>
    </row>
    <row r="216" spans="1:22">
      <c r="A216" s="135">
        <v>184</v>
      </c>
      <c r="B216" s="133" t="s">
        <v>248</v>
      </c>
      <c r="C216" s="134" t="s">
        <v>52</v>
      </c>
      <c r="D216" s="29">
        <v>4084187448.3000002</v>
      </c>
      <c r="E216" s="30">
        <f t="shared" si="123"/>
        <v>7.1537102949888604E-2</v>
      </c>
      <c r="F216" s="60">
        <v>1.2535000000000001</v>
      </c>
      <c r="G216" s="60">
        <v>1.2535000000000001</v>
      </c>
      <c r="H216" s="32">
        <v>1552</v>
      </c>
      <c r="I216" s="50">
        <v>0.1237</v>
      </c>
      <c r="J216" s="50">
        <v>0.1007</v>
      </c>
      <c r="K216" s="29">
        <v>4087363132.5500002</v>
      </c>
      <c r="L216" s="30">
        <f t="shared" si="112"/>
        <v>7.0883916097930252E-2</v>
      </c>
      <c r="M216" s="60">
        <v>1.2563</v>
      </c>
      <c r="N216" s="60">
        <v>1.2563</v>
      </c>
      <c r="O216" s="32">
        <v>1552</v>
      </c>
      <c r="P216" s="50">
        <v>0.1234</v>
      </c>
      <c r="Q216" s="50">
        <v>0.1021</v>
      </c>
      <c r="R216" s="57">
        <f t="shared" si="113"/>
        <v>7.7755594967166474E-4</v>
      </c>
      <c r="S216" s="57">
        <f t="shared" si="114"/>
        <v>2.2337455125647494E-3</v>
      </c>
      <c r="T216" s="57">
        <f t="shared" si="115"/>
        <v>0</v>
      </c>
      <c r="U216" s="57">
        <f t="shared" si="116"/>
        <v>-3.0000000000000859E-4</v>
      </c>
      <c r="V216" s="58">
        <f t="shared" si="117"/>
        <v>1.3999999999999985E-3</v>
      </c>
    </row>
    <row r="217" spans="1:22" ht="6" customHeight="1">
      <c r="A217" s="36"/>
      <c r="B217" s="180"/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</row>
    <row r="218" spans="1:22">
      <c r="A218" s="184" t="s">
        <v>249</v>
      </c>
      <c r="B218" s="184"/>
      <c r="C218" s="184"/>
      <c r="D218" s="184"/>
      <c r="E218" s="184"/>
      <c r="F218" s="184"/>
      <c r="G218" s="184"/>
      <c r="H218" s="184"/>
      <c r="I218" s="184"/>
      <c r="J218" s="184"/>
      <c r="K218" s="184"/>
      <c r="L218" s="184"/>
      <c r="M218" s="184"/>
      <c r="N218" s="184"/>
      <c r="O218" s="184"/>
      <c r="P218" s="184"/>
      <c r="Q218" s="184"/>
      <c r="R218" s="184"/>
      <c r="S218" s="184"/>
      <c r="T218" s="184"/>
      <c r="U218" s="184"/>
      <c r="V218" s="184"/>
    </row>
    <row r="219" spans="1:22">
      <c r="A219" s="170">
        <v>185</v>
      </c>
      <c r="B219" s="133" t="s">
        <v>250</v>
      </c>
      <c r="C219" s="134" t="s">
        <v>233</v>
      </c>
      <c r="D219" s="29">
        <v>211036046.69</v>
      </c>
      <c r="E219" s="30">
        <f t="shared" ref="E219" si="124">(D219/$D$221)</f>
        <v>3.6964286260866785E-3</v>
      </c>
      <c r="F219" s="35">
        <v>1080.57</v>
      </c>
      <c r="G219" s="35">
        <v>1080.57</v>
      </c>
      <c r="H219" s="32">
        <v>99</v>
      </c>
      <c r="I219" s="50">
        <v>-8.3000000000000001E-3</v>
      </c>
      <c r="J219" s="50">
        <v>-7.4999999999999997E-3</v>
      </c>
      <c r="K219" s="29">
        <v>211409813.30000001</v>
      </c>
      <c r="L219" s="30">
        <f t="shared" ref="L219" si="125">(K219/$K$221)</f>
        <v>3.6663137045245113E-3</v>
      </c>
      <c r="M219" s="35">
        <v>1082.67</v>
      </c>
      <c r="N219" s="35">
        <v>1082.67</v>
      </c>
      <c r="O219" s="32">
        <v>99</v>
      </c>
      <c r="P219" s="50">
        <v>-7.4000000000000003E-3</v>
      </c>
      <c r="Q219" s="50">
        <v>-5.8999999999999999E-3</v>
      </c>
      <c r="R219" s="57">
        <f t="shared" ref="R219" si="126">((K219-D219)/D219)</f>
        <v>1.7711031639493146E-3</v>
      </c>
      <c r="S219" s="57">
        <f t="shared" ref="S219" si="127">((N219-G219)/G219)</f>
        <v>1.9434187512147631E-3</v>
      </c>
      <c r="T219" s="57">
        <f t="shared" ref="T219" si="128">((O219-H219)/H219)</f>
        <v>0</v>
      </c>
      <c r="U219" s="57">
        <f t="shared" ref="U219" si="129">P219-I219</f>
        <v>8.9999999999999976E-4</v>
      </c>
      <c r="V219" s="58">
        <f t="shared" ref="V219" si="130">Q219-J219</f>
        <v>1.5999999999999999E-3</v>
      </c>
    </row>
    <row r="220" spans="1:22">
      <c r="A220" s="170">
        <v>186</v>
      </c>
      <c r="B220" s="133" t="s">
        <v>295</v>
      </c>
      <c r="C220" s="134" t="s">
        <v>296</v>
      </c>
      <c r="D220" s="29">
        <v>49664874.899315096</v>
      </c>
      <c r="E220" s="30">
        <f t="shared" ref="E220" si="131">(D220/$D$221)</f>
        <v>8.699114116675745E-4</v>
      </c>
      <c r="F220" s="35">
        <v>101.38</v>
      </c>
      <c r="G220" s="35">
        <v>103.46</v>
      </c>
      <c r="H220" s="32">
        <v>160</v>
      </c>
      <c r="I220" s="50">
        <v>2.4199999999999999E-2</v>
      </c>
      <c r="J220" s="50">
        <v>1.29E-2</v>
      </c>
      <c r="K220" s="29">
        <v>57423653.738630101</v>
      </c>
      <c r="L220" s="30">
        <f t="shared" ref="L220" si="132">(K220/$K$221)</f>
        <v>9.9585315070996132E-4</v>
      </c>
      <c r="M220" s="35">
        <v>101.29</v>
      </c>
      <c r="N220" s="35">
        <v>103.37</v>
      </c>
      <c r="O220" s="32">
        <v>160</v>
      </c>
      <c r="P220" s="50">
        <v>2.3300000000000001E-2</v>
      </c>
      <c r="Q220" s="50">
        <v>0.12970000000000001</v>
      </c>
      <c r="R220" s="57">
        <f t="shared" ref="R220" si="133">((K220-D220)/D220)</f>
        <v>0.1562226594760234</v>
      </c>
      <c r="S220" s="57">
        <f t="shared" ref="S220" si="134">((N220-G220)/G220)</f>
        <v>-8.69901411173296E-4</v>
      </c>
      <c r="T220" s="57">
        <f t="shared" ref="T220" si="135">((O220-H220)/H220)</f>
        <v>0</v>
      </c>
      <c r="U220" s="57">
        <f t="shared" ref="U220" si="136">P220-I220</f>
        <v>-8.9999999999999802E-4</v>
      </c>
      <c r="V220" s="58">
        <f t="shared" ref="V220" si="137">Q220-J220</f>
        <v>0.11680000000000001</v>
      </c>
    </row>
    <row r="221" spans="1:22">
      <c r="A221" s="36"/>
      <c r="B221" s="37"/>
      <c r="C221" s="71" t="s">
        <v>53</v>
      </c>
      <c r="D221" s="48">
        <f>SUM(D200:D220)</f>
        <v>57091876521.208221</v>
      </c>
      <c r="E221" s="40">
        <f>(D221/$D$222)</f>
        <v>1.1264865970186101E-2</v>
      </c>
      <c r="F221" s="41"/>
      <c r="G221" s="74"/>
      <c r="H221" s="84">
        <f>SUM(H200:H220)</f>
        <v>31529</v>
      </c>
      <c r="I221" s="81"/>
      <c r="J221" s="81"/>
      <c r="K221" s="48">
        <f>SUM(K200:K220)</f>
        <v>57662772566.107521</v>
      </c>
      <c r="L221" s="40">
        <f>(K221/$K$222)</f>
        <v>1.1232617109317281E-2</v>
      </c>
      <c r="M221" s="41"/>
      <c r="N221" s="74"/>
      <c r="O221" s="43">
        <f>SUM(O200:O220)</f>
        <v>31607</v>
      </c>
      <c r="P221" s="81"/>
      <c r="Q221" s="81"/>
      <c r="R221" s="57">
        <f t="shared" si="113"/>
        <v>9.9996020394814995E-3</v>
      </c>
      <c r="S221" s="57" t="e">
        <f t="shared" si="114"/>
        <v>#DIV/0!</v>
      </c>
      <c r="T221" s="57">
        <f t="shared" si="115"/>
        <v>2.4739129055789907E-3</v>
      </c>
      <c r="U221" s="57">
        <f t="shared" si="116"/>
        <v>0</v>
      </c>
      <c r="V221" s="58">
        <f t="shared" si="117"/>
        <v>0</v>
      </c>
    </row>
    <row r="222" spans="1:22">
      <c r="A222" s="85"/>
      <c r="B222" s="85"/>
      <c r="C222" s="86" t="s">
        <v>251</v>
      </c>
      <c r="D222" s="87">
        <f>SUM(D25,D70,D110,D150,D158,D190,D196,D221)</f>
        <v>5068136334006.0264</v>
      </c>
      <c r="E222" s="88"/>
      <c r="F222" s="88"/>
      <c r="G222" s="89"/>
      <c r="H222" s="87">
        <f>SUM(H25,H70,H110,H150,H158,H190,H196,H221)</f>
        <v>868425</v>
      </c>
      <c r="I222" s="111"/>
      <c r="J222" s="111"/>
      <c r="K222" s="87">
        <f>SUM(K25,K70,K110,K150,K158,K190,K196,K221)</f>
        <v>5133511808060.9326</v>
      </c>
      <c r="L222" s="88"/>
      <c r="M222" s="88"/>
      <c r="N222" s="89"/>
      <c r="O222" s="87">
        <f>SUM(O25,O70,O110,O150,O158,O190,O196,O221)</f>
        <v>871724</v>
      </c>
      <c r="P222" s="112"/>
      <c r="Q222" s="87"/>
      <c r="R222" s="118">
        <f t="shared" si="113"/>
        <v>1.2899312438825273E-2</v>
      </c>
      <c r="S222" s="118"/>
      <c r="T222" s="118"/>
      <c r="U222" s="118"/>
      <c r="V222" s="118"/>
    </row>
    <row r="223" spans="1:22" ht="6.75" customHeight="1">
      <c r="A223" s="36"/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37"/>
    </row>
    <row r="224" spans="1:22" ht="14.4" customHeight="1">
      <c r="A224" s="183" t="s">
        <v>252</v>
      </c>
      <c r="B224" s="183"/>
      <c r="C224" s="183"/>
      <c r="D224" s="183"/>
      <c r="E224" s="183"/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/>
      <c r="S224" s="183"/>
      <c r="T224" s="183"/>
      <c r="U224" s="183"/>
      <c r="V224" s="183"/>
    </row>
    <row r="225" spans="1:22" ht="14.4" customHeight="1">
      <c r="A225" s="135">
        <v>1</v>
      </c>
      <c r="B225" s="133" t="s">
        <v>253</v>
      </c>
      <c r="C225" s="134" t="s">
        <v>189</v>
      </c>
      <c r="D225" s="29">
        <v>4073934520.744627</v>
      </c>
      <c r="E225" s="30">
        <f t="shared" ref="E225" si="138">(D225/$D$221)</f>
        <v>7.1357516497662518E-2</v>
      </c>
      <c r="F225" s="35">
        <v>123.2</v>
      </c>
      <c r="G225" s="35">
        <v>123.2</v>
      </c>
      <c r="H225" s="32">
        <v>9</v>
      </c>
      <c r="I225" s="50">
        <v>0.29724128005054862</v>
      </c>
      <c r="J225" s="50">
        <v>0.24169495424520768</v>
      </c>
      <c r="K225" s="29">
        <v>4099024723.253808</v>
      </c>
      <c r="L225" s="30">
        <f>(K225/$K$227)</f>
        <v>0.27787385802652748</v>
      </c>
      <c r="M225" s="35">
        <v>123.2</v>
      </c>
      <c r="N225" s="35">
        <v>123.2</v>
      </c>
      <c r="O225" s="32">
        <v>9</v>
      </c>
      <c r="P225" s="50">
        <v>0.2954218609413522</v>
      </c>
      <c r="Q225" s="50">
        <v>0.24665406954653296</v>
      </c>
      <c r="R225" s="57">
        <f t="shared" ref="R225" si="139">((K225-D225)/D225)</f>
        <v>6.1587152128785511E-3</v>
      </c>
      <c r="S225" s="57">
        <f t="shared" ref="S225" si="140">((N225-G225)/G225)</f>
        <v>0</v>
      </c>
      <c r="T225" s="57">
        <f t="shared" ref="T225" si="141">((O225-H225)/H225)</f>
        <v>0</v>
      </c>
      <c r="U225" s="57">
        <f t="shared" ref="U225" si="142">P225-I225</f>
        <v>-1.8194191091964185E-3</v>
      </c>
      <c r="V225" s="58">
        <f t="shared" ref="V225" si="143">Q225-J225</f>
        <v>4.9591153013252842E-3</v>
      </c>
    </row>
    <row r="226" spans="1:22" ht="14.4" customHeight="1">
      <c r="A226" s="135">
        <v>2</v>
      </c>
      <c r="B226" s="133" t="s">
        <v>302</v>
      </c>
      <c r="C226" s="134" t="s">
        <v>41</v>
      </c>
      <c r="D226" s="29">
        <v>10556178284.459999</v>
      </c>
      <c r="E226" s="30">
        <f t="shared" ref="E226" si="144">(D226/$D$221)</f>
        <v>0.18489807881054041</v>
      </c>
      <c r="F226" s="35">
        <v>1.01</v>
      </c>
      <c r="G226" s="35">
        <v>1.01</v>
      </c>
      <c r="H226" s="32">
        <v>16</v>
      </c>
      <c r="I226" s="50">
        <v>-8.0199999999999994E-2</v>
      </c>
      <c r="J226" s="50">
        <v>-9.4399999999999998E-2</v>
      </c>
      <c r="K226" s="29">
        <v>10652361939.620001</v>
      </c>
      <c r="L226" s="30">
        <f>(K226/$K$227)</f>
        <v>0.72212614197347247</v>
      </c>
      <c r="M226" s="35">
        <v>1.02</v>
      </c>
      <c r="N226" s="35">
        <v>1.02</v>
      </c>
      <c r="O226" s="32">
        <v>16</v>
      </c>
      <c r="P226" s="50">
        <v>9.1000000000000004E-3</v>
      </c>
      <c r="Q226" s="50">
        <v>-6.0499999999999998E-2</v>
      </c>
      <c r="R226" s="57">
        <f t="shared" ref="R226:R227" si="145">((K226-D226)/D226)</f>
        <v>9.1115982098934414E-3</v>
      </c>
      <c r="S226" s="57">
        <f t="shared" ref="S226" si="146">((N226-G226)/G226)</f>
        <v>9.9009900990099098E-3</v>
      </c>
      <c r="T226" s="57">
        <f t="shared" ref="T226" si="147">((O226-H226)/H226)</f>
        <v>0</v>
      </c>
      <c r="U226" s="57">
        <f t="shared" ref="U226" si="148">P226-I226</f>
        <v>8.929999999999999E-2</v>
      </c>
      <c r="V226" s="58">
        <f t="shared" ref="V226" si="149">Q226-J226</f>
        <v>3.39E-2</v>
      </c>
    </row>
    <row r="227" spans="1:22" ht="14.4" customHeight="1">
      <c r="A227" s="90"/>
      <c r="B227" s="90"/>
      <c r="C227" s="90" t="s">
        <v>53</v>
      </c>
      <c r="D227" s="90">
        <f>SUM(D225:D226)</f>
        <v>14630112805.204626</v>
      </c>
      <c r="E227" s="90"/>
      <c r="F227" s="90"/>
      <c r="G227" s="90"/>
      <c r="H227" s="90">
        <f>SUM(H225:H226)</f>
        <v>25</v>
      </c>
      <c r="I227" s="90"/>
      <c r="J227" s="90"/>
      <c r="K227" s="90">
        <f>SUM(K225:K226)</f>
        <v>14751386662.87381</v>
      </c>
      <c r="L227" s="40"/>
      <c r="M227" s="90"/>
      <c r="N227" s="90"/>
      <c r="O227" s="90">
        <f>SUM(O225:O226)</f>
        <v>25</v>
      </c>
      <c r="P227" s="90"/>
      <c r="Q227" s="90"/>
      <c r="R227" s="118">
        <f t="shared" si="145"/>
        <v>8.2893316875889602E-3</v>
      </c>
      <c r="S227" s="90"/>
      <c r="T227" s="90"/>
      <c r="U227" s="90"/>
      <c r="V227" s="90"/>
    </row>
    <row r="228" spans="1:22" ht="6" customHeight="1">
      <c r="A228" s="36"/>
      <c r="B228" s="137"/>
      <c r="C228" s="71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37"/>
    </row>
    <row r="229" spans="1:22" ht="15.6">
      <c r="A229" s="183" t="s">
        <v>254</v>
      </c>
      <c r="B229" s="183"/>
      <c r="C229" s="183"/>
      <c r="D229" s="183"/>
      <c r="E229" s="183"/>
      <c r="F229" s="183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/>
      <c r="S229" s="183"/>
      <c r="T229" s="183"/>
      <c r="U229" s="183"/>
      <c r="V229" s="183"/>
    </row>
    <row r="230" spans="1:22">
      <c r="A230" s="135">
        <v>1</v>
      </c>
      <c r="B230" s="133" t="s">
        <v>255</v>
      </c>
      <c r="C230" s="134" t="s">
        <v>256</v>
      </c>
      <c r="D230" s="29">
        <v>117431274879</v>
      </c>
      <c r="E230" s="30">
        <f>(D230/$D$232)</f>
        <v>0.89730961667822029</v>
      </c>
      <c r="F230" s="60">
        <v>111.28</v>
      </c>
      <c r="G230" s="60">
        <v>111.28</v>
      </c>
      <c r="H230" s="32">
        <v>0</v>
      </c>
      <c r="I230" s="50">
        <v>0.23899999999999999</v>
      </c>
      <c r="J230" s="50">
        <v>0.23899999999999999</v>
      </c>
      <c r="K230" s="29">
        <v>117431274879</v>
      </c>
      <c r="L230" s="30">
        <f>(K230/$K$232)</f>
        <v>0.89713390728983122</v>
      </c>
      <c r="M230" s="60">
        <v>111.28</v>
      </c>
      <c r="N230" s="60">
        <v>111.28</v>
      </c>
      <c r="O230" s="32">
        <v>0</v>
      </c>
      <c r="P230" s="50">
        <v>0.23899999999999999</v>
      </c>
      <c r="Q230" s="50">
        <v>0.23899999999999999</v>
      </c>
      <c r="R230" s="57">
        <f>((K230-D230)/D230)</f>
        <v>0</v>
      </c>
      <c r="S230" s="57">
        <f>((N230-G230)/G230)</f>
        <v>0</v>
      </c>
      <c r="T230" s="57" t="e">
        <f>((O230-H230)/H230)</f>
        <v>#DIV/0!</v>
      </c>
      <c r="U230" s="57">
        <f>P230-I230</f>
        <v>0</v>
      </c>
      <c r="V230" s="58">
        <f>Q230-J230</f>
        <v>0</v>
      </c>
    </row>
    <row r="231" spans="1:22">
      <c r="A231" s="135">
        <v>2</v>
      </c>
      <c r="B231" s="133" t="s">
        <v>257</v>
      </c>
      <c r="C231" s="134" t="s">
        <v>52</v>
      </c>
      <c r="D231" s="29">
        <v>13439132276.25</v>
      </c>
      <c r="E231" s="30">
        <f>(D231/$D$232)</f>
        <v>0.10269038332177967</v>
      </c>
      <c r="F231" s="91">
        <v>1000000</v>
      </c>
      <c r="G231" s="91">
        <v>1000000</v>
      </c>
      <c r="H231" s="32">
        <v>26</v>
      </c>
      <c r="I231" s="50">
        <v>0.19689999999999999</v>
      </c>
      <c r="J231" s="50">
        <v>0.19689999999999999</v>
      </c>
      <c r="K231" s="29">
        <v>13464764078.83</v>
      </c>
      <c r="L231" s="30">
        <f>(K231/$K$232)</f>
        <v>0.10286609271016874</v>
      </c>
      <c r="M231" s="91">
        <v>1000000</v>
      </c>
      <c r="N231" s="91">
        <v>1000000</v>
      </c>
      <c r="O231" s="32">
        <v>26</v>
      </c>
      <c r="P231" s="50">
        <v>0.19320000000000001</v>
      </c>
      <c r="Q231" s="50">
        <v>0.19320000000000001</v>
      </c>
      <c r="R231" s="57">
        <f>((K231-D231)/D231)</f>
        <v>1.9072513055993312E-3</v>
      </c>
      <c r="S231" s="57">
        <f>((N231-G231)/G231)</f>
        <v>0</v>
      </c>
      <c r="T231" s="57">
        <f>((O231-H231)/H231)</f>
        <v>0</v>
      </c>
      <c r="U231" s="57">
        <f>P231-I231</f>
        <v>-3.6999999999999811E-3</v>
      </c>
      <c r="V231" s="58">
        <f>Q231-J231</f>
        <v>-3.6999999999999811E-3</v>
      </c>
    </row>
    <row r="232" spans="1:22">
      <c r="A232" s="85"/>
      <c r="B232" s="85"/>
      <c r="C232" s="86" t="s">
        <v>258</v>
      </c>
      <c r="D232" s="90">
        <f>SUM(D230:D231)</f>
        <v>130870407155.25</v>
      </c>
      <c r="E232" s="92"/>
      <c r="F232" s="93"/>
      <c r="G232" s="93"/>
      <c r="H232" s="90">
        <f>SUM(H230:H231)</f>
        <v>26</v>
      </c>
      <c r="I232" s="113"/>
      <c r="J232" s="113"/>
      <c r="K232" s="90">
        <f>SUM(K230:K231)</f>
        <v>130896038957.83</v>
      </c>
      <c r="L232" s="92"/>
      <c r="M232" s="93"/>
      <c r="N232" s="93"/>
      <c r="O232" s="90">
        <f>SUM(O230:O231)</f>
        <v>26</v>
      </c>
      <c r="P232" s="113"/>
      <c r="Q232" s="90"/>
      <c r="R232" s="118">
        <f>((K232-D232)/D232)</f>
        <v>1.9585636766297464E-4</v>
      </c>
      <c r="S232" s="119"/>
      <c r="T232" s="119"/>
      <c r="U232" s="118"/>
      <c r="V232" s="120"/>
    </row>
    <row r="233" spans="1:22" ht="4.5" customHeight="1">
      <c r="A233" s="36"/>
      <c r="B233" s="185"/>
      <c r="C233" s="185"/>
      <c r="D233" s="185"/>
      <c r="E233" s="185"/>
      <c r="F233" s="185"/>
      <c r="G233" s="185"/>
      <c r="H233" s="185"/>
      <c r="I233" s="185"/>
      <c r="J233" s="185"/>
      <c r="K233" s="185"/>
      <c r="L233" s="185"/>
      <c r="M233" s="185"/>
      <c r="N233" s="185"/>
      <c r="O233" s="185"/>
      <c r="P233" s="185"/>
      <c r="Q233" s="185"/>
      <c r="R233" s="185"/>
      <c r="S233" s="185"/>
      <c r="T233" s="185"/>
      <c r="U233" s="185"/>
      <c r="V233" s="185"/>
    </row>
    <row r="234" spans="1:22" ht="15.6">
      <c r="A234" s="183" t="s">
        <v>259</v>
      </c>
      <c r="B234" s="183"/>
      <c r="C234" s="183"/>
      <c r="D234" s="183"/>
      <c r="E234" s="183"/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</row>
    <row r="235" spans="1:22">
      <c r="A235" s="135">
        <v>1</v>
      </c>
      <c r="B235" s="133" t="s">
        <v>260</v>
      </c>
      <c r="C235" s="134" t="s">
        <v>82</v>
      </c>
      <c r="D235" s="94">
        <v>1038625754.02</v>
      </c>
      <c r="E235" s="95">
        <f t="shared" ref="E235:E246" si="150">(D235/$D$247)</f>
        <v>7.8340920386566926E-2</v>
      </c>
      <c r="F235" s="91">
        <v>241.8597</v>
      </c>
      <c r="G235" s="91">
        <v>241.8597</v>
      </c>
      <c r="H235" s="96">
        <v>254</v>
      </c>
      <c r="I235" s="52">
        <v>-4.6970998502640082E-2</v>
      </c>
      <c r="J235" s="52">
        <v>5.4590128193947818E-2</v>
      </c>
      <c r="K235" s="94">
        <v>1038625754.02</v>
      </c>
      <c r="L235" s="95">
        <f t="shared" ref="L235:L246" si="151">(K235/$K$247)</f>
        <v>7.6867160640447435E-2</v>
      </c>
      <c r="M235" s="91">
        <v>244.65</v>
      </c>
      <c r="N235" s="91">
        <v>244.65</v>
      </c>
      <c r="O235" s="96">
        <v>254</v>
      </c>
      <c r="P235" s="52">
        <v>1.15E-2</v>
      </c>
      <c r="Q235" s="52">
        <v>6.6799999999999998E-2</v>
      </c>
      <c r="R235" s="57">
        <f>((K235-D235)/D235)</f>
        <v>0</v>
      </c>
      <c r="S235" s="57">
        <f>((N235-G235)/G235)</f>
        <v>1.15368538040856E-2</v>
      </c>
      <c r="T235" s="57">
        <f>((O235-H235)/H235)</f>
        <v>0</v>
      </c>
      <c r="U235" s="57">
        <f>P235-I235</f>
        <v>5.8470998502640079E-2</v>
      </c>
      <c r="V235" s="58">
        <f>Q235-J235</f>
        <v>1.220987180605218E-2</v>
      </c>
    </row>
    <row r="236" spans="1:22">
      <c r="A236" s="135">
        <v>2</v>
      </c>
      <c r="B236" s="133" t="s">
        <v>261</v>
      </c>
      <c r="C236" s="134" t="s">
        <v>233</v>
      </c>
      <c r="D236" s="94">
        <v>1141904159.54</v>
      </c>
      <c r="E236" s="95">
        <f t="shared" si="150"/>
        <v>8.6130949964764822E-2</v>
      </c>
      <c r="F236" s="91">
        <v>32.270000000000003</v>
      </c>
      <c r="G236" s="91">
        <v>34.19</v>
      </c>
      <c r="H236" s="96">
        <v>230</v>
      </c>
      <c r="I236" s="52">
        <v>1E-4</v>
      </c>
      <c r="J236" s="52">
        <v>5.9499999999999997E-2</v>
      </c>
      <c r="K236" s="94">
        <v>1161299727.8299999</v>
      </c>
      <c r="L236" s="95">
        <f t="shared" si="151"/>
        <v>8.5946080563969504E-2</v>
      </c>
      <c r="M236" s="91">
        <v>33.03</v>
      </c>
      <c r="N236" s="91">
        <v>36.51</v>
      </c>
      <c r="O236" s="96">
        <v>230</v>
      </c>
      <c r="P236" s="52">
        <v>1.7000000000000001E-2</v>
      </c>
      <c r="Q236" s="52">
        <v>7.7499999999999999E-2</v>
      </c>
      <c r="R236" s="57">
        <f t="shared" ref="R236:R247" si="152">((K236-D236)/D236)</f>
        <v>1.6985285610846005E-2</v>
      </c>
      <c r="S236" s="57">
        <f t="shared" ref="S236:S247" si="153">((N236-G236)/G236)</f>
        <v>6.7856098274349241E-2</v>
      </c>
      <c r="T236" s="57">
        <f t="shared" ref="T236:T247" si="154">((O236-H236)/H236)</f>
        <v>0</v>
      </c>
      <c r="U236" s="57">
        <f t="shared" ref="U236:U247" si="155">P236-I236</f>
        <v>1.6900000000000002E-2</v>
      </c>
      <c r="V236" s="58">
        <f t="shared" ref="V236:V247" si="156">Q236-J236</f>
        <v>1.8000000000000002E-2</v>
      </c>
    </row>
    <row r="237" spans="1:22">
      <c r="A237" s="135">
        <v>3</v>
      </c>
      <c r="B237" s="133" t="s">
        <v>262</v>
      </c>
      <c r="C237" s="134" t="s">
        <v>43</v>
      </c>
      <c r="D237" s="94">
        <v>376502299.38</v>
      </c>
      <c r="E237" s="95">
        <f t="shared" si="150"/>
        <v>2.8398618604367858E-2</v>
      </c>
      <c r="F237" s="91">
        <v>28.091117000000001</v>
      </c>
      <c r="G237" s="91">
        <v>28.452434</v>
      </c>
      <c r="H237" s="96">
        <v>167</v>
      </c>
      <c r="I237" s="52">
        <v>-1.4913213115004265E-2</v>
      </c>
      <c r="J237" s="52">
        <v>-1.7706623712267833E-2</v>
      </c>
      <c r="K237" s="94">
        <v>394178621.61000001</v>
      </c>
      <c r="L237" s="95">
        <f t="shared" si="151"/>
        <v>2.9172578583818332E-2</v>
      </c>
      <c r="M237" s="91">
        <v>29.409962</v>
      </c>
      <c r="N237" s="91">
        <v>29.778704999999999</v>
      </c>
      <c r="O237" s="96">
        <v>167</v>
      </c>
      <c r="P237" s="52">
        <v>4.6948776299927664E-2</v>
      </c>
      <c r="Q237" s="52">
        <v>2.8410848271965605E-2</v>
      </c>
      <c r="R237" s="57">
        <f t="shared" si="152"/>
        <v>4.6948776299927678E-2</v>
      </c>
      <c r="S237" s="57">
        <f t="shared" si="153"/>
        <v>4.6613621878535891E-2</v>
      </c>
      <c r="T237" s="57">
        <f t="shared" si="154"/>
        <v>0</v>
      </c>
      <c r="U237" s="57">
        <f t="shared" si="155"/>
        <v>6.1861989414931928E-2</v>
      </c>
      <c r="V237" s="58">
        <f t="shared" si="156"/>
        <v>4.6117471984233438E-2</v>
      </c>
    </row>
    <row r="238" spans="1:22">
      <c r="A238" s="135">
        <v>4</v>
      </c>
      <c r="B238" s="133" t="s">
        <v>263</v>
      </c>
      <c r="C238" s="134" t="s">
        <v>43</v>
      </c>
      <c r="D238" s="94">
        <v>840090839.70999992</v>
      </c>
      <c r="E238" s="95">
        <f t="shared" si="150"/>
        <v>6.3365932662919455E-2</v>
      </c>
      <c r="F238" s="91">
        <v>63.04</v>
      </c>
      <c r="G238" s="91">
        <v>63.610027000000002</v>
      </c>
      <c r="H238" s="96">
        <v>460</v>
      </c>
      <c r="I238" s="52">
        <v>-1.5226273239229982E-2</v>
      </c>
      <c r="J238" s="52">
        <v>-4.973048267495217E-2</v>
      </c>
      <c r="K238" s="94">
        <v>881437000.51999998</v>
      </c>
      <c r="L238" s="95">
        <f t="shared" si="151"/>
        <v>6.5233852762811725E-2</v>
      </c>
      <c r="M238" s="91">
        <v>66.141705999999999</v>
      </c>
      <c r="N238" s="91">
        <v>66.727395000000001</v>
      </c>
      <c r="O238" s="96">
        <v>460</v>
      </c>
      <c r="P238" s="52">
        <v>4.9216297637851625E-2</v>
      </c>
      <c r="Q238" s="52">
        <v>-2.9617352741050373E-3</v>
      </c>
      <c r="R238" s="57">
        <f t="shared" si="152"/>
        <v>4.9216297637851632E-2</v>
      </c>
      <c r="S238" s="57">
        <f t="shared" si="153"/>
        <v>4.900749373994133E-2</v>
      </c>
      <c r="T238" s="57">
        <f t="shared" si="154"/>
        <v>0</v>
      </c>
      <c r="U238" s="57">
        <f t="shared" si="155"/>
        <v>6.4442570877081606E-2</v>
      </c>
      <c r="V238" s="58">
        <f t="shared" si="156"/>
        <v>4.6768747400847133E-2</v>
      </c>
    </row>
    <row r="239" spans="1:22">
      <c r="A239" s="135">
        <v>5</v>
      </c>
      <c r="B239" s="133" t="s">
        <v>264</v>
      </c>
      <c r="C239" s="134" t="s">
        <v>265</v>
      </c>
      <c r="D239" s="94">
        <v>1652138946.6300001</v>
      </c>
      <c r="E239" s="95">
        <f t="shared" si="150"/>
        <v>0.12461667273753646</v>
      </c>
      <c r="F239" s="91">
        <v>49600</v>
      </c>
      <c r="G239" s="91">
        <v>52750</v>
      </c>
      <c r="H239" s="96">
        <v>228</v>
      </c>
      <c r="I239" s="52">
        <v>1.2E-2</v>
      </c>
      <c r="J239" s="52">
        <v>0.31</v>
      </c>
      <c r="K239" s="94">
        <v>1644968105.01</v>
      </c>
      <c r="L239" s="95">
        <f t="shared" si="151"/>
        <v>0.12174166400824801</v>
      </c>
      <c r="M239" s="91">
        <v>47830</v>
      </c>
      <c r="N239" s="91">
        <v>50600</v>
      </c>
      <c r="O239" s="96">
        <v>228</v>
      </c>
      <c r="P239" s="52">
        <v>-4.0000000000000001E-3</v>
      </c>
      <c r="Q239" s="52">
        <v>0.31</v>
      </c>
      <c r="R239" s="57">
        <f t="shared" si="152"/>
        <v>-4.3403381020870324E-3</v>
      </c>
      <c r="S239" s="57">
        <f t="shared" si="153"/>
        <v>-4.0758293838862557E-2</v>
      </c>
      <c r="T239" s="57">
        <f t="shared" si="154"/>
        <v>0</v>
      </c>
      <c r="U239" s="57">
        <f t="shared" si="155"/>
        <v>-1.6E-2</v>
      </c>
      <c r="V239" s="58">
        <f t="shared" si="156"/>
        <v>0</v>
      </c>
    </row>
    <row r="240" spans="1:22">
      <c r="A240" s="135">
        <v>6</v>
      </c>
      <c r="B240" s="133" t="s">
        <v>266</v>
      </c>
      <c r="C240" s="134" t="s">
        <v>267</v>
      </c>
      <c r="D240" s="94">
        <v>1002215901.53</v>
      </c>
      <c r="E240" s="95">
        <f t="shared" si="150"/>
        <v>7.5594617067815589E-2</v>
      </c>
      <c r="F240" s="91">
        <v>300</v>
      </c>
      <c r="G240" s="91">
        <v>300</v>
      </c>
      <c r="H240" s="96">
        <v>141</v>
      </c>
      <c r="I240" s="52">
        <v>-2.3E-2</v>
      </c>
      <c r="J240" s="52">
        <v>3.6600000000000001E-2</v>
      </c>
      <c r="K240" s="94">
        <v>1046131764.05</v>
      </c>
      <c r="L240" s="95">
        <f t="shared" si="151"/>
        <v>7.7422669375438527E-2</v>
      </c>
      <c r="M240" s="91">
        <v>300</v>
      </c>
      <c r="N240" s="91">
        <v>300</v>
      </c>
      <c r="O240" s="96">
        <v>141</v>
      </c>
      <c r="P240" s="52">
        <v>4.3700000000000003E-2</v>
      </c>
      <c r="Q240" s="52">
        <v>8.09E-2</v>
      </c>
      <c r="R240" s="57">
        <f t="shared" si="152"/>
        <v>4.3818764452806303E-2</v>
      </c>
      <c r="S240" s="57">
        <f t="shared" si="153"/>
        <v>0</v>
      </c>
      <c r="T240" s="57">
        <f t="shared" si="154"/>
        <v>0</v>
      </c>
      <c r="U240" s="57">
        <f t="shared" si="155"/>
        <v>6.6700000000000009E-2</v>
      </c>
      <c r="V240" s="58">
        <f t="shared" si="156"/>
        <v>4.4299999999999999E-2</v>
      </c>
    </row>
    <row r="241" spans="1:26">
      <c r="A241" s="135">
        <v>7</v>
      </c>
      <c r="B241" s="133" t="s">
        <v>268</v>
      </c>
      <c r="C241" s="134" t="s">
        <v>267</v>
      </c>
      <c r="D241" s="94">
        <v>851527066.5</v>
      </c>
      <c r="E241" s="95">
        <f t="shared" si="150"/>
        <v>6.4228538398441073E-2</v>
      </c>
      <c r="F241" s="91">
        <v>300</v>
      </c>
      <c r="G241" s="91">
        <v>300</v>
      </c>
      <c r="H241" s="96">
        <v>630</v>
      </c>
      <c r="I241" s="52">
        <v>-2.7000000000000001E-3</v>
      </c>
      <c r="J241" s="52">
        <v>1.7399999999999999E-2</v>
      </c>
      <c r="K241" s="94">
        <v>864229108.99000001</v>
      </c>
      <c r="L241" s="95">
        <f t="shared" si="151"/>
        <v>6.3960322083064666E-2</v>
      </c>
      <c r="M241" s="91">
        <v>310</v>
      </c>
      <c r="N241" s="91">
        <v>310</v>
      </c>
      <c r="O241" s="96">
        <v>630</v>
      </c>
      <c r="P241" s="52">
        <v>1.49E-2</v>
      </c>
      <c r="Q241" s="52">
        <v>3.2399999999999998E-2</v>
      </c>
      <c r="R241" s="57">
        <f t="shared" si="152"/>
        <v>1.4916780675227085E-2</v>
      </c>
      <c r="S241" s="57">
        <f t="shared" si="153"/>
        <v>3.3333333333333333E-2</v>
      </c>
      <c r="T241" s="57">
        <f t="shared" si="154"/>
        <v>0</v>
      </c>
      <c r="U241" s="57">
        <f t="shared" si="155"/>
        <v>1.7600000000000001E-2</v>
      </c>
      <c r="V241" s="58">
        <f t="shared" si="156"/>
        <v>1.4999999999999999E-2</v>
      </c>
    </row>
    <row r="242" spans="1:26">
      <c r="A242" s="135">
        <v>8</v>
      </c>
      <c r="B242" s="133" t="s">
        <v>269</v>
      </c>
      <c r="C242" s="134" t="s">
        <v>270</v>
      </c>
      <c r="D242" s="94">
        <v>63431569.280000001</v>
      </c>
      <c r="E242" s="95">
        <f t="shared" si="150"/>
        <v>4.7844832459871733E-3</v>
      </c>
      <c r="F242" s="91">
        <v>18.260000000000002</v>
      </c>
      <c r="G242" s="91">
        <v>18.36</v>
      </c>
      <c r="H242" s="96">
        <v>86</v>
      </c>
      <c r="I242" s="52">
        <v>5.1000000000000004E-3</v>
      </c>
      <c r="J242" s="52">
        <v>0.15409999999999999</v>
      </c>
      <c r="K242" s="94">
        <v>69316836.849999994</v>
      </c>
      <c r="L242" s="95">
        <f t="shared" si="151"/>
        <v>5.1300368902021621E-3</v>
      </c>
      <c r="M242" s="91">
        <v>19.829999999999998</v>
      </c>
      <c r="N242" s="91">
        <v>19.93</v>
      </c>
      <c r="O242" s="96">
        <v>86</v>
      </c>
      <c r="P242" s="52">
        <v>0</v>
      </c>
      <c r="Q242" s="52">
        <v>0.15409999999999999</v>
      </c>
      <c r="R242" s="57">
        <f t="shared" si="152"/>
        <v>9.2781364812546424E-2</v>
      </c>
      <c r="S242" s="57">
        <f t="shared" si="153"/>
        <v>8.5511982570806125E-2</v>
      </c>
      <c r="T242" s="57">
        <f t="shared" si="154"/>
        <v>0</v>
      </c>
      <c r="U242" s="57">
        <f t="shared" si="155"/>
        <v>-5.1000000000000004E-3</v>
      </c>
      <c r="V242" s="58">
        <f t="shared" si="156"/>
        <v>0</v>
      </c>
    </row>
    <row r="243" spans="1:26">
      <c r="A243" s="135">
        <v>9</v>
      </c>
      <c r="B243" s="133" t="s">
        <v>271</v>
      </c>
      <c r="C243" s="134" t="s">
        <v>270</v>
      </c>
      <c r="D243" s="97">
        <v>657755127.46000004</v>
      </c>
      <c r="E243" s="95">
        <f t="shared" si="150"/>
        <v>4.9612809883402706E-2</v>
      </c>
      <c r="F243" s="91">
        <v>10.7</v>
      </c>
      <c r="G243" s="91">
        <v>10.8</v>
      </c>
      <c r="H243" s="96">
        <v>128</v>
      </c>
      <c r="I243" s="52">
        <v>8.0000000000000004E-4</v>
      </c>
      <c r="J243" s="52">
        <v>0.1651</v>
      </c>
      <c r="K243" s="97">
        <v>705731401.90999997</v>
      </c>
      <c r="L243" s="95">
        <f t="shared" si="151"/>
        <v>5.223014048097592E-2</v>
      </c>
      <c r="M243" s="91">
        <v>11.25</v>
      </c>
      <c r="N243" s="91">
        <v>11.35</v>
      </c>
      <c r="O243" s="96">
        <v>128</v>
      </c>
      <c r="P243" s="52">
        <v>0</v>
      </c>
      <c r="Q243" s="52">
        <v>0.1651</v>
      </c>
      <c r="R243" s="57">
        <f t="shared" si="152"/>
        <v>7.2939415364599344E-2</v>
      </c>
      <c r="S243" s="57">
        <f t="shared" si="153"/>
        <v>5.0925925925925826E-2</v>
      </c>
      <c r="T243" s="57">
        <f t="shared" si="154"/>
        <v>0</v>
      </c>
      <c r="U243" s="57">
        <f t="shared" si="155"/>
        <v>-8.0000000000000004E-4</v>
      </c>
      <c r="V243" s="58">
        <f t="shared" si="156"/>
        <v>0</v>
      </c>
    </row>
    <row r="244" spans="1:26" ht="15" customHeight="1">
      <c r="A244" s="135">
        <v>10</v>
      </c>
      <c r="B244" s="133" t="s">
        <v>272</v>
      </c>
      <c r="C244" s="134" t="s">
        <v>270</v>
      </c>
      <c r="D244" s="94">
        <v>94633506.75</v>
      </c>
      <c r="E244" s="95">
        <f t="shared" si="150"/>
        <v>7.1379666732783852E-3</v>
      </c>
      <c r="F244" s="91">
        <v>129.33000000000001</v>
      </c>
      <c r="G244" s="91">
        <v>131.33000000000001</v>
      </c>
      <c r="H244" s="96">
        <v>303</v>
      </c>
      <c r="I244" s="52">
        <v>0.26769999999999999</v>
      </c>
      <c r="J244" s="52">
        <v>0.22439999999999999</v>
      </c>
      <c r="K244" s="94">
        <v>95915318.859999999</v>
      </c>
      <c r="L244" s="95">
        <f t="shared" si="151"/>
        <v>7.0985513253019016E-3</v>
      </c>
      <c r="M244" s="91">
        <v>131.1</v>
      </c>
      <c r="N244" s="91">
        <v>133.1</v>
      </c>
      <c r="O244" s="96">
        <v>303</v>
      </c>
      <c r="P244" s="52">
        <v>0</v>
      </c>
      <c r="Q244" s="52">
        <v>0.22439999999999999</v>
      </c>
      <c r="R244" s="57">
        <f t="shared" si="152"/>
        <v>1.3545013325842957E-2</v>
      </c>
      <c r="S244" s="57">
        <f t="shared" si="153"/>
        <v>1.3477499428919376E-2</v>
      </c>
      <c r="T244" s="57">
        <f t="shared" si="154"/>
        <v>0</v>
      </c>
      <c r="U244" s="57">
        <f t="shared" si="155"/>
        <v>-0.26769999999999999</v>
      </c>
      <c r="V244" s="58">
        <f t="shared" si="156"/>
        <v>0</v>
      </c>
    </row>
    <row r="245" spans="1:26">
      <c r="A245" s="135">
        <v>11</v>
      </c>
      <c r="B245" s="133" t="s">
        <v>273</v>
      </c>
      <c r="C245" s="134" t="s">
        <v>270</v>
      </c>
      <c r="D245" s="94">
        <v>5478088565.1099997</v>
      </c>
      <c r="E245" s="95">
        <f t="shared" si="150"/>
        <v>0.41319840037548422</v>
      </c>
      <c r="F245" s="91">
        <v>38.880000000000003</v>
      </c>
      <c r="G245" s="91">
        <v>39.08</v>
      </c>
      <c r="H245" s="96">
        <v>296</v>
      </c>
      <c r="I245" s="52">
        <v>0</v>
      </c>
      <c r="J245" s="52">
        <v>6.9099999999999995E-2</v>
      </c>
      <c r="K245" s="94">
        <v>5551669387.4499998</v>
      </c>
      <c r="L245" s="95">
        <f t="shared" si="151"/>
        <v>0.4108708656376685</v>
      </c>
      <c r="M245" s="91">
        <v>39.39</v>
      </c>
      <c r="N245" s="91">
        <v>39.39</v>
      </c>
      <c r="O245" s="96">
        <v>296</v>
      </c>
      <c r="P245" s="52">
        <v>0</v>
      </c>
      <c r="Q245" s="52">
        <v>6.9099999999999995E-2</v>
      </c>
      <c r="R245" s="57">
        <f t="shared" si="152"/>
        <v>1.3431842414640235E-2</v>
      </c>
      <c r="S245" s="57">
        <f t="shared" si="153"/>
        <v>7.9324462640737534E-3</v>
      </c>
      <c r="T245" s="57">
        <f t="shared" si="154"/>
        <v>0</v>
      </c>
      <c r="U245" s="57">
        <f t="shared" si="155"/>
        <v>0</v>
      </c>
      <c r="V245" s="58">
        <f t="shared" si="156"/>
        <v>0</v>
      </c>
    </row>
    <row r="246" spans="1:26">
      <c r="A246" s="135">
        <v>12</v>
      </c>
      <c r="B246" s="133" t="s">
        <v>274</v>
      </c>
      <c r="C246" s="134" t="s">
        <v>270</v>
      </c>
      <c r="D246" s="97">
        <v>60854348.700000003</v>
      </c>
      <c r="E246" s="95">
        <f t="shared" si="150"/>
        <v>4.5900899994352354E-3</v>
      </c>
      <c r="F246" s="91">
        <v>34.630000000000003</v>
      </c>
      <c r="G246" s="91">
        <v>34.83</v>
      </c>
      <c r="H246" s="96">
        <v>76</v>
      </c>
      <c r="I246" s="52">
        <v>2.8799999999999999E-2</v>
      </c>
      <c r="J246" s="52">
        <v>-1.67E-2</v>
      </c>
      <c r="K246" s="97">
        <v>58453774.299999997</v>
      </c>
      <c r="L246" s="95">
        <f t="shared" si="151"/>
        <v>4.3260776480534262E-3</v>
      </c>
      <c r="M246" s="91">
        <v>33.44</v>
      </c>
      <c r="N246" s="91">
        <v>33.64</v>
      </c>
      <c r="O246" s="96">
        <v>76</v>
      </c>
      <c r="P246" s="52">
        <v>0</v>
      </c>
      <c r="Q246" s="52">
        <v>-1.67E-2</v>
      </c>
      <c r="R246" s="57">
        <f t="shared" si="152"/>
        <v>-3.9447869400991646E-2</v>
      </c>
      <c r="S246" s="57">
        <f t="shared" si="153"/>
        <v>-3.4165948894631003E-2</v>
      </c>
      <c r="T246" s="57">
        <f t="shared" si="154"/>
        <v>0</v>
      </c>
      <c r="U246" s="57">
        <f t="shared" si="155"/>
        <v>-2.8799999999999999E-2</v>
      </c>
      <c r="V246" s="58">
        <f t="shared" si="156"/>
        <v>0</v>
      </c>
    </row>
    <row r="247" spans="1:26">
      <c r="A247" s="130"/>
      <c r="B247" s="130"/>
      <c r="C247" s="131" t="s">
        <v>275</v>
      </c>
      <c r="D247" s="90">
        <f>SUM(D235:D246)</f>
        <v>13257768084.610001</v>
      </c>
      <c r="E247" s="92"/>
      <c r="F247" s="92"/>
      <c r="G247" s="93"/>
      <c r="H247" s="90">
        <f>SUM(H235:H246)</f>
        <v>2999</v>
      </c>
      <c r="I247" s="113"/>
      <c r="J247" s="113"/>
      <c r="K247" s="90">
        <f>SUM(K235:K246)</f>
        <v>13511956801.399998</v>
      </c>
      <c r="L247" s="92"/>
      <c r="M247" s="92"/>
      <c r="N247" s="93"/>
      <c r="O247" s="90">
        <f>SUM(O235:O246)</f>
        <v>2999</v>
      </c>
      <c r="P247" s="113"/>
      <c r="Q247" s="113"/>
      <c r="R247" s="57">
        <f t="shared" si="152"/>
        <v>1.9172813641616396E-2</v>
      </c>
      <c r="S247" s="57" t="e">
        <f t="shared" si="153"/>
        <v>#DIV/0!</v>
      </c>
      <c r="T247" s="57">
        <f t="shared" si="154"/>
        <v>0</v>
      </c>
      <c r="U247" s="57">
        <f t="shared" si="155"/>
        <v>0</v>
      </c>
      <c r="V247" s="58">
        <f t="shared" si="156"/>
        <v>0</v>
      </c>
      <c r="Z247" s="65"/>
    </row>
    <row r="248" spans="1:26">
      <c r="A248" s="98"/>
      <c r="B248" s="98"/>
      <c r="C248" s="99" t="s">
        <v>276</v>
      </c>
      <c r="D248" s="100">
        <f>SUM(D222,D227,D232,D247)</f>
        <v>5226894622051.0918</v>
      </c>
      <c r="E248" s="101"/>
      <c r="F248" s="101"/>
      <c r="G248" s="102"/>
      <c r="H248" s="100">
        <f>SUM(H222,H227,H232,H247)</f>
        <v>871475</v>
      </c>
      <c r="I248" s="114"/>
      <c r="J248" s="114"/>
      <c r="K248" s="100">
        <f>SUM(K222,K227,K232,K247)</f>
        <v>5292671190483.0371</v>
      </c>
      <c r="L248" s="101"/>
      <c r="M248" s="101"/>
      <c r="N248" s="100"/>
      <c r="O248" s="100">
        <f>SUM(O222,O227,O232,O247)</f>
        <v>874774</v>
      </c>
      <c r="P248" s="115"/>
      <c r="Q248" s="100"/>
      <c r="R248" s="121"/>
      <c r="S248" s="122"/>
      <c r="T248" s="122"/>
      <c r="U248" s="123"/>
      <c r="V248" s="123"/>
      <c r="Z248" s="65"/>
    </row>
    <row r="249" spans="1:26">
      <c r="A249" s="103" t="s">
        <v>277</v>
      </c>
      <c r="B249" s="128" t="s">
        <v>318</v>
      </c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</row>
    <row r="250" spans="1:26">
      <c r="B250" s="127"/>
    </row>
    <row r="251" spans="1:26">
      <c r="B251" s="127"/>
      <c r="C251" s="105"/>
      <c r="D251" s="106"/>
      <c r="K251" s="106"/>
    </row>
    <row r="252" spans="1:26" ht="15">
      <c r="B252" s="107"/>
      <c r="C252" s="108"/>
      <c r="D252" s="109"/>
      <c r="F252" s="110"/>
      <c r="G252" s="110"/>
      <c r="I252" s="116"/>
      <c r="J252" s="117"/>
    </row>
    <row r="255" spans="1:26">
      <c r="B255" s="105"/>
    </row>
  </sheetData>
  <sheetProtection algorithmName="SHA-512" hashValue="J93D5oP2Atl/4w0jjlRheCcvvBUui4aWfbcAvQygVnPV5iFkNvH4taD4IHJeFY9hRx9mOKIKC4A4iZ8vW15Ddg==" saltValue="E2v4rrvu0uCvrHGXkEOMkA==" spinCount="100000" sheet="1" objects="1" scenarios="1"/>
  <sortState ref="A150:C177">
    <sortCondition descending="1" ref="A149"/>
  </sortState>
  <mergeCells count="34">
    <mergeCell ref="A224:V224"/>
    <mergeCell ref="A229:V229"/>
    <mergeCell ref="B233:V233"/>
    <mergeCell ref="A234:V234"/>
    <mergeCell ref="B202:V202"/>
    <mergeCell ref="A203:V203"/>
    <mergeCell ref="B217:V217"/>
    <mergeCell ref="A218:V218"/>
    <mergeCell ref="B223:U223"/>
    <mergeCell ref="B191:V191"/>
    <mergeCell ref="A192:V192"/>
    <mergeCell ref="B197:V197"/>
    <mergeCell ref="A198:V198"/>
    <mergeCell ref="A199:V199"/>
    <mergeCell ref="A132:V132"/>
    <mergeCell ref="B151:V151"/>
    <mergeCell ref="A152:V152"/>
    <mergeCell ref="B159:V159"/>
    <mergeCell ref="A160:V160"/>
    <mergeCell ref="A72:V72"/>
    <mergeCell ref="B111:V111"/>
    <mergeCell ref="A112:V112"/>
    <mergeCell ref="A113:V113"/>
    <mergeCell ref="B131:V131"/>
    <mergeCell ref="B4:V4"/>
    <mergeCell ref="A5:V5"/>
    <mergeCell ref="B26:V26"/>
    <mergeCell ref="A27:V27"/>
    <mergeCell ref="B71:V71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6 E96 E77 L49 E49 L34 E34 L136 E136" formula="1"/>
    <ignoredError sqref="S158 S25 T39 S70 S110 S150 S190 S196 S221 S247 T230:T231 R50:T50 R136 T169 R125:T125 R46:T46" evalError="1"/>
    <ignoredError sqref="I122 Q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F29"/>
  <sheetViews>
    <sheetView zoomScaleNormal="100" workbookViewId="0">
      <selection activeCell="G8" sqref="G8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6">
      <c r="A1" s="148"/>
      <c r="B1" s="148"/>
      <c r="C1" s="148"/>
      <c r="D1" s="148"/>
      <c r="E1" s="19"/>
      <c r="F1" s="15"/>
    </row>
    <row r="2" spans="1:6" ht="27.6">
      <c r="A2" s="156" t="s">
        <v>278</v>
      </c>
      <c r="B2" s="157" t="s">
        <v>315</v>
      </c>
      <c r="C2" s="157" t="s">
        <v>321</v>
      </c>
      <c r="D2" s="158"/>
      <c r="E2" s="19"/>
      <c r="F2" s="15"/>
    </row>
    <row r="3" spans="1:6">
      <c r="A3" s="159" t="s">
        <v>17</v>
      </c>
      <c r="B3" s="160">
        <f t="shared" ref="B3:C10" si="0">B13</f>
        <v>36.683565580029999</v>
      </c>
      <c r="C3" s="160">
        <f t="shared" si="0"/>
        <v>37.720290975739999</v>
      </c>
      <c r="D3" s="158"/>
      <c r="E3" s="19"/>
      <c r="F3" s="15"/>
    </row>
    <row r="4" spans="1:6" ht="17.25" customHeight="1">
      <c r="A4" s="156" t="s">
        <v>54</v>
      </c>
      <c r="B4" s="161">
        <f t="shared" si="0"/>
        <v>2676.7487566401933</v>
      </c>
      <c r="C4" s="161">
        <f t="shared" si="0"/>
        <v>2723.2827851428519</v>
      </c>
      <c r="D4" s="158"/>
      <c r="E4" s="19"/>
      <c r="F4" s="15"/>
    </row>
    <row r="5" spans="1:6" ht="19.5" customHeight="1">
      <c r="A5" s="156" t="s">
        <v>279</v>
      </c>
      <c r="B5" s="160">
        <f t="shared" si="0"/>
        <v>208.40109785344882</v>
      </c>
      <c r="C5" s="160">
        <f t="shared" si="0"/>
        <v>208.85594568608514</v>
      </c>
      <c r="D5" s="158"/>
      <c r="E5" s="19"/>
      <c r="F5" s="15"/>
    </row>
    <row r="6" spans="1:6">
      <c r="A6" s="156" t="s">
        <v>157</v>
      </c>
      <c r="B6" s="161">
        <f t="shared" si="0"/>
        <v>1923.4873303636252</v>
      </c>
      <c r="C6" s="161">
        <f t="shared" si="0"/>
        <v>1938.2214682009042</v>
      </c>
      <c r="D6" s="158"/>
      <c r="E6" s="19"/>
      <c r="F6" s="15"/>
    </row>
    <row r="7" spans="1:6">
      <c r="A7" s="156" t="s">
        <v>280</v>
      </c>
      <c r="B7" s="160">
        <f t="shared" si="0"/>
        <v>101.48909887364462</v>
      </c>
      <c r="C7" s="160">
        <f t="shared" si="0"/>
        <v>102.3011133570766</v>
      </c>
      <c r="D7" s="158"/>
      <c r="E7" s="19"/>
      <c r="F7" s="15"/>
    </row>
    <row r="8" spans="1:6">
      <c r="A8" s="156" t="s">
        <v>194</v>
      </c>
      <c r="B8" s="162">
        <f t="shared" si="0"/>
        <v>57.583359181107909</v>
      </c>
      <c r="C8" s="162">
        <f t="shared" si="0"/>
        <v>58.607779909068441</v>
      </c>
      <c r="D8" s="158"/>
      <c r="E8" s="19"/>
      <c r="F8" s="15"/>
    </row>
    <row r="9" spans="1:6">
      <c r="A9" s="156" t="s">
        <v>225</v>
      </c>
      <c r="B9" s="160">
        <f t="shared" si="0"/>
        <v>6.6512489927700003</v>
      </c>
      <c r="C9" s="160">
        <f t="shared" si="0"/>
        <v>6.8596522230999994</v>
      </c>
      <c r="D9" s="158"/>
      <c r="E9" s="19"/>
      <c r="F9" s="15"/>
    </row>
    <row r="10" spans="1:6">
      <c r="A10" s="156" t="s">
        <v>281</v>
      </c>
      <c r="B10" s="160">
        <f t="shared" si="0"/>
        <v>57.091876521208221</v>
      </c>
      <c r="C10" s="160">
        <f t="shared" si="0"/>
        <v>57.66277256610752</v>
      </c>
      <c r="D10" s="158"/>
      <c r="E10" s="19"/>
      <c r="F10" s="15"/>
    </row>
    <row r="11" spans="1:6">
      <c r="A11" s="156"/>
      <c r="B11" s="160"/>
      <c r="C11" s="160"/>
      <c r="D11" s="158"/>
      <c r="E11" s="19"/>
      <c r="F11" s="15"/>
    </row>
    <row r="12" spans="1:6">
      <c r="A12" s="148"/>
      <c r="B12" s="148"/>
      <c r="C12" s="148"/>
      <c r="D12" s="148"/>
      <c r="E12" s="19"/>
      <c r="F12" s="15"/>
    </row>
    <row r="13" spans="1:6">
      <c r="A13" s="163" t="s">
        <v>17</v>
      </c>
      <c r="B13" s="164">
        <f>'Weekly Valuation'!D25/1000000000</f>
        <v>36.683565580029999</v>
      </c>
      <c r="C13" s="165">
        <f>'Weekly Valuation'!K25/1000000000</f>
        <v>37.720290975739999</v>
      </c>
      <c r="D13" s="148"/>
      <c r="E13" s="19"/>
      <c r="F13" s="15"/>
    </row>
    <row r="14" spans="1:6">
      <c r="A14" s="166" t="s">
        <v>54</v>
      </c>
      <c r="B14" s="164">
        <f>'Weekly Valuation'!D70/1000000000</f>
        <v>2676.7487566401933</v>
      </c>
      <c r="C14" s="167">
        <f>'Weekly Valuation'!K70/1000000000</f>
        <v>2723.2827851428519</v>
      </c>
      <c r="D14" s="148"/>
      <c r="E14" s="19"/>
      <c r="F14" s="15"/>
    </row>
    <row r="15" spans="1:6">
      <c r="A15" s="166" t="s">
        <v>279</v>
      </c>
      <c r="B15" s="164">
        <f>'Weekly Valuation'!D110/1000000000</f>
        <v>208.40109785344882</v>
      </c>
      <c r="C15" s="165">
        <f>'Weekly Valuation'!K110/1000000000</f>
        <v>208.85594568608514</v>
      </c>
      <c r="D15" s="148"/>
      <c r="E15" s="19"/>
      <c r="F15" s="15"/>
    </row>
    <row r="16" spans="1:6">
      <c r="A16" s="166" t="s">
        <v>157</v>
      </c>
      <c r="B16" s="164">
        <f>'Weekly Valuation'!D150/1000000000</f>
        <v>1923.4873303636252</v>
      </c>
      <c r="C16" s="167">
        <f>'Weekly Valuation'!K150/1000000000</f>
        <v>1938.2214682009042</v>
      </c>
      <c r="D16" s="148"/>
      <c r="E16" s="19"/>
      <c r="F16" s="15"/>
    </row>
    <row r="17" spans="1:6">
      <c r="A17" s="166" t="s">
        <v>280</v>
      </c>
      <c r="B17" s="164">
        <f>'Weekly Valuation'!D158/1000000000</f>
        <v>101.48909887364462</v>
      </c>
      <c r="C17" s="165">
        <f>'Weekly Valuation'!K158/1000000000</f>
        <v>102.3011133570766</v>
      </c>
      <c r="D17" s="148"/>
      <c r="E17" s="19"/>
      <c r="F17" s="15"/>
    </row>
    <row r="18" spans="1:6">
      <c r="A18" s="166" t="s">
        <v>194</v>
      </c>
      <c r="B18" s="164">
        <f>'Weekly Valuation'!D190/1000000000</f>
        <v>57.583359181107909</v>
      </c>
      <c r="C18" s="168">
        <f>'Weekly Valuation'!K190/1000000000</f>
        <v>58.607779909068441</v>
      </c>
      <c r="D18" s="148"/>
      <c r="E18" s="19"/>
      <c r="F18" s="15"/>
    </row>
    <row r="19" spans="1:6">
      <c r="A19" s="166" t="s">
        <v>225</v>
      </c>
      <c r="B19" s="164">
        <f>'Weekly Valuation'!D196/1000000000</f>
        <v>6.6512489927700003</v>
      </c>
      <c r="C19" s="165">
        <f>'Weekly Valuation'!K196/1000000000</f>
        <v>6.8596522230999994</v>
      </c>
      <c r="D19" s="148"/>
      <c r="E19" s="19"/>
      <c r="F19" s="15"/>
    </row>
    <row r="20" spans="1:6">
      <c r="A20" s="166" t="s">
        <v>281</v>
      </c>
      <c r="B20" s="164">
        <f>'Weekly Valuation'!D221/1000000000</f>
        <v>57.091876521208221</v>
      </c>
      <c r="C20" s="165">
        <f>'Weekly Valuation'!K221/1000000000</f>
        <v>57.66277256610752</v>
      </c>
      <c r="D20" s="148"/>
      <c r="E20" s="19"/>
      <c r="F20" s="15"/>
    </row>
    <row r="21" spans="1:6">
      <c r="A21" s="144"/>
      <c r="B21" s="148"/>
      <c r="C21" s="147"/>
      <c r="D21" s="148"/>
      <c r="E21" s="19"/>
      <c r="F21" s="15"/>
    </row>
    <row r="22" spans="1:6">
      <c r="A22" s="144"/>
      <c r="B22" s="148"/>
      <c r="C22" s="145"/>
      <c r="D22" s="148"/>
      <c r="E22" s="19"/>
      <c r="F22" s="15"/>
    </row>
    <row r="23" spans="1:6">
      <c r="A23" s="169"/>
      <c r="B23" s="150"/>
      <c r="C23" s="146"/>
      <c r="D23" s="19"/>
      <c r="E23" s="19"/>
      <c r="F23" s="15"/>
    </row>
    <row r="24" spans="1:6">
      <c r="A24" s="169"/>
      <c r="B24" s="150"/>
      <c r="C24" s="150"/>
      <c r="D24" s="19"/>
      <c r="E24" s="19"/>
      <c r="F24" s="15"/>
    </row>
    <row r="25" spans="1:6">
      <c r="A25" s="169"/>
      <c r="B25" s="150"/>
      <c r="C25" s="150"/>
      <c r="D25" s="19"/>
      <c r="E25" s="19"/>
      <c r="F25" s="15"/>
    </row>
    <row r="26" spans="1:6">
      <c r="A26" s="169"/>
      <c r="B26" s="150"/>
      <c r="C26" s="150"/>
      <c r="D26" s="19"/>
      <c r="E26" s="19"/>
      <c r="F26" s="15"/>
    </row>
    <row r="27" spans="1:6">
      <c r="A27" s="21"/>
      <c r="B27" s="22"/>
      <c r="C27" s="22"/>
      <c r="D27" s="15"/>
      <c r="E27" s="15"/>
      <c r="F27" s="15"/>
    </row>
    <row r="28" spans="1:6">
      <c r="A28" s="15"/>
      <c r="B28" s="15"/>
      <c r="C28" s="15"/>
      <c r="D28" s="15"/>
      <c r="E28" s="15"/>
      <c r="F28" s="15"/>
    </row>
    <row r="29" spans="1:6">
      <c r="A29" s="15"/>
      <c r="B29" s="15"/>
      <c r="C29" s="15"/>
      <c r="D29" s="15"/>
      <c r="E29" s="15"/>
      <c r="F29" s="15"/>
    </row>
  </sheetData>
  <sheetProtection algorithmName="SHA-512" hashValue="8dS8mOFFlYyq31m6ncOETFvfzckyXMy6GgdvPOpzrEwQpqVNs8KzOR5fMGazUeB5583F25BWh8+qJfkPhtIc0w==" saltValue="jYpouJeT8BGIDA4i/CmH/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J13" sqref="J13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42" t="s">
        <v>278</v>
      </c>
      <c r="B1" s="143">
        <v>45772</v>
      </c>
      <c r="C1" s="19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44" t="s">
        <v>225</v>
      </c>
      <c r="B2" s="145">
        <f>'Weekly Valuation'!K196</f>
        <v>6859652223.0999994</v>
      </c>
      <c r="C2" s="1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44" t="s">
        <v>17</v>
      </c>
      <c r="B3" s="145">
        <f>'Weekly Valuation'!K25</f>
        <v>37720290975.739998</v>
      </c>
      <c r="C3" s="19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44" t="s">
        <v>281</v>
      </c>
      <c r="B4" s="146">
        <f>'Weekly Valuation'!K221</f>
        <v>57662772566.107521</v>
      </c>
      <c r="C4" s="19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44" t="s">
        <v>194</v>
      </c>
      <c r="B5" s="145">
        <f>'Weekly Valuation'!K190</f>
        <v>58607779909.068443</v>
      </c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44" t="s">
        <v>280</v>
      </c>
      <c r="B6" s="145">
        <f>'Weekly Valuation'!K158</f>
        <v>102301113357.0766</v>
      </c>
      <c r="C6" s="1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44" t="s">
        <v>279</v>
      </c>
      <c r="B7" s="145">
        <f>'Weekly Valuation'!K110</f>
        <v>208855945686.08514</v>
      </c>
      <c r="C7" s="19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44" t="s">
        <v>157</v>
      </c>
      <c r="B8" s="147">
        <f>'Weekly Valuation'!K150</f>
        <v>1938221468200.9041</v>
      </c>
      <c r="C8" s="1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44" t="s">
        <v>54</v>
      </c>
      <c r="B9" s="147">
        <f>'Weekly Valuation'!K70</f>
        <v>2723282785142.8521</v>
      </c>
      <c r="C9" s="1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48"/>
      <c r="B10" s="148"/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44"/>
      <c r="B11" s="149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72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22"/>
      <c r="B13" s="22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22"/>
      <c r="B14" s="2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72"/>
      <c r="B15" s="17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22"/>
      <c r="B16" s="2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22"/>
      <c r="B17" s="2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25"/>
      <c r="B18" s="22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25"/>
      <c r="B19" s="12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25"/>
      <c r="B20" s="12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21"/>
      <c r="B21" s="12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2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20"/>
    </row>
    <row r="33" spans="1:17" ht="15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20"/>
    </row>
  </sheetData>
  <sheetProtection algorithmName="SHA-512" hashValue="FHGCUogOZPYu9XH4h+iIdpPYdmCOZ04+XMIWBNw1uWDezKfgxVgBW8m/Yo0FlwL7Nz864C1UXchWE9P8c/QpeA==" saltValue="F/7kubEeTFuWzDx7dQVn4A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6"/>
  <sheetViews>
    <sheetView zoomScale="110" zoomScaleNormal="110" workbookViewId="0">
      <selection activeCell="F8" sqref="F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51" t="s">
        <v>282</v>
      </c>
      <c r="B2" s="152">
        <v>45723</v>
      </c>
      <c r="C2" s="152">
        <v>45730</v>
      </c>
      <c r="D2" s="152">
        <v>45737</v>
      </c>
      <c r="E2" s="152">
        <v>45744</v>
      </c>
      <c r="F2" s="152">
        <v>45751</v>
      </c>
      <c r="G2" s="152">
        <v>45758</v>
      </c>
      <c r="H2" s="152">
        <v>45764</v>
      </c>
      <c r="I2" s="152">
        <v>45772</v>
      </c>
      <c r="J2" s="19"/>
      <c r="K2" s="19"/>
      <c r="L2" s="15"/>
      <c r="M2" s="15"/>
    </row>
    <row r="3" spans="1:13">
      <c r="A3" s="151" t="s">
        <v>283</v>
      </c>
      <c r="B3" s="153">
        <f t="shared" ref="B3:I3" si="0">B4</f>
        <v>4472.6943933207594</v>
      </c>
      <c r="C3" s="153">
        <f t="shared" si="0"/>
        <v>4607.4792017079635</v>
      </c>
      <c r="D3" s="153">
        <f t="shared" si="0"/>
        <v>4719.0196974991832</v>
      </c>
      <c r="E3" s="153">
        <f t="shared" si="0"/>
        <v>4783.453626583896</v>
      </c>
      <c r="F3" s="153">
        <f t="shared" si="0"/>
        <v>4920.9783287926193</v>
      </c>
      <c r="G3" s="153">
        <f t="shared" si="0"/>
        <v>5027.3059345650499</v>
      </c>
      <c r="H3" s="153">
        <f t="shared" si="0"/>
        <v>5068.1363340060261</v>
      </c>
      <c r="I3" s="153">
        <f t="shared" si="0"/>
        <v>5133.5118080609327</v>
      </c>
      <c r="J3" s="19"/>
      <c r="K3" s="19"/>
      <c r="L3" s="15"/>
      <c r="M3" s="15"/>
    </row>
    <row r="4" spans="1:13">
      <c r="A4" s="19"/>
      <c r="B4" s="154">
        <f>'NAV Trend'!C10/1000000000</f>
        <v>4472.6943933207594</v>
      </c>
      <c r="C4" s="154">
        <f>'NAV Trend'!D10/1000000000</f>
        <v>4607.4792017079635</v>
      </c>
      <c r="D4" s="154">
        <f>'NAV Trend'!E10/1000000000</f>
        <v>4719.0196974991832</v>
      </c>
      <c r="E4" s="154">
        <f>'NAV Trend'!F10/1000000000</f>
        <v>4783.453626583896</v>
      </c>
      <c r="F4" s="154">
        <f>'NAV Trend'!G10/1000000000</f>
        <v>4920.9783287926193</v>
      </c>
      <c r="G4" s="154">
        <f>'NAV Trend'!H10/1000000000</f>
        <v>5027.3059345650499</v>
      </c>
      <c r="H4" s="155">
        <f>'NAV Trend'!I10/1000000000</f>
        <v>5068.1363340060261</v>
      </c>
      <c r="I4" s="155">
        <f>'NAV Trend'!J10/1000000000</f>
        <v>5133.5118080609327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sheetProtection algorithmName="SHA-512" hashValue="CS3KMqYOEguyko5XzsrkDI9+qgLDflnia2ltx93tOIPyIr/6Jahvewl1KmchFypEYbCM/5L23ljuKGXHoC7hUw==" saltValue="NZMg2DoVO9SI8EoRVCbXd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G8" sqref="G8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5"/>
    </row>
    <row r="2" spans="1:14">
      <c r="A2" s="151" t="s">
        <v>282</v>
      </c>
      <c r="B2" s="152">
        <v>45723</v>
      </c>
      <c r="C2" s="152">
        <v>45730</v>
      </c>
      <c r="D2" s="152">
        <v>45737</v>
      </c>
      <c r="E2" s="152">
        <v>45744</v>
      </c>
      <c r="F2" s="152">
        <v>45751</v>
      </c>
      <c r="G2" s="152">
        <v>45758</v>
      </c>
      <c r="H2" s="152">
        <v>45764</v>
      </c>
      <c r="I2" s="152">
        <v>45772</v>
      </c>
      <c r="J2" s="19"/>
      <c r="K2" s="19"/>
      <c r="L2" s="19"/>
      <c r="M2" s="19"/>
      <c r="N2" s="15"/>
    </row>
    <row r="3" spans="1:14">
      <c r="A3" s="151" t="s">
        <v>284</v>
      </c>
      <c r="B3" s="153">
        <f t="shared" ref="B3:I3" si="0">B4</f>
        <v>13.40889556580691</v>
      </c>
      <c r="C3" s="153">
        <f t="shared" si="0"/>
        <v>13.225205337489792</v>
      </c>
      <c r="D3" s="153">
        <f t="shared" si="0"/>
        <v>13.115951569109791</v>
      </c>
      <c r="E3" s="153">
        <f t="shared" si="0"/>
        <v>13.246875880158331</v>
      </c>
      <c r="F3" s="153">
        <f t="shared" si="0"/>
        <v>13.252536997856778</v>
      </c>
      <c r="G3" s="153">
        <f t="shared" si="0"/>
        <v>13.325340046259999</v>
      </c>
      <c r="H3" s="153">
        <f t="shared" si="0"/>
        <v>13.257768084610001</v>
      </c>
      <c r="I3" s="153">
        <f t="shared" si="0"/>
        <v>13.511956801399998</v>
      </c>
      <c r="J3" s="19"/>
      <c r="K3" s="19"/>
      <c r="L3" s="19"/>
      <c r="M3" s="19"/>
      <c r="N3" s="15"/>
    </row>
    <row r="4" spans="1:14">
      <c r="A4" s="19"/>
      <c r="B4" s="154">
        <f>'NAV Trend'!C16/1000000000</f>
        <v>13.40889556580691</v>
      </c>
      <c r="C4" s="154">
        <f>'NAV Trend'!D16/1000000000</f>
        <v>13.225205337489792</v>
      </c>
      <c r="D4" s="154">
        <f>'NAV Trend'!E16/1000000000</f>
        <v>13.115951569109791</v>
      </c>
      <c r="E4" s="154">
        <f>'NAV Trend'!F16/1000000000</f>
        <v>13.246875880158331</v>
      </c>
      <c r="F4" s="154">
        <f>'NAV Trend'!G16/1000000000</f>
        <v>13.252536997856778</v>
      </c>
      <c r="G4" s="154">
        <f>'NAV Trend'!H16/1000000000</f>
        <v>13.325340046259999</v>
      </c>
      <c r="H4" s="154">
        <f>'NAV Trend'!I16/1000000000</f>
        <v>13.257768084610001</v>
      </c>
      <c r="I4" s="155">
        <f>'NAV Trend'!J16/1000000000</f>
        <v>13.511956801399998</v>
      </c>
      <c r="J4" s="19"/>
      <c r="K4" s="19"/>
      <c r="L4" s="19"/>
      <c r="M4" s="19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AB+biigfLiA5W/o+zwLQPs0LG6Yba79DxtEcVxzox5n/WUxXPXd3IphLtRtVHmu5G3AYa+fpAKQEIo9zxNjZmQ==" saltValue="vO+yjP/leLqM7vK3MEUYy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J3" sqref="J3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278</v>
      </c>
      <c r="B1" s="2">
        <v>45716</v>
      </c>
      <c r="C1" s="2">
        <v>45723</v>
      </c>
      <c r="D1" s="2">
        <v>45730</v>
      </c>
      <c r="E1" s="2">
        <v>45737</v>
      </c>
      <c r="F1" s="2">
        <v>45744</v>
      </c>
      <c r="G1" s="2">
        <v>45751</v>
      </c>
      <c r="H1" s="2">
        <v>45758</v>
      </c>
      <c r="I1" s="2">
        <v>45764</v>
      </c>
      <c r="J1" s="2">
        <v>45772</v>
      </c>
    </row>
    <row r="2" spans="1:11">
      <c r="A2" s="3" t="s">
        <v>17</v>
      </c>
      <c r="B2" s="4">
        <v>38249076563.470001</v>
      </c>
      <c r="C2" s="4">
        <v>37421289714.760002</v>
      </c>
      <c r="D2" s="4">
        <v>37398821266.276306</v>
      </c>
      <c r="E2" s="4">
        <v>36993931889.602303</v>
      </c>
      <c r="F2" s="4">
        <v>37656201173.972603</v>
      </c>
      <c r="G2" s="4">
        <v>37097805539.873703</v>
      </c>
      <c r="H2" s="4">
        <v>36611510201.959999</v>
      </c>
      <c r="I2" s="4">
        <v>36683565580.029999</v>
      </c>
      <c r="J2" s="4">
        <v>37720290975.739998</v>
      </c>
    </row>
    <row r="3" spans="1:11">
      <c r="A3" s="3" t="s">
        <v>54</v>
      </c>
      <c r="B3" s="4">
        <v>2134730862264.1289</v>
      </c>
      <c r="C3" s="4">
        <v>2212690003394.8403</v>
      </c>
      <c r="D3" s="4">
        <v>2332451611056.791</v>
      </c>
      <c r="E3" s="4">
        <v>2419975361780.4546</v>
      </c>
      <c r="F3" s="4">
        <v>2481105692224.7939</v>
      </c>
      <c r="G3" s="4">
        <v>2556130628664.9053</v>
      </c>
      <c r="H3" s="4">
        <v>2628962377044.7275</v>
      </c>
      <c r="I3" s="4">
        <v>2676748756640.1934</v>
      </c>
      <c r="J3" s="4">
        <v>2723282785142.8521</v>
      </c>
    </row>
    <row r="4" spans="1:11">
      <c r="A4" s="3" t="s">
        <v>279</v>
      </c>
      <c r="B4" s="5">
        <v>192425332553.69519</v>
      </c>
      <c r="C4" s="5">
        <v>192651675169.49469</v>
      </c>
      <c r="D4" s="5">
        <v>195446236973.35144</v>
      </c>
      <c r="E4" s="5">
        <v>198728860225.19843</v>
      </c>
      <c r="F4" s="5">
        <v>198334798103.43573</v>
      </c>
      <c r="G4" s="5">
        <v>200662148582.12146</v>
      </c>
      <c r="H4" s="5">
        <v>208697208780.68359</v>
      </c>
      <c r="I4" s="5">
        <v>208401097853.44882</v>
      </c>
      <c r="J4" s="5">
        <v>208855945686.08514</v>
      </c>
    </row>
    <row r="5" spans="1:11">
      <c r="A5" s="3" t="s">
        <v>157</v>
      </c>
      <c r="B5" s="4">
        <v>1793326811823.8843</v>
      </c>
      <c r="C5" s="4">
        <v>1809741056607.6074</v>
      </c>
      <c r="D5" s="4">
        <v>1822153380010.8662</v>
      </c>
      <c r="E5" s="4">
        <v>1842785877653.4534</v>
      </c>
      <c r="F5" s="4">
        <v>1844962894751.3052</v>
      </c>
      <c r="G5" s="4">
        <v>1905436495754.9351</v>
      </c>
      <c r="H5" s="4">
        <v>1931287068703.0198</v>
      </c>
      <c r="I5" s="4">
        <v>1923487330363.6252</v>
      </c>
      <c r="J5" s="4">
        <v>1938221468200.9041</v>
      </c>
    </row>
    <row r="6" spans="1:11">
      <c r="A6" s="3" t="s">
        <v>280</v>
      </c>
      <c r="B6" s="6">
        <v>101128099964.18001</v>
      </c>
      <c r="C6" s="6">
        <v>101180384926.77501</v>
      </c>
      <c r="D6" s="6">
        <v>101227556666.0634</v>
      </c>
      <c r="E6" s="6">
        <v>101283752942.61555</v>
      </c>
      <c r="F6" s="6">
        <v>101362794513.52859</v>
      </c>
      <c r="G6" s="6">
        <v>101416084299.50922</v>
      </c>
      <c r="H6" s="6">
        <v>101448900231.00531</v>
      </c>
      <c r="I6" s="6">
        <v>101489098873.64462</v>
      </c>
      <c r="J6" s="6">
        <v>102301113357.0766</v>
      </c>
    </row>
    <row r="7" spans="1:11">
      <c r="A7" s="3" t="s">
        <v>194</v>
      </c>
      <c r="B7" s="7">
        <v>57798914251.53302</v>
      </c>
      <c r="C7" s="7">
        <v>57327361079.561821</v>
      </c>
      <c r="D7" s="7">
        <v>57195873585.465897</v>
      </c>
      <c r="E7" s="7">
        <v>56948936665.773132</v>
      </c>
      <c r="F7" s="7">
        <v>57062758533.043762</v>
      </c>
      <c r="G7" s="7">
        <v>57167466185.858185</v>
      </c>
      <c r="H7" s="7">
        <v>57125272136.110069</v>
      </c>
      <c r="I7" s="7">
        <v>57583359181.10791</v>
      </c>
      <c r="J7" s="7">
        <v>58607779909.068443</v>
      </c>
    </row>
    <row r="8" spans="1:11">
      <c r="A8" s="3" t="s">
        <v>225</v>
      </c>
      <c r="B8" s="6">
        <v>6710470953.1500006</v>
      </c>
      <c r="C8" s="6">
        <v>6663538612.0999994</v>
      </c>
      <c r="D8" s="6">
        <v>6647856625.3699999</v>
      </c>
      <c r="E8" s="6">
        <v>6567080938.7299995</v>
      </c>
      <c r="F8" s="6">
        <v>6677158300.1700001</v>
      </c>
      <c r="G8" s="6">
        <v>6808986112.6900005</v>
      </c>
      <c r="H8" s="6">
        <v>6789293199.9500008</v>
      </c>
      <c r="I8" s="6">
        <v>6651248992.7700005</v>
      </c>
      <c r="J8" s="6">
        <v>6859652223.0999994</v>
      </c>
    </row>
    <row r="9" spans="1:11">
      <c r="A9" s="3" t="s">
        <v>281</v>
      </c>
      <c r="B9" s="6">
        <v>54472879817.508156</v>
      </c>
      <c r="C9" s="6">
        <v>55019083815.621017</v>
      </c>
      <c r="D9" s="6">
        <v>54957865523.779152</v>
      </c>
      <c r="E9" s="6">
        <v>55735895403.355507</v>
      </c>
      <c r="F9" s="6">
        <v>56291328983.646774</v>
      </c>
      <c r="G9" s="6">
        <v>56258713652.725334</v>
      </c>
      <c r="H9" s="6">
        <v>56384304267.594231</v>
      </c>
      <c r="I9" s="6">
        <v>57091876521.208221</v>
      </c>
      <c r="J9" s="6">
        <v>57662772566.107521</v>
      </c>
    </row>
    <row r="10" spans="1:11" ht="15.6">
      <c r="A10" s="8" t="s">
        <v>285</v>
      </c>
      <c r="B10" s="9">
        <f t="shared" ref="B10:J10" si="0">SUM(B2:B9)</f>
        <v>4378842448191.5498</v>
      </c>
      <c r="C10" s="9">
        <f t="shared" si="0"/>
        <v>4472694393320.7598</v>
      </c>
      <c r="D10" s="9">
        <f t="shared" si="0"/>
        <v>4607479201707.9639</v>
      </c>
      <c r="E10" s="9">
        <f t="shared" si="0"/>
        <v>4719019697499.1836</v>
      </c>
      <c r="F10" s="9">
        <f t="shared" si="0"/>
        <v>4783453626583.8965</v>
      </c>
      <c r="G10" s="9">
        <f t="shared" si="0"/>
        <v>4920978328792.6191</v>
      </c>
      <c r="H10" s="9">
        <f t="shared" si="0"/>
        <v>5027305934565.0498</v>
      </c>
      <c r="I10" s="9">
        <f t="shared" si="0"/>
        <v>5068136334006.0264</v>
      </c>
      <c r="J10" s="9">
        <f t="shared" si="0"/>
        <v>5133511808060.9326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286</v>
      </c>
      <c r="B12" s="124" t="s">
        <v>287</v>
      </c>
      <c r="C12" s="13">
        <f>(B10+C10)/2</f>
        <v>4425768420756.1543</v>
      </c>
      <c r="D12" s="14">
        <f t="shared" ref="D12:J12" si="1">(C10+D10)/2</f>
        <v>4540086797514.3613</v>
      </c>
      <c r="E12" s="14">
        <f t="shared" si="1"/>
        <v>4663249449603.5742</v>
      </c>
      <c r="F12" s="14">
        <f t="shared" si="1"/>
        <v>4751236662041.54</v>
      </c>
      <c r="G12" s="14">
        <f t="shared" si="1"/>
        <v>4852215977688.2578</v>
      </c>
      <c r="H12" s="14">
        <f t="shared" si="1"/>
        <v>4974142131678.834</v>
      </c>
      <c r="I12" s="14">
        <f t="shared" si="1"/>
        <v>5047721134285.5381</v>
      </c>
      <c r="J12" s="14">
        <f t="shared" si="1"/>
        <v>5100824071033.4795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45716</v>
      </c>
      <c r="C15" s="2">
        <v>45723</v>
      </c>
      <c r="D15" s="2">
        <v>45730</v>
      </c>
      <c r="E15" s="2">
        <v>45737</v>
      </c>
      <c r="F15" s="2">
        <v>45744</v>
      </c>
      <c r="G15" s="2">
        <v>45751</v>
      </c>
      <c r="H15" s="2">
        <v>45758</v>
      </c>
      <c r="I15" s="2">
        <v>45764</v>
      </c>
      <c r="J15" s="2">
        <v>45772</v>
      </c>
      <c r="K15" s="15"/>
    </row>
    <row r="16" spans="1:11">
      <c r="A16" s="16" t="s">
        <v>288</v>
      </c>
      <c r="B16" s="17">
        <v>13569005930.70286</v>
      </c>
      <c r="C16" s="17">
        <v>13408895565.80691</v>
      </c>
      <c r="D16" s="17">
        <v>13225205337.489792</v>
      </c>
      <c r="E16" s="17">
        <v>13115951569.109791</v>
      </c>
      <c r="F16" s="17">
        <v>13246875880.158331</v>
      </c>
      <c r="G16" s="17">
        <v>13252536997.856777</v>
      </c>
      <c r="H16" s="17">
        <v>13325340046.259998</v>
      </c>
      <c r="I16" s="17">
        <v>13257768084.610001</v>
      </c>
      <c r="J16" s="17">
        <v>13511956801.399998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2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KSqzthlS6ZCdTX0rZStj8YQro978MiPNhnCXPsO4eSILdDez/U9KxiYiNJosWTO65mewkQC4tZiP5hyRxqxj5Q==" saltValue="8eG+aQYDbYpDxl8foVRW2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2025-05-02T10:47:52Z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