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5\"/>
    </mc:Choice>
  </mc:AlternateContent>
  <bookViews>
    <workbookView xWindow="0" yWindow="0" windowWidth="12732" windowHeight="10920" tabRatio="604"/>
  </bookViews>
  <sheets>
    <sheet name="January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definedNames>
    <definedName name="Component">"Group"</definedName>
    <definedName name="pbCountingPages">FALSE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7" l="1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88" i="7"/>
  <c r="N188" i="7"/>
  <c r="O188" i="7"/>
  <c r="P188" i="7"/>
  <c r="Q188" i="7"/>
  <c r="M189" i="7"/>
  <c r="N189" i="7"/>
  <c r="O189" i="7"/>
  <c r="P189" i="7"/>
  <c r="Q189" i="7"/>
  <c r="M190" i="7"/>
  <c r="N190" i="7"/>
  <c r="O190" i="7"/>
  <c r="P190" i="7"/>
  <c r="Q190" i="7"/>
  <c r="M191" i="7"/>
  <c r="N191" i="7"/>
  <c r="O191" i="7"/>
  <c r="P191" i="7"/>
  <c r="Q191" i="7"/>
  <c r="M192" i="7"/>
  <c r="N192" i="7"/>
  <c r="O192" i="7"/>
  <c r="P192" i="7"/>
  <c r="Q192" i="7"/>
  <c r="M193" i="7"/>
  <c r="N193" i="7"/>
  <c r="O193" i="7"/>
  <c r="P193" i="7"/>
  <c r="Q193" i="7"/>
  <c r="M194" i="7"/>
  <c r="N194" i="7"/>
  <c r="O194" i="7"/>
  <c r="P194" i="7"/>
  <c r="Q194" i="7"/>
  <c r="M195" i="7"/>
  <c r="N195" i="7"/>
  <c r="O195" i="7"/>
  <c r="P195" i="7"/>
  <c r="Q195" i="7"/>
  <c r="M196" i="7"/>
  <c r="N196" i="7"/>
  <c r="O196" i="7"/>
  <c r="P196" i="7"/>
  <c r="Q196" i="7"/>
  <c r="M197" i="7"/>
  <c r="N197" i="7"/>
  <c r="O197" i="7"/>
  <c r="P197" i="7"/>
  <c r="Q197" i="7"/>
  <c r="M198" i="7"/>
  <c r="N198" i="7"/>
  <c r="O198" i="7"/>
  <c r="P198" i="7"/>
  <c r="Q198" i="7"/>
  <c r="T196" i="7"/>
  <c r="N184" i="7"/>
  <c r="O184" i="7"/>
  <c r="P184" i="7"/>
  <c r="Q184" i="7"/>
  <c r="N177" i="7"/>
  <c r="O177" i="7"/>
  <c r="P177" i="7"/>
  <c r="Q177" i="7"/>
  <c r="N178" i="7"/>
  <c r="O178" i="7"/>
  <c r="P178" i="7"/>
  <c r="Q178" i="7"/>
  <c r="N147" i="7"/>
  <c r="O147" i="7"/>
  <c r="P147" i="7"/>
  <c r="Q147" i="7"/>
  <c r="N148" i="7"/>
  <c r="O148" i="7"/>
  <c r="P148" i="7"/>
  <c r="Q148" i="7"/>
  <c r="N149" i="7"/>
  <c r="O149" i="7"/>
  <c r="P149" i="7"/>
  <c r="Q149" i="7"/>
  <c r="N150" i="7"/>
  <c r="O150" i="7"/>
  <c r="P150" i="7"/>
  <c r="Q150" i="7"/>
  <c r="N151" i="7"/>
  <c r="O151" i="7"/>
  <c r="P151" i="7"/>
  <c r="Q151" i="7"/>
  <c r="N152" i="7"/>
  <c r="O152" i="7"/>
  <c r="P152" i="7"/>
  <c r="Q152" i="7"/>
  <c r="N153" i="7"/>
  <c r="O153" i="7"/>
  <c r="P153" i="7"/>
  <c r="Q153" i="7"/>
  <c r="N154" i="7"/>
  <c r="O154" i="7"/>
  <c r="P154" i="7"/>
  <c r="Q154" i="7"/>
  <c r="N155" i="7"/>
  <c r="O155" i="7"/>
  <c r="P155" i="7"/>
  <c r="Q155" i="7"/>
  <c r="N156" i="7"/>
  <c r="O156" i="7"/>
  <c r="P156" i="7"/>
  <c r="Q156" i="7"/>
  <c r="N157" i="7"/>
  <c r="O157" i="7"/>
  <c r="P157" i="7"/>
  <c r="Q157" i="7"/>
  <c r="N158" i="7"/>
  <c r="O158" i="7"/>
  <c r="P158" i="7"/>
  <c r="Q158" i="7"/>
  <c r="N159" i="7"/>
  <c r="O159" i="7"/>
  <c r="P159" i="7"/>
  <c r="Q159" i="7"/>
  <c r="N160" i="7"/>
  <c r="O160" i="7"/>
  <c r="P160" i="7"/>
  <c r="Q160" i="7"/>
  <c r="N161" i="7"/>
  <c r="O161" i="7"/>
  <c r="P161" i="7"/>
  <c r="Q161" i="7"/>
  <c r="N162" i="7"/>
  <c r="O162" i="7"/>
  <c r="P162" i="7"/>
  <c r="Q162" i="7"/>
  <c r="N163" i="7"/>
  <c r="O163" i="7"/>
  <c r="P163" i="7"/>
  <c r="Q163" i="7"/>
  <c r="N164" i="7"/>
  <c r="O164" i="7"/>
  <c r="P164" i="7"/>
  <c r="Q164" i="7"/>
  <c r="N165" i="7"/>
  <c r="O165" i="7"/>
  <c r="P165" i="7"/>
  <c r="Q165" i="7"/>
  <c r="N166" i="7"/>
  <c r="O166" i="7"/>
  <c r="P166" i="7"/>
  <c r="Q166" i="7"/>
  <c r="N167" i="7"/>
  <c r="O167" i="7"/>
  <c r="P167" i="7"/>
  <c r="Q167" i="7"/>
  <c r="N168" i="7"/>
  <c r="O168" i="7"/>
  <c r="P168" i="7"/>
  <c r="Q168" i="7"/>
  <c r="N169" i="7"/>
  <c r="O169" i="7"/>
  <c r="P169" i="7"/>
  <c r="Q169" i="7"/>
  <c r="N170" i="7"/>
  <c r="O170" i="7"/>
  <c r="P170" i="7"/>
  <c r="Q170" i="7"/>
  <c r="N171" i="7"/>
  <c r="O171" i="7"/>
  <c r="P171" i="7"/>
  <c r="Q171" i="7"/>
  <c r="N172" i="7"/>
  <c r="O172" i="7"/>
  <c r="P172" i="7"/>
  <c r="Q172" i="7"/>
  <c r="N139" i="7"/>
  <c r="O139" i="7"/>
  <c r="P139" i="7"/>
  <c r="Q139" i="7"/>
  <c r="N140" i="7"/>
  <c r="O140" i="7"/>
  <c r="P140" i="7"/>
  <c r="Q140" i="7"/>
  <c r="N141" i="7"/>
  <c r="O141" i="7"/>
  <c r="P141" i="7"/>
  <c r="Q141" i="7"/>
  <c r="N142" i="7"/>
  <c r="O142" i="7"/>
  <c r="P142" i="7"/>
  <c r="Q142" i="7"/>
  <c r="Q138" i="7"/>
  <c r="P138" i="7"/>
  <c r="O138" i="7"/>
  <c r="N138" i="7"/>
  <c r="L123" i="7"/>
  <c r="M123" i="7"/>
  <c r="N123" i="7"/>
  <c r="O123" i="7"/>
  <c r="P123" i="7"/>
  <c r="Q123" i="7"/>
  <c r="L124" i="7"/>
  <c r="M124" i="7"/>
  <c r="N124" i="7"/>
  <c r="O124" i="7"/>
  <c r="P124" i="7"/>
  <c r="Q124" i="7"/>
  <c r="L125" i="7"/>
  <c r="M125" i="7"/>
  <c r="N125" i="7"/>
  <c r="O125" i="7"/>
  <c r="P125" i="7"/>
  <c r="Q125" i="7"/>
  <c r="L126" i="7"/>
  <c r="M126" i="7"/>
  <c r="N126" i="7"/>
  <c r="O126" i="7"/>
  <c r="P126" i="7"/>
  <c r="Q126" i="7"/>
  <c r="L127" i="7"/>
  <c r="M127" i="7"/>
  <c r="N127" i="7"/>
  <c r="O127" i="7"/>
  <c r="P127" i="7"/>
  <c r="Q127" i="7"/>
  <c r="L128" i="7"/>
  <c r="M128" i="7"/>
  <c r="N128" i="7"/>
  <c r="O128" i="7"/>
  <c r="P128" i="7"/>
  <c r="Q128" i="7"/>
  <c r="L129" i="7"/>
  <c r="M129" i="7"/>
  <c r="N129" i="7"/>
  <c r="O129" i="7"/>
  <c r="P129" i="7"/>
  <c r="Q129" i="7"/>
  <c r="L130" i="7"/>
  <c r="M130" i="7"/>
  <c r="N130" i="7"/>
  <c r="O130" i="7"/>
  <c r="P130" i="7"/>
  <c r="Q130" i="7"/>
  <c r="L131" i="7"/>
  <c r="M131" i="7"/>
  <c r="N131" i="7"/>
  <c r="O131" i="7"/>
  <c r="P131" i="7"/>
  <c r="Q131" i="7"/>
  <c r="L132" i="7"/>
  <c r="M132" i="7"/>
  <c r="N132" i="7"/>
  <c r="O132" i="7"/>
  <c r="P132" i="7"/>
  <c r="Q132" i="7"/>
  <c r="L133" i="7"/>
  <c r="M133" i="7"/>
  <c r="N133" i="7"/>
  <c r="O133" i="7"/>
  <c r="P133" i="7"/>
  <c r="Q133" i="7"/>
  <c r="L134" i="7"/>
  <c r="M134" i="7"/>
  <c r="N134" i="7"/>
  <c r="O134" i="7"/>
  <c r="P134" i="7"/>
  <c r="Q134" i="7"/>
  <c r="L106" i="7"/>
  <c r="M106" i="7"/>
  <c r="N106" i="7"/>
  <c r="O106" i="7"/>
  <c r="P106" i="7"/>
  <c r="Q106" i="7"/>
  <c r="L107" i="7"/>
  <c r="M107" i="7"/>
  <c r="N107" i="7"/>
  <c r="O107" i="7"/>
  <c r="P107" i="7"/>
  <c r="Q107" i="7"/>
  <c r="L108" i="7"/>
  <c r="M108" i="7"/>
  <c r="N108" i="7"/>
  <c r="O108" i="7"/>
  <c r="P108" i="7"/>
  <c r="Q108" i="7"/>
  <c r="L109" i="7"/>
  <c r="M109" i="7"/>
  <c r="N109" i="7"/>
  <c r="O109" i="7"/>
  <c r="P109" i="7"/>
  <c r="Q109" i="7"/>
  <c r="L110" i="7"/>
  <c r="M110" i="7"/>
  <c r="N110" i="7"/>
  <c r="O110" i="7"/>
  <c r="P110" i="7"/>
  <c r="Q110" i="7"/>
  <c r="L111" i="7"/>
  <c r="M111" i="7"/>
  <c r="N111" i="7"/>
  <c r="O111" i="7"/>
  <c r="P111" i="7"/>
  <c r="Q111" i="7"/>
  <c r="L112" i="7"/>
  <c r="M112" i="7"/>
  <c r="N112" i="7"/>
  <c r="O112" i="7"/>
  <c r="P112" i="7"/>
  <c r="Q112" i="7"/>
  <c r="L113" i="7"/>
  <c r="M113" i="7"/>
  <c r="N113" i="7"/>
  <c r="O113" i="7"/>
  <c r="P113" i="7"/>
  <c r="Q113" i="7"/>
  <c r="L114" i="7"/>
  <c r="M114" i="7"/>
  <c r="N114" i="7"/>
  <c r="O114" i="7"/>
  <c r="P114" i="7"/>
  <c r="Q114" i="7"/>
  <c r="L115" i="7"/>
  <c r="M115" i="7"/>
  <c r="N115" i="7"/>
  <c r="O115" i="7"/>
  <c r="P115" i="7"/>
  <c r="Q115" i="7"/>
  <c r="L116" i="7"/>
  <c r="M116" i="7"/>
  <c r="N116" i="7"/>
  <c r="O116" i="7"/>
  <c r="P116" i="7"/>
  <c r="Q116" i="7"/>
  <c r="L117" i="7"/>
  <c r="M117" i="7"/>
  <c r="N117" i="7"/>
  <c r="O117" i="7"/>
  <c r="P117" i="7"/>
  <c r="Q117" i="7"/>
  <c r="L118" i="7"/>
  <c r="M118" i="7"/>
  <c r="N118" i="7"/>
  <c r="O118" i="7"/>
  <c r="P118" i="7"/>
  <c r="Q118" i="7"/>
  <c r="L119" i="7"/>
  <c r="M119" i="7"/>
  <c r="N119" i="7"/>
  <c r="O119" i="7"/>
  <c r="P119" i="7"/>
  <c r="Q119" i="7"/>
  <c r="L66" i="7"/>
  <c r="N66" i="7"/>
  <c r="O66" i="7"/>
  <c r="P66" i="7"/>
  <c r="Q66" i="7"/>
  <c r="L67" i="7"/>
  <c r="N67" i="7"/>
  <c r="O67" i="7"/>
  <c r="P67" i="7"/>
  <c r="Q67" i="7"/>
  <c r="L68" i="7"/>
  <c r="N68" i="7"/>
  <c r="O68" i="7"/>
  <c r="P68" i="7"/>
  <c r="Q68" i="7"/>
  <c r="L69" i="7"/>
  <c r="N69" i="7"/>
  <c r="O69" i="7"/>
  <c r="P69" i="7"/>
  <c r="Q69" i="7"/>
  <c r="L70" i="7"/>
  <c r="N70" i="7"/>
  <c r="O70" i="7"/>
  <c r="P70" i="7"/>
  <c r="Q70" i="7"/>
  <c r="L71" i="7"/>
  <c r="N71" i="7"/>
  <c r="O71" i="7"/>
  <c r="P71" i="7"/>
  <c r="Q71" i="7"/>
  <c r="L72" i="7"/>
  <c r="N72" i="7"/>
  <c r="O72" i="7"/>
  <c r="P72" i="7"/>
  <c r="Q72" i="7"/>
  <c r="L73" i="7"/>
  <c r="N73" i="7"/>
  <c r="O73" i="7"/>
  <c r="P73" i="7"/>
  <c r="Q73" i="7"/>
  <c r="L74" i="7"/>
  <c r="N74" i="7"/>
  <c r="O74" i="7"/>
  <c r="P74" i="7"/>
  <c r="Q74" i="7"/>
  <c r="L75" i="7"/>
  <c r="N75" i="7"/>
  <c r="O75" i="7"/>
  <c r="P75" i="7"/>
  <c r="Q75" i="7"/>
  <c r="L76" i="7"/>
  <c r="N76" i="7"/>
  <c r="O76" i="7"/>
  <c r="P76" i="7"/>
  <c r="Q76" i="7"/>
  <c r="L77" i="7"/>
  <c r="N77" i="7"/>
  <c r="O77" i="7"/>
  <c r="P77" i="7"/>
  <c r="Q77" i="7"/>
  <c r="L78" i="7"/>
  <c r="N78" i="7"/>
  <c r="O78" i="7"/>
  <c r="P78" i="7"/>
  <c r="Q78" i="7"/>
  <c r="L79" i="7"/>
  <c r="N79" i="7"/>
  <c r="O79" i="7"/>
  <c r="P79" i="7"/>
  <c r="Q79" i="7"/>
  <c r="L80" i="7"/>
  <c r="N80" i="7"/>
  <c r="O80" i="7"/>
  <c r="P80" i="7"/>
  <c r="Q80" i="7"/>
  <c r="L81" i="7"/>
  <c r="N81" i="7"/>
  <c r="O81" i="7"/>
  <c r="P81" i="7"/>
  <c r="Q81" i="7"/>
  <c r="L82" i="7"/>
  <c r="N82" i="7"/>
  <c r="O82" i="7"/>
  <c r="P82" i="7"/>
  <c r="Q82" i="7"/>
  <c r="L83" i="7"/>
  <c r="N83" i="7"/>
  <c r="O83" i="7"/>
  <c r="P83" i="7"/>
  <c r="Q83" i="7"/>
  <c r="L84" i="7"/>
  <c r="N84" i="7"/>
  <c r="O84" i="7"/>
  <c r="P84" i="7"/>
  <c r="Q84" i="7"/>
  <c r="L85" i="7"/>
  <c r="N85" i="7"/>
  <c r="O85" i="7"/>
  <c r="P85" i="7"/>
  <c r="Q85" i="7"/>
  <c r="L86" i="7"/>
  <c r="N86" i="7"/>
  <c r="O86" i="7"/>
  <c r="P86" i="7"/>
  <c r="Q86" i="7"/>
  <c r="L87" i="7"/>
  <c r="N87" i="7"/>
  <c r="O87" i="7"/>
  <c r="P87" i="7"/>
  <c r="Q87" i="7"/>
  <c r="L88" i="7"/>
  <c r="N88" i="7"/>
  <c r="O88" i="7"/>
  <c r="P88" i="7"/>
  <c r="Q88" i="7"/>
  <c r="L89" i="7"/>
  <c r="N89" i="7"/>
  <c r="O89" i="7"/>
  <c r="P89" i="7"/>
  <c r="Q89" i="7"/>
  <c r="L90" i="7"/>
  <c r="N90" i="7"/>
  <c r="O90" i="7"/>
  <c r="P90" i="7"/>
  <c r="Q90" i="7"/>
  <c r="L91" i="7"/>
  <c r="N91" i="7"/>
  <c r="O91" i="7"/>
  <c r="P91" i="7"/>
  <c r="Q91" i="7"/>
  <c r="L92" i="7"/>
  <c r="N92" i="7"/>
  <c r="O92" i="7"/>
  <c r="P92" i="7"/>
  <c r="Q92" i="7"/>
  <c r="L93" i="7"/>
  <c r="N93" i="7"/>
  <c r="O93" i="7"/>
  <c r="P93" i="7"/>
  <c r="Q93" i="7"/>
  <c r="L94" i="7"/>
  <c r="N94" i="7"/>
  <c r="O94" i="7"/>
  <c r="P94" i="7"/>
  <c r="Q94" i="7"/>
  <c r="L95" i="7"/>
  <c r="N95" i="7"/>
  <c r="O95" i="7"/>
  <c r="P95" i="7"/>
  <c r="Q95" i="7"/>
  <c r="L96" i="7"/>
  <c r="N96" i="7"/>
  <c r="O96" i="7"/>
  <c r="P96" i="7"/>
  <c r="Q96" i="7"/>
  <c r="L97" i="7"/>
  <c r="N97" i="7"/>
  <c r="O97" i="7"/>
  <c r="P97" i="7"/>
  <c r="Q97" i="7"/>
  <c r="L98" i="7"/>
  <c r="N98" i="7"/>
  <c r="O98" i="7"/>
  <c r="P98" i="7"/>
  <c r="Q98" i="7"/>
  <c r="L99" i="7"/>
  <c r="N99" i="7"/>
  <c r="O99" i="7"/>
  <c r="P99" i="7"/>
  <c r="Q99" i="7"/>
  <c r="L100" i="7"/>
  <c r="N100" i="7"/>
  <c r="O100" i="7"/>
  <c r="P100" i="7"/>
  <c r="Q100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L28" i="7"/>
  <c r="M28" i="7"/>
  <c r="L29" i="7"/>
  <c r="M29" i="7"/>
  <c r="L30" i="7"/>
  <c r="M30" i="7"/>
  <c r="L31" i="7"/>
  <c r="M31" i="7"/>
  <c r="L32" i="7"/>
  <c r="M32" i="7"/>
  <c r="L33" i="7"/>
  <c r="M33" i="7"/>
  <c r="L34" i="7"/>
  <c r="M34" i="7"/>
  <c r="L35" i="7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M59" i="7"/>
  <c r="L60" i="7"/>
  <c r="M60" i="7"/>
  <c r="L61" i="7"/>
  <c r="M61" i="7"/>
  <c r="L6" i="7"/>
  <c r="M6" i="7"/>
  <c r="L7" i="7"/>
  <c r="M7" i="7"/>
  <c r="L8" i="7"/>
  <c r="M8" i="7"/>
  <c r="L9" i="7"/>
  <c r="M9" i="7"/>
  <c r="L10" i="7"/>
  <c r="M10" i="7"/>
  <c r="L11" i="7"/>
  <c r="M11" i="7"/>
  <c r="L12" i="7"/>
  <c r="M12" i="7"/>
  <c r="L13" i="7"/>
  <c r="M13" i="7"/>
  <c r="L14" i="7"/>
  <c r="M14" i="7"/>
  <c r="L15" i="7"/>
  <c r="M15" i="7"/>
  <c r="L16" i="7"/>
  <c r="M16" i="7"/>
  <c r="L17" i="7"/>
  <c r="M17" i="7"/>
  <c r="L18" i="7"/>
  <c r="M18" i="7"/>
  <c r="L19" i="7"/>
  <c r="M19" i="7"/>
  <c r="L20" i="7"/>
  <c r="M20" i="7"/>
  <c r="L21" i="7"/>
  <c r="M21" i="7"/>
  <c r="L22" i="7"/>
  <c r="M22" i="7"/>
  <c r="L23" i="7"/>
  <c r="M23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H28" i="7"/>
  <c r="O28" i="7" s="1"/>
  <c r="H29" i="7"/>
  <c r="H30" i="7"/>
  <c r="H31" i="7"/>
  <c r="O31" i="7" s="1"/>
  <c r="H32" i="7"/>
  <c r="H33" i="7"/>
  <c r="Q33" i="7" s="1"/>
  <c r="H34" i="7"/>
  <c r="H35" i="7"/>
  <c r="H36" i="7"/>
  <c r="O36" i="7" s="1"/>
  <c r="H37" i="7"/>
  <c r="O37" i="7" s="1"/>
  <c r="H38" i="7"/>
  <c r="O38" i="7" s="1"/>
  <c r="H39" i="7"/>
  <c r="O39" i="7" s="1"/>
  <c r="H40" i="7"/>
  <c r="O40" i="7" s="1"/>
  <c r="H41" i="7"/>
  <c r="H42" i="7"/>
  <c r="H43" i="7"/>
  <c r="O43" i="7" s="1"/>
  <c r="H44" i="7"/>
  <c r="H45" i="7"/>
  <c r="Q45" i="7" s="1"/>
  <c r="H46" i="7"/>
  <c r="H47" i="7"/>
  <c r="H48" i="7"/>
  <c r="H49" i="7"/>
  <c r="Q49" i="7" s="1"/>
  <c r="H50" i="7"/>
  <c r="H51" i="7"/>
  <c r="H52" i="7"/>
  <c r="O52" i="7" s="1"/>
  <c r="H53" i="7"/>
  <c r="H54" i="7"/>
  <c r="H55" i="7"/>
  <c r="O55" i="7" s="1"/>
  <c r="H56" i="7"/>
  <c r="O56" i="7" s="1"/>
  <c r="H57" i="7"/>
  <c r="Q57" i="7" s="1"/>
  <c r="H58" i="7"/>
  <c r="O58" i="7" s="1"/>
  <c r="H59" i="7"/>
  <c r="H60" i="7"/>
  <c r="O60" i="7" s="1"/>
  <c r="H61" i="7"/>
  <c r="O61" i="7" s="1"/>
  <c r="O30" i="7"/>
  <c r="O32" i="7"/>
  <c r="O34" i="7"/>
  <c r="O42" i="7"/>
  <c r="O44" i="7"/>
  <c r="O46" i="7"/>
  <c r="O48" i="7"/>
  <c r="O49" i="7"/>
  <c r="O50" i="7"/>
  <c r="O51" i="7"/>
  <c r="O54" i="7"/>
  <c r="N28" i="7"/>
  <c r="P28" i="7"/>
  <c r="N29" i="7"/>
  <c r="O29" i="7"/>
  <c r="P29" i="7"/>
  <c r="Q29" i="7"/>
  <c r="N30" i="7"/>
  <c r="P30" i="7"/>
  <c r="Q30" i="7"/>
  <c r="N31" i="7"/>
  <c r="P31" i="7"/>
  <c r="Q31" i="7"/>
  <c r="N32" i="7"/>
  <c r="P32" i="7"/>
  <c r="N33" i="7"/>
  <c r="O33" i="7"/>
  <c r="P33" i="7"/>
  <c r="N34" i="7"/>
  <c r="P34" i="7"/>
  <c r="N35" i="7"/>
  <c r="O35" i="7"/>
  <c r="P35" i="7"/>
  <c r="Q35" i="7"/>
  <c r="N36" i="7"/>
  <c r="P36" i="7"/>
  <c r="N37" i="7"/>
  <c r="P37" i="7"/>
  <c r="N38" i="7"/>
  <c r="P38" i="7"/>
  <c r="N39" i="7"/>
  <c r="P39" i="7"/>
  <c r="N40" i="7"/>
  <c r="P40" i="7"/>
  <c r="N41" i="7"/>
  <c r="O41" i="7"/>
  <c r="P41" i="7"/>
  <c r="Q41" i="7"/>
  <c r="N42" i="7"/>
  <c r="P42" i="7"/>
  <c r="Q42" i="7"/>
  <c r="N43" i="7"/>
  <c r="P43" i="7"/>
  <c r="Q43" i="7"/>
  <c r="N44" i="7"/>
  <c r="P44" i="7"/>
  <c r="N45" i="7"/>
  <c r="O45" i="7"/>
  <c r="P45" i="7"/>
  <c r="N46" i="7"/>
  <c r="P46" i="7"/>
  <c r="N47" i="7"/>
  <c r="O47" i="7"/>
  <c r="P47" i="7"/>
  <c r="Q47" i="7"/>
  <c r="N48" i="7"/>
  <c r="P48" i="7"/>
  <c r="N49" i="7"/>
  <c r="P49" i="7"/>
  <c r="N50" i="7"/>
  <c r="P50" i="7"/>
  <c r="N51" i="7"/>
  <c r="P51" i="7"/>
  <c r="N52" i="7"/>
  <c r="P52" i="7"/>
  <c r="N53" i="7"/>
  <c r="O53" i="7"/>
  <c r="P53" i="7"/>
  <c r="Q53" i="7"/>
  <c r="N54" i="7"/>
  <c r="P54" i="7"/>
  <c r="Q54" i="7"/>
  <c r="N55" i="7"/>
  <c r="P55" i="7"/>
  <c r="Q55" i="7"/>
  <c r="N56" i="7"/>
  <c r="P56" i="7"/>
  <c r="N57" i="7"/>
  <c r="O57" i="7"/>
  <c r="P57" i="7"/>
  <c r="N58" i="7"/>
  <c r="P58" i="7"/>
  <c r="N59" i="7"/>
  <c r="O59" i="7"/>
  <c r="P59" i="7"/>
  <c r="Q59" i="7"/>
  <c r="N60" i="7"/>
  <c r="P60" i="7"/>
  <c r="N61" i="7"/>
  <c r="P61" i="7"/>
  <c r="N6" i="7"/>
  <c r="O6" i="7"/>
  <c r="P6" i="7"/>
  <c r="Q6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O22" i="7"/>
  <c r="P22" i="7"/>
  <c r="Q22" i="7"/>
  <c r="N23" i="7"/>
  <c r="O23" i="7"/>
  <c r="P23" i="7"/>
  <c r="Q23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Q52" i="7" l="1"/>
  <c r="Q40" i="7"/>
  <c r="Q28" i="7"/>
  <c r="Q61" i="7"/>
  <c r="Q37" i="7"/>
  <c r="Q51" i="7"/>
  <c r="Q39" i="7"/>
  <c r="Q60" i="7"/>
  <c r="Q58" i="7"/>
  <c r="Q56" i="7"/>
  <c r="Q50" i="7"/>
  <c r="Q48" i="7"/>
  <c r="Q46" i="7"/>
  <c r="Q44" i="7"/>
  <c r="Q38" i="7"/>
  <c r="Q36" i="7"/>
  <c r="Q34" i="7"/>
  <c r="Q32" i="7"/>
  <c r="J123" i="7" l="1"/>
  <c r="J124" i="7"/>
  <c r="J125" i="7"/>
  <c r="J126" i="7"/>
  <c r="J127" i="7"/>
  <c r="J128" i="7"/>
  <c r="J129" i="7"/>
  <c r="J130" i="7"/>
  <c r="J131" i="7"/>
  <c r="J132" i="7"/>
  <c r="J133" i="7"/>
  <c r="J134" i="7"/>
  <c r="K202" i="7" l="1"/>
  <c r="I202" i="7"/>
  <c r="L147" i="7"/>
  <c r="M147" i="7"/>
  <c r="L148" i="7"/>
  <c r="M148" i="7"/>
  <c r="L149" i="7"/>
  <c r="M149" i="7"/>
  <c r="L150" i="7"/>
  <c r="M150" i="7"/>
  <c r="L151" i="7"/>
  <c r="M151" i="7"/>
  <c r="L152" i="7"/>
  <c r="M152" i="7"/>
  <c r="L153" i="7"/>
  <c r="M153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L164" i="7"/>
  <c r="M164" i="7"/>
  <c r="L165" i="7"/>
  <c r="M165" i="7"/>
  <c r="L166" i="7"/>
  <c r="M166" i="7"/>
  <c r="L167" i="7"/>
  <c r="M167" i="7"/>
  <c r="L168" i="7"/>
  <c r="M168" i="7"/>
  <c r="L169" i="7"/>
  <c r="M169" i="7"/>
  <c r="L170" i="7"/>
  <c r="M170" i="7"/>
  <c r="L171" i="7"/>
  <c r="M171" i="7"/>
  <c r="L172" i="7"/>
  <c r="M172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I134" i="7"/>
  <c r="I133" i="7"/>
  <c r="I132" i="7"/>
  <c r="I131" i="7"/>
  <c r="I130" i="7"/>
  <c r="I129" i="7"/>
  <c r="I128" i="7"/>
  <c r="I127" i="7"/>
  <c r="I126" i="7"/>
  <c r="I124" i="7"/>
  <c r="I123" i="7"/>
  <c r="I122" i="7"/>
  <c r="L188" i="7" l="1"/>
  <c r="L190" i="7"/>
  <c r="L192" i="7"/>
  <c r="L194" i="7"/>
  <c r="L196" i="7"/>
  <c r="L198" i="7"/>
  <c r="L189" i="7"/>
  <c r="L191" i="7"/>
  <c r="L193" i="7"/>
  <c r="L195" i="7"/>
  <c r="L197" i="7"/>
  <c r="I119" i="7"/>
  <c r="I118" i="7"/>
  <c r="I117" i="7"/>
  <c r="I116" i="7"/>
  <c r="I115" i="7"/>
  <c r="I112" i="7"/>
  <c r="I111" i="7"/>
  <c r="I110" i="7"/>
  <c r="I109" i="7"/>
  <c r="I108" i="7"/>
  <c r="I107" i="7"/>
  <c r="I106" i="7"/>
  <c r="B9" i="3" l="1"/>
  <c r="B8" i="3"/>
  <c r="B12" i="2"/>
  <c r="B11" i="2"/>
  <c r="B10" i="2"/>
  <c r="B9" i="2"/>
  <c r="B8" i="2"/>
  <c r="B7" i="2"/>
  <c r="B6" i="2"/>
  <c r="B5" i="2"/>
  <c r="H90" i="7" l="1"/>
  <c r="T152" i="7" l="1"/>
  <c r="H152" i="7"/>
  <c r="H198" i="7" l="1"/>
  <c r="H197" i="7"/>
  <c r="H191" i="7"/>
  <c r="M184" i="7"/>
  <c r="H184" i="7"/>
  <c r="M177" i="7"/>
  <c r="E177" i="7"/>
  <c r="H177" i="7" s="1"/>
  <c r="H171" i="7"/>
  <c r="H169" i="7"/>
  <c r="H167" i="7"/>
  <c r="H161" i="7"/>
  <c r="H157" i="7"/>
  <c r="H153" i="7" l="1"/>
  <c r="M142" i="7"/>
  <c r="H142" i="7"/>
  <c r="M139" i="7"/>
  <c r="H139" i="7"/>
  <c r="S133" i="7"/>
  <c r="R133" i="7"/>
  <c r="K133" i="7"/>
  <c r="G133" i="7"/>
  <c r="E133" i="7"/>
  <c r="D133" i="7"/>
  <c r="S132" i="7"/>
  <c r="R132" i="7"/>
  <c r="K132" i="7"/>
  <c r="G132" i="7"/>
  <c r="E132" i="7"/>
  <c r="H132" i="7" s="1"/>
  <c r="D132" i="7"/>
  <c r="H125" i="7"/>
  <c r="S127" i="7"/>
  <c r="R127" i="7"/>
  <c r="K127" i="7"/>
  <c r="G127" i="7"/>
  <c r="E127" i="7"/>
  <c r="H127" i="7" s="1"/>
  <c r="D127" i="7"/>
  <c r="S117" i="7"/>
  <c r="R117" i="7"/>
  <c r="K117" i="7"/>
  <c r="G117" i="7"/>
  <c r="E117" i="7"/>
  <c r="D117" i="7"/>
  <c r="S114" i="7"/>
  <c r="R114" i="7"/>
  <c r="H114" i="7"/>
  <c r="S113" i="7"/>
  <c r="R113" i="7"/>
  <c r="H113" i="7"/>
  <c r="H98" i="7"/>
  <c r="H97" i="7"/>
  <c r="H96" i="7"/>
  <c r="H95" i="7"/>
  <c r="H94" i="7"/>
  <c r="H93" i="7"/>
  <c r="H92" i="7"/>
  <c r="H82" i="7"/>
  <c r="H80" i="7"/>
  <c r="H75" i="7"/>
  <c r="H74" i="7"/>
  <c r="H22" i="7"/>
  <c r="H21" i="7"/>
  <c r="H20" i="7"/>
  <c r="V14" i="7"/>
  <c r="H14" i="7"/>
  <c r="H11" i="7"/>
  <c r="H133" i="7" l="1"/>
  <c r="H117" i="7"/>
  <c r="K128" i="7" l="1"/>
  <c r="G128" i="7"/>
  <c r="E128" i="7"/>
  <c r="D128" i="7"/>
  <c r="S110" i="7" l="1"/>
  <c r="R110" i="7"/>
  <c r="K110" i="7"/>
  <c r="G110" i="7"/>
  <c r="E110" i="7"/>
  <c r="D110" i="7"/>
  <c r="S106" i="7"/>
  <c r="R106" i="7"/>
  <c r="K106" i="7"/>
  <c r="G106" i="7"/>
  <c r="E106" i="7"/>
  <c r="D106" i="7"/>
  <c r="T151" i="7"/>
  <c r="S129" i="7" l="1"/>
  <c r="R129" i="7"/>
  <c r="K129" i="7"/>
  <c r="G129" i="7"/>
  <c r="F129" i="7"/>
  <c r="E129" i="7"/>
  <c r="D129" i="7"/>
  <c r="S107" i="7"/>
  <c r="R107" i="7"/>
  <c r="K107" i="7"/>
  <c r="G107" i="7"/>
  <c r="E107" i="7"/>
  <c r="D107" i="7"/>
  <c r="R126" i="7" l="1"/>
  <c r="S126" i="7"/>
  <c r="K126" i="7"/>
  <c r="G126" i="7"/>
  <c r="E126" i="7"/>
  <c r="D126" i="7"/>
  <c r="S119" i="7"/>
  <c r="R119" i="7"/>
  <c r="K119" i="7"/>
  <c r="G119" i="7"/>
  <c r="E119" i="7"/>
  <c r="D119" i="7"/>
  <c r="K105" i="7"/>
  <c r="S105" i="7"/>
  <c r="R105" i="7"/>
  <c r="G105" i="7"/>
  <c r="F105" i="7"/>
  <c r="E105" i="7"/>
  <c r="D105" i="7"/>
  <c r="H168" i="7"/>
  <c r="S123" i="7"/>
  <c r="R123" i="7"/>
  <c r="K123" i="7"/>
  <c r="G123" i="7"/>
  <c r="E123" i="7"/>
  <c r="D123" i="7"/>
  <c r="S134" i="7" l="1"/>
  <c r="R134" i="7"/>
  <c r="K134" i="7"/>
  <c r="G134" i="7"/>
  <c r="E134" i="7"/>
  <c r="D134" i="7"/>
  <c r="S115" i="7"/>
  <c r="R115" i="7"/>
  <c r="K115" i="7"/>
  <c r="G115" i="7"/>
  <c r="E115" i="7"/>
  <c r="D115" i="7"/>
  <c r="T88" i="7" l="1"/>
  <c r="T50" i="7"/>
  <c r="S131" i="7"/>
  <c r="R131" i="7"/>
  <c r="K131" i="7"/>
  <c r="F131" i="7"/>
  <c r="G131" i="7"/>
  <c r="E131" i="7"/>
  <c r="H131" i="7" s="1"/>
  <c r="D131" i="7"/>
  <c r="S130" i="7"/>
  <c r="R130" i="7"/>
  <c r="K130" i="7"/>
  <c r="F130" i="7"/>
  <c r="G130" i="7"/>
  <c r="E130" i="7"/>
  <c r="D130" i="7"/>
  <c r="T118" i="7"/>
  <c r="S109" i="7" l="1"/>
  <c r="R109" i="7"/>
  <c r="K109" i="7"/>
  <c r="G109" i="7"/>
  <c r="E109" i="7"/>
  <c r="D109" i="7"/>
  <c r="S112" i="7"/>
  <c r="R112" i="7"/>
  <c r="K112" i="7"/>
  <c r="G112" i="7"/>
  <c r="E112" i="7"/>
  <c r="D112" i="7"/>
  <c r="T41" i="7"/>
  <c r="S116" i="7"/>
  <c r="R116" i="7"/>
  <c r="K116" i="7"/>
  <c r="G116" i="7"/>
  <c r="E116" i="7"/>
  <c r="D116" i="7"/>
  <c r="S108" i="7"/>
  <c r="R108" i="7"/>
  <c r="K108" i="7"/>
  <c r="G108" i="7"/>
  <c r="E108" i="7"/>
  <c r="D108" i="7"/>
  <c r="S122" i="7"/>
  <c r="R122" i="7"/>
  <c r="K122" i="7"/>
  <c r="G122" i="7"/>
  <c r="E122" i="7"/>
  <c r="D122" i="7"/>
  <c r="S111" i="7" l="1"/>
  <c r="R111" i="7"/>
  <c r="K111" i="7"/>
  <c r="G111" i="7"/>
  <c r="E111" i="7"/>
  <c r="D111" i="7"/>
  <c r="T35" i="7"/>
  <c r="T124" i="7"/>
  <c r="S124" i="7"/>
  <c r="R124" i="7"/>
  <c r="K124" i="7"/>
  <c r="G124" i="7"/>
  <c r="E124" i="7"/>
  <c r="D124" i="7"/>
  <c r="H201" i="7" l="1"/>
  <c r="H188" i="7"/>
  <c r="H189" i="7"/>
  <c r="H190" i="7"/>
  <c r="H192" i="7"/>
  <c r="H193" i="7"/>
  <c r="H194" i="7"/>
  <c r="H195" i="7"/>
  <c r="H196" i="7"/>
  <c r="H187" i="7"/>
  <c r="H183" i="7"/>
  <c r="H178" i="7"/>
  <c r="H176" i="7"/>
  <c r="H147" i="7"/>
  <c r="H148" i="7"/>
  <c r="H149" i="7"/>
  <c r="H150" i="7"/>
  <c r="H151" i="7"/>
  <c r="H154" i="7"/>
  <c r="H155" i="7"/>
  <c r="H156" i="7"/>
  <c r="H158" i="7"/>
  <c r="H159" i="7"/>
  <c r="H160" i="7"/>
  <c r="H162" i="7"/>
  <c r="H163" i="7"/>
  <c r="H164" i="7"/>
  <c r="H165" i="7"/>
  <c r="H166" i="7"/>
  <c r="H170" i="7"/>
  <c r="H172" i="7"/>
  <c r="H146" i="7"/>
  <c r="H140" i="7"/>
  <c r="H141" i="7"/>
  <c r="H138" i="7"/>
  <c r="H123" i="7"/>
  <c r="H124" i="7"/>
  <c r="H126" i="7"/>
  <c r="H128" i="7"/>
  <c r="H129" i="7"/>
  <c r="H130" i="7"/>
  <c r="H134" i="7"/>
  <c r="H122" i="7"/>
  <c r="H106" i="7"/>
  <c r="H107" i="7"/>
  <c r="H108" i="7"/>
  <c r="H109" i="7"/>
  <c r="H110" i="7"/>
  <c r="H111" i="7"/>
  <c r="H112" i="7"/>
  <c r="H115" i="7"/>
  <c r="H116" i="7"/>
  <c r="H118" i="7"/>
  <c r="H119" i="7"/>
  <c r="H105" i="7"/>
  <c r="H66" i="7"/>
  <c r="H67" i="7"/>
  <c r="H68" i="7"/>
  <c r="H69" i="7"/>
  <c r="H70" i="7"/>
  <c r="H71" i="7"/>
  <c r="H72" i="7"/>
  <c r="H73" i="7"/>
  <c r="H76" i="7"/>
  <c r="H77" i="7"/>
  <c r="H78" i="7"/>
  <c r="H79" i="7"/>
  <c r="H81" i="7"/>
  <c r="H83" i="7"/>
  <c r="H84" i="7"/>
  <c r="H85" i="7"/>
  <c r="H86" i="7"/>
  <c r="H87" i="7"/>
  <c r="H88" i="7"/>
  <c r="H89" i="7"/>
  <c r="H91" i="7"/>
  <c r="H99" i="7"/>
  <c r="H100" i="7"/>
  <c r="H65" i="7"/>
  <c r="H27" i="7"/>
  <c r="H7" i="7"/>
  <c r="H8" i="7"/>
  <c r="H9" i="7"/>
  <c r="H10" i="7"/>
  <c r="H12" i="7"/>
  <c r="H13" i="7"/>
  <c r="H15" i="7"/>
  <c r="H16" i="7"/>
  <c r="H17" i="7"/>
  <c r="H18" i="7"/>
  <c r="H19" i="7"/>
  <c r="H23" i="7"/>
  <c r="H5" i="7"/>
  <c r="H6" i="7"/>
  <c r="T143" i="7" l="1"/>
  <c r="B10" i="6" s="1"/>
  <c r="K143" i="7"/>
  <c r="P201" i="7"/>
  <c r="N201" i="7"/>
  <c r="P187" i="7"/>
  <c r="N187" i="7"/>
  <c r="M187" i="7"/>
  <c r="M178" i="7"/>
  <c r="M140" i="7"/>
  <c r="M141" i="7"/>
  <c r="I143" i="7"/>
  <c r="J142" i="7" s="1"/>
  <c r="L139" i="7" l="1"/>
  <c r="L142" i="7"/>
  <c r="J139" i="7"/>
  <c r="J141" i="7"/>
  <c r="J140" i="7"/>
  <c r="M143" i="7"/>
  <c r="B6" i="3"/>
  <c r="C9" i="2"/>
  <c r="L141" i="7"/>
  <c r="L140" i="7"/>
  <c r="O201" i="7" l="1"/>
  <c r="Q201" i="7"/>
  <c r="M138" i="7" l="1"/>
  <c r="O187" i="7" l="1"/>
  <c r="Q187" i="7"/>
  <c r="M201" i="7" l="1"/>
  <c r="T202" i="7" l="1"/>
  <c r="B13" i="6" s="1"/>
  <c r="Q183" i="7"/>
  <c r="P183" i="7"/>
  <c r="O183" i="7"/>
  <c r="N183" i="7"/>
  <c r="M183" i="7"/>
  <c r="T179" i="7"/>
  <c r="B12" i="6" s="1"/>
  <c r="K179" i="7"/>
  <c r="L177" i="7" s="1"/>
  <c r="I179" i="7"/>
  <c r="J177" i="7" s="1"/>
  <c r="P176" i="7"/>
  <c r="N176" i="7"/>
  <c r="M176" i="7"/>
  <c r="K173" i="7"/>
  <c r="I173" i="7"/>
  <c r="T173" i="7"/>
  <c r="B11" i="6" s="1"/>
  <c r="P146" i="7"/>
  <c r="N146" i="7"/>
  <c r="M146" i="7"/>
  <c r="Q146" i="7"/>
  <c r="L138" i="7"/>
  <c r="T135" i="7"/>
  <c r="B9" i="6" s="1"/>
  <c r="P105" i="7"/>
  <c r="N105" i="7"/>
  <c r="M105" i="7"/>
  <c r="Q105" i="7"/>
  <c r="T101" i="7"/>
  <c r="B8" i="6" s="1"/>
  <c r="K101" i="7"/>
  <c r="I101" i="7"/>
  <c r="P65" i="7"/>
  <c r="N65" i="7"/>
  <c r="M65" i="7"/>
  <c r="T62" i="7"/>
  <c r="B7" i="6" s="1"/>
  <c r="K62" i="7"/>
  <c r="I62" i="7"/>
  <c r="P27" i="7"/>
  <c r="N27" i="7"/>
  <c r="M27" i="7"/>
  <c r="Q27" i="7"/>
  <c r="T24" i="7"/>
  <c r="B6" i="6" s="1"/>
  <c r="K24" i="7"/>
  <c r="I24" i="7"/>
  <c r="P5" i="7"/>
  <c r="N5" i="7"/>
  <c r="M5" i="7"/>
  <c r="Q5" i="7"/>
  <c r="J197" i="7" l="1"/>
  <c r="J198" i="7"/>
  <c r="J184" i="7"/>
  <c r="J191" i="7"/>
  <c r="L184" i="7"/>
  <c r="B3" i="3"/>
  <c r="M24" i="7"/>
  <c r="C5" i="2"/>
  <c r="C6" i="2"/>
  <c r="M62" i="7"/>
  <c r="B7" i="3"/>
  <c r="C7" i="2"/>
  <c r="C10" i="2"/>
  <c r="B5" i="3"/>
  <c r="L178" i="7"/>
  <c r="B2" i="3"/>
  <c r="C11" i="2"/>
  <c r="J178" i="7"/>
  <c r="M179" i="7"/>
  <c r="J195" i="7"/>
  <c r="J196" i="7"/>
  <c r="J189" i="7"/>
  <c r="J201" i="7"/>
  <c r="J187" i="7"/>
  <c r="J188" i="7"/>
  <c r="J190" i="7"/>
  <c r="J192" i="7"/>
  <c r="J193" i="7"/>
  <c r="J194" i="7"/>
  <c r="L201" i="7"/>
  <c r="B4" i="3"/>
  <c r="L187" i="7"/>
  <c r="C12" i="2"/>
  <c r="M101" i="7"/>
  <c r="M173" i="7"/>
  <c r="J138" i="7"/>
  <c r="Q122" i="7"/>
  <c r="N122" i="7"/>
  <c r="J65" i="7"/>
  <c r="L183" i="7"/>
  <c r="O105" i="7"/>
  <c r="J146" i="7"/>
  <c r="L27" i="7"/>
  <c r="J183" i="7"/>
  <c r="M202" i="7"/>
  <c r="T203" i="7"/>
  <c r="L65" i="7"/>
  <c r="M122" i="7"/>
  <c r="P122" i="7"/>
  <c r="O146" i="7"/>
  <c r="L5" i="7"/>
  <c r="Q65" i="7"/>
  <c r="O65" i="7"/>
  <c r="K135" i="7"/>
  <c r="Q176" i="7"/>
  <c r="O176" i="7"/>
  <c r="L176" i="7"/>
  <c r="J5" i="7"/>
  <c r="O5" i="7"/>
  <c r="J27" i="7"/>
  <c r="O27" i="7"/>
  <c r="I135" i="7"/>
  <c r="L146" i="7"/>
  <c r="J176" i="7"/>
  <c r="J117" i="7" l="1"/>
  <c r="J114" i="7"/>
  <c r="J113" i="7"/>
  <c r="J108" i="7"/>
  <c r="J109" i="7"/>
  <c r="J118" i="7"/>
  <c r="J110" i="7"/>
  <c r="J111" i="7"/>
  <c r="J112" i="7"/>
  <c r="J107" i="7"/>
  <c r="J115" i="7"/>
  <c r="J116" i="7"/>
  <c r="J106" i="7"/>
  <c r="J119" i="7"/>
  <c r="M135" i="7"/>
  <c r="C8" i="2"/>
  <c r="O122" i="7"/>
  <c r="K203" i="7"/>
  <c r="L202" i="7" s="1"/>
  <c r="J105" i="7"/>
  <c r="J122" i="7"/>
  <c r="L105" i="7"/>
  <c r="L122" i="7"/>
  <c r="I203" i="7"/>
  <c r="J135" i="7" l="1"/>
  <c r="J62" i="7"/>
  <c r="L143" i="7"/>
  <c r="L101" i="7"/>
  <c r="L179" i="7"/>
  <c r="L62" i="7"/>
  <c r="L24" i="7"/>
  <c r="L135" i="7"/>
  <c r="L173" i="7"/>
  <c r="J202" i="7"/>
  <c r="J143" i="7"/>
  <c r="J101" i="7"/>
  <c r="J173" i="7"/>
  <c r="J24" i="7"/>
  <c r="J179" i="7"/>
</calcChain>
</file>

<file path=xl/sharedStrings.xml><?xml version="1.0" encoding="utf-8"?>
<sst xmlns="http://schemas.openxmlformats.org/spreadsheetml/2006/main" count="414" uniqueCount="277">
  <si>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</si>
  <si>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</si>
  <si>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</si>
  <si>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</si>
  <si>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</si>
  <si>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</si>
  <si>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</si>
  <si>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</si>
  <si>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</si>
  <si>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</si>
  <si>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</si>
  <si>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</si>
  <si>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</si>
  <si>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</si>
  <si>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</si>
  <si>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</si>
  <si>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</si>
  <si>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</si>
  <si>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</si>
  <si>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</si>
  <si>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</si>
  <si>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</si>
  <si>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</si>
  <si>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</si>
  <si>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</si>
  <si>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</si>
  <si>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</si>
  <si>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</si>
  <si>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</si>
  <si>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</si>
  <si>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</si>
  <si>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</si>
  <si>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</si>
  <si>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</si>
  <si>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</si>
  <si>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</si>
  <si>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</si>
  <si>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</si>
  <si>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</si>
  <si>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</si>
  <si>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</si>
  <si>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</si>
  <si>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</si>
  <si>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</si>
  <si>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</si>
  <si>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</si>
  <si>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</si>
  <si>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</si>
  <si>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</si>
  <si>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</si>
  <si>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</si>
  <si>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</si>
  <si>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</si>
  <si>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</si>
  <si>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</si>
  <si>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</si>
  <si>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</si>
  <si>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</si>
  <si>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</si>
  <si>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</si>
  <si>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</si>
  <si>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</si>
  <si>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</si>
  <si>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</si>
  <si>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</si>
  <si>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</si>
  <si>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</si>
  <si>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</si>
  <si>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</si>
  <si>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</si>
  <si>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</si>
  <si>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</si>
  <si>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</si>
  <si>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</si>
  <si>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</si>
  <si>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</si>
  <si>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</si>
  <si>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</si>
  <si>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</si>
  <si>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</si>
  <si>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</si>
  <si>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</si>
  <si>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</si>
  <si>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</si>
  <si>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</si>
  <si>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</si>
  <si>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</si>
  <si>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</si>
  <si>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</si>
  <si>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</si>
  <si>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</si>
  <si>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</si>
  <si>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</si>
  <si>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</si>
  <si>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</si>
  <si>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</si>
  <si>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</si>
  <si>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</si>
  <si>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</si>
  <si>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</si>
  <si>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</si>
  <si>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</si>
  <si>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</si>
  <si>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</si>
  <si>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</si>
  <si>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</si>
  <si>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</si>
  <si>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</si>
  <si>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</si>
  <si>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</si>
  <si>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</si>
  <si>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</si>
  <si>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</si>
  <si>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</si>
  <si>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</si>
  <si>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</si>
  <si>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</si>
  <si>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</si>
  <si>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</si>
  <si>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</si>
  <si>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</si>
  <si>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</si>
  <si>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</si>
  <si>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</si>
  <si>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</si>
  <si>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</si>
  <si>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</si>
  <si>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</si>
  <si>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</si>
  <si>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</si>
  <si>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</si>
  <si>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</si>
  <si>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</si>
  <si>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</si>
  <si>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</si>
  <si>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</si>
  <si>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</si>
  <si>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</si>
  <si>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</si>
  <si>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</si>
  <si>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</si>
  <si>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</si>
  <si>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</si>
  <si>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</si>
  <si>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</si>
  <si>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</si>
  <si>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</si>
  <si>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</si>
  <si>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</si>
  <si>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</si>
  <si>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</si>
  <si>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</si>
  <si>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</si>
  <si>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</si>
  <si>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</si>
  <si>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</si>
  <si>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</si>
  <si>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</si>
  <si>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</si>
  <si>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</si>
  <si>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</si>
  <si>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</si>
  <si>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</si>
  <si>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</si>
  <si>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</si>
  <si>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</si>
  <si>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</si>
  <si>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</si>
  <si>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</si>
  <si>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</si>
  <si>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</si>
  <si>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</si>
  <si>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</si>
  <si>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</si>
  <si>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</si>
  <si>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</si>
  <si>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</si>
  <si>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</si>
  <si>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</si>
  <si>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</si>
  <si>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</si>
  <si>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</si>
  <si>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</si>
  <si>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</si>
  <si>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</si>
  <si>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</si>
  <si>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</si>
  <si>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</si>
  <si>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</si>
  <si>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</si>
  <si>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</si>
  <si>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</si>
  <si>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</si>
  <si>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</si>
  <si>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</si>
  <si>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</si>
  <si>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</si>
  <si>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</si>
  <si>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</si>
  <si>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</si>
  <si>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</si>
  <si>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</si>
  <si>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</si>
  <si>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</si>
  <si>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</si>
  <si>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</si>
  <si>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</si>
  <si>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</si>
  <si>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</si>
  <si>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</si>
  <si>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</si>
  <si>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</si>
  <si>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</si>
  <si>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</si>
  <si>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</si>
  <si>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</si>
  <si>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</si>
  <si>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</si>
  <si>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</si>
  <si>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</si>
  <si>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</si>
  <si>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</si>
  <si>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</si>
  <si>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</si>
  <si>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</si>
  <si>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</si>
  <si>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</si>
  <si>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</si>
  <si>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</si>
  <si>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</si>
  <si>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</si>
  <si>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</si>
  <si>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</si>
  <si>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</si>
  <si>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</si>
  <si>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</si>
  <si>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</si>
  <si>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</si>
  <si>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</si>
  <si>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</si>
  <si>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</si>
  <si>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</si>
  <si>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</si>
  <si>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</si>
  <si>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</si>
  <si>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</si>
  <si>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</si>
  <si>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</si>
  <si>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</si>
  <si>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</si>
  <si>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</si>
  <si>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</si>
  <si>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</si>
  <si>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</si>
  <si>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</si>
  <si>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</si>
  <si>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</si>
  <si>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Halo Asset Management Limited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</si>
  <si>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</si>
  <si>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</si>
  <si>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</si>
  <si>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</si>
  <si>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</si>
  <si>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</si>
  <si>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</si>
  <si>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t>Chapel Hill Denham Money Market Fund</t>
  </si>
  <si>
    <t>NFEM RATE NG₦/US$ as at 31st January, 2025 = N1,478.22</t>
  </si>
  <si>
    <t>MONTHLY UPDATE ON REGISTERED MUTUAL FUNDS AS AT 31ST JANUARY, 2025</t>
  </si>
  <si>
    <t>Guaranty Trust Investment Fund 724</t>
  </si>
  <si>
    <t>United Capital Stable Income Fund</t>
  </si>
  <si>
    <t>Guaranty Trust Dollar Fund</t>
  </si>
  <si>
    <t>Radix Horizon Fund</t>
  </si>
  <si>
    <t>Radix Capital Partners Limited</t>
  </si>
  <si>
    <t>Jan 2025</t>
  </si>
  <si>
    <t>Dec 2024</t>
  </si>
  <si>
    <t>NET ASSET VALUE (N) PREVIOUS - DECEMBER</t>
  </si>
  <si>
    <t>Norrenberger Investment and Capital Mgt.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</si>
</sst>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  <numFmt numFmtId="176" formatCode="_-* #,##0.0_-;\-* #,##0.0_-;_-* &quot;-&quot;??_-;_-@_-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0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28"/>
      <color theme="0"/>
      <name val="Segoe UI Black"/>
      <family val="2"/>
    </font>
    <font>
      <b/>
      <sz val="6"/>
      <color theme="0"/>
      <name val="Times New Roman"/>
      <family val="1"/>
    </font>
    <font>
      <sz val="10"/>
      <name val="Arial Narrow"/>
      <family val="2"/>
    </font>
    <font>
      <b/>
      <sz val="9"/>
      <name val="Century Gothic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b/>
      <sz val="12"/>
      <color theme="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464">
    <xf numFmtId="0" fontId="0" fillId="0" borderId="0"/>
    <xf numFmtId="164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27" borderId="0" applyNumberFormat="0" applyBorder="0" applyAlignment="0" applyProtection="0"/>
    <xf numFmtId="17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6" fillId="0" borderId="0"/>
    <xf numFmtId="37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9" fillId="0" borderId="0" xfId="0" applyFont="1"/>
    <xf numFmtId="0" fontId="5" fillId="2" borderId="0" xfId="0" applyFont="1" applyFill="1"/>
    <xf numFmtId="0" fontId="10" fillId="2" borderId="0" xfId="0" applyFont="1" applyFill="1"/>
    <xf numFmtId="164" fontId="5" fillId="2" borderId="0" xfId="1" applyFont="1" applyFill="1" applyBorder="1" applyAlignment="1"/>
    <xf numFmtId="172" fontId="8" fillId="2" borderId="0" xfId="0" applyNumberFormat="1" applyFont="1" applyFill="1"/>
    <xf numFmtId="175" fontId="8" fillId="2" borderId="0" xfId="0" applyNumberFormat="1" applyFont="1" applyFill="1"/>
    <xf numFmtId="164" fontId="19" fillId="2" borderId="2" xfId="1" applyFont="1" applyFill="1" applyBorder="1"/>
    <xf numFmtId="172" fontId="19" fillId="2" borderId="2" xfId="0" applyNumberFormat="1" applyFont="1" applyFill="1" applyBorder="1" applyAlignment="1">
      <alignment horizontal="right"/>
    </xf>
    <xf numFmtId="164" fontId="19" fillId="2" borderId="2" xfId="1" applyFont="1" applyFill="1" applyBorder="1" applyAlignment="1"/>
    <xf numFmtId="10" fontId="19" fillId="2" borderId="2" xfId="0" applyNumberFormat="1" applyFont="1" applyFill="1" applyBorder="1" applyAlignment="1">
      <alignment horizontal="center"/>
    </xf>
    <xf numFmtId="0" fontId="21" fillId="9" borderId="0" xfId="0" applyFont="1" applyFill="1" applyAlignment="1">
      <alignment horizontal="right" vertical="center"/>
    </xf>
    <xf numFmtId="0" fontId="22" fillId="2" borderId="0" xfId="0" applyFont="1" applyFill="1"/>
    <xf numFmtId="0" fontId="23" fillId="0" borderId="0" xfId="0" applyFont="1"/>
    <xf numFmtId="0" fontId="3" fillId="2" borderId="0" xfId="0" applyFont="1" applyFill="1"/>
    <xf numFmtId="164" fontId="19" fillId="2" borderId="2" xfId="1" applyFont="1" applyFill="1" applyBorder="1" applyAlignment="1">
      <alignment horizontal="right"/>
    </xf>
    <xf numFmtId="164" fontId="19" fillId="0" borderId="2" xfId="1" applyFont="1" applyBorder="1"/>
    <xf numFmtId="164" fontId="19" fillId="0" borderId="2" xfId="1" applyFont="1" applyFill="1" applyBorder="1"/>
    <xf numFmtId="49" fontId="19" fillId="2" borderId="2" xfId="0" applyNumberFormat="1" applyFont="1" applyFill="1" applyBorder="1" applyAlignment="1">
      <alignment wrapText="1"/>
    </xf>
    <xf numFmtId="172" fontId="19" fillId="2" borderId="2" xfId="0" applyNumberFormat="1" applyFont="1" applyFill="1" applyBorder="1" applyAlignment="1">
      <alignment horizontal="left"/>
    </xf>
    <xf numFmtId="10" fontId="20" fillId="6" borderId="2" xfId="0" applyNumberFormat="1" applyFont="1" applyFill="1" applyBorder="1" applyAlignment="1">
      <alignment horizontal="center" vertical="center"/>
    </xf>
    <xf numFmtId="10" fontId="19" fillId="6" borderId="2" xfId="0" applyNumberFormat="1" applyFont="1" applyFill="1" applyBorder="1" applyAlignment="1">
      <alignment horizontal="center" vertical="center"/>
    </xf>
    <xf numFmtId="172" fontId="19" fillId="6" borderId="2" xfId="0" applyNumberFormat="1" applyFont="1" applyFill="1" applyBorder="1" applyAlignment="1">
      <alignment horizontal="right" vertical="center"/>
    </xf>
    <xf numFmtId="172" fontId="19" fillId="2" borderId="2" xfId="0" applyNumberFormat="1" applyFont="1" applyFill="1" applyBorder="1"/>
    <xf numFmtId="172" fontId="19" fillId="6" borderId="2" xfId="0" applyNumberFormat="1" applyFont="1" applyFill="1" applyBorder="1" applyAlignment="1">
      <alignment horizontal="center" vertical="center"/>
    </xf>
    <xf numFmtId="172" fontId="20" fillId="2" borderId="2" xfId="0" applyNumberFormat="1" applyFont="1" applyFill="1" applyBorder="1"/>
    <xf numFmtId="164" fontId="19" fillId="2" borderId="2" xfId="1" applyFont="1" applyFill="1" applyBorder="1" applyAlignment="1">
      <alignment horizontal="right" vertical="top" wrapText="1"/>
    </xf>
    <xf numFmtId="164" fontId="19" fillId="2" borderId="2" xfId="1" applyFont="1" applyFill="1" applyBorder="1" applyAlignment="1">
      <alignment horizontal="center" vertical="top" wrapText="1"/>
    </xf>
    <xf numFmtId="176" fontId="19" fillId="2" borderId="2" xfId="1" applyNumberFormat="1" applyFont="1" applyFill="1" applyBorder="1" applyAlignment="1">
      <alignment horizontal="right" vertical="top" wrapText="1"/>
    </xf>
    <xf numFmtId="172" fontId="19" fillId="2" borderId="2" xfId="0" applyNumberFormat="1" applyFont="1" applyFill="1" applyBorder="1" applyAlignment="1">
      <alignment horizontal="right" wrapText="1"/>
    </xf>
    <xf numFmtId="164" fontId="19" fillId="2" borderId="2" xfId="1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horizontal="center" vertical="top" wrapText="1"/>
    </xf>
    <xf numFmtId="4" fontId="19" fillId="0" borderId="2" xfId="0" applyNumberFormat="1" applyFont="1" applyBorder="1"/>
    <xf numFmtId="171" fontId="19" fillId="0" borderId="2" xfId="0" applyNumberFormat="1" applyFont="1" applyBorder="1"/>
    <xf numFmtId="174" fontId="19" fillId="0" borderId="2" xfId="0" applyNumberFormat="1" applyFont="1" applyBorder="1"/>
    <xf numFmtId="164" fontId="7" fillId="5" borderId="2" xfId="1" applyFont="1" applyFill="1" applyBorder="1" applyAlignment="1">
      <alignment horizontal="center" vertical="top" wrapText="1"/>
    </xf>
    <xf numFmtId="172" fontId="20" fillId="2" borderId="2" xfId="0" applyNumberFormat="1" applyFont="1" applyFill="1" applyBorder="1" applyAlignment="1">
      <alignment horizontal="left"/>
    </xf>
    <xf numFmtId="10" fontId="20" fillId="2" borderId="2" xfId="0" applyNumberFormat="1" applyFont="1" applyFill="1" applyBorder="1" applyAlignment="1">
      <alignment horizontal="center"/>
    </xf>
    <xf numFmtId="172" fontId="20" fillId="6" borderId="2" xfId="0" applyNumberFormat="1" applyFont="1" applyFill="1" applyBorder="1" applyAlignment="1">
      <alignment horizontal="right" vertical="center"/>
    </xf>
    <xf numFmtId="164" fontId="20" fillId="2" borderId="2" xfId="1" applyFont="1" applyFill="1" applyBorder="1"/>
    <xf numFmtId="172" fontId="20" fillId="6" borderId="2" xfId="0" applyNumberFormat="1" applyFont="1" applyFill="1" applyBorder="1" applyAlignment="1">
      <alignment horizontal="center" vertical="center"/>
    </xf>
    <xf numFmtId="164" fontId="20" fillId="2" borderId="2" xfId="1" applyFont="1" applyFill="1" applyBorder="1" applyAlignment="1"/>
    <xf numFmtId="164" fontId="20" fillId="2" borderId="2" xfId="1" applyFont="1" applyFill="1" applyBorder="1" applyAlignment="1">
      <alignment wrapText="1"/>
    </xf>
    <xf numFmtId="10" fontId="20" fillId="6" borderId="2" xfId="0" applyNumberFormat="1" applyFont="1" applyFill="1" applyBorder="1" applyAlignment="1">
      <alignment horizontal="right" vertical="center"/>
    </xf>
    <xf numFmtId="173" fontId="19" fillId="2" borderId="2" xfId="0" applyNumberFormat="1" applyFont="1" applyFill="1" applyBorder="1"/>
    <xf numFmtId="10" fontId="20" fillId="5" borderId="2" xfId="0" applyNumberFormat="1" applyFont="1" applyFill="1" applyBorder="1"/>
    <xf numFmtId="10" fontId="20" fillId="5" borderId="2" xfId="0" applyNumberFormat="1" applyFont="1" applyFill="1" applyBorder="1" applyAlignment="1">
      <alignment horizontal="right" vertical="center"/>
    </xf>
    <xf numFmtId="172" fontId="20" fillId="5" borderId="2" xfId="0" applyNumberFormat="1" applyFont="1" applyFill="1" applyBorder="1" applyAlignment="1">
      <alignment horizontal="right" vertical="center"/>
    </xf>
    <xf numFmtId="164" fontId="20" fillId="5" borderId="2" xfId="1" applyFont="1" applyFill="1" applyBorder="1"/>
    <xf numFmtId="164" fontId="19" fillId="0" borderId="2" xfId="1" applyFont="1" applyBorder="1" applyAlignment="1"/>
    <xf numFmtId="164" fontId="19" fillId="7" borderId="2" xfId="1" applyFont="1" applyFill="1" applyBorder="1"/>
    <xf numFmtId="164" fontId="7" fillId="5" borderId="2" xfId="1" applyFont="1" applyFill="1" applyBorder="1"/>
    <xf numFmtId="10" fontId="7" fillId="5" borderId="2" xfId="0" applyNumberFormat="1" applyFont="1" applyFill="1" applyBorder="1"/>
    <xf numFmtId="0" fontId="24" fillId="0" borderId="0" xfId="0" applyFont="1" applyAlignment="1">
      <alignment horizontal="right"/>
    </xf>
    <xf numFmtId="164" fontId="26" fillId="2" borderId="0" xfId="1" applyFont="1" applyFill="1" applyBorder="1"/>
    <xf numFmtId="4" fontId="27" fillId="2" borderId="0" xfId="0" applyNumberFormat="1" applyFont="1" applyFill="1"/>
    <xf numFmtId="4" fontId="27" fillId="2" borderId="0" xfId="0" applyNumberFormat="1" applyFont="1" applyFill="1" applyAlignment="1">
      <alignment horizontal="right"/>
    </xf>
    <xf numFmtId="4" fontId="26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4" fontId="26" fillId="2" borderId="0" xfId="0" applyNumberFormat="1" applyFont="1" applyFill="1"/>
    <xf numFmtId="164" fontId="27" fillId="2" borderId="0" xfId="1" applyFont="1" applyFill="1" applyBorder="1" applyAlignment="1">
      <alignment horizontal="right" vertical="top" wrapText="1"/>
    </xf>
    <xf numFmtId="164" fontId="26" fillId="2" borderId="0" xfId="1" applyFont="1" applyFill="1" applyBorder="1" applyAlignment="1">
      <alignment horizontal="right" vertical="top" wrapText="1"/>
    </xf>
    <xf numFmtId="43" fontId="4" fillId="0" borderId="0" xfId="200" applyFont="1"/>
    <xf numFmtId="0" fontId="27" fillId="0" borderId="0" xfId="0" applyFont="1" applyAlignment="1">
      <alignment horizontal="right"/>
    </xf>
    <xf numFmtId="164" fontId="20" fillId="2" borderId="2" xfId="1" applyFont="1" applyFill="1" applyBorder="1" applyAlignment="1">
      <alignment horizontal="left"/>
    </xf>
    <xf numFmtId="164" fontId="19" fillId="0" borderId="2" xfId="1" applyFont="1" applyFill="1" applyBorder="1" applyAlignment="1" applyProtection="1"/>
    <xf numFmtId="0" fontId="29" fillId="9" borderId="1" xfId="0" applyFont="1" applyFill="1" applyBorder="1" applyAlignment="1">
      <alignment horizontal="left" vertical="center"/>
    </xf>
    <xf numFmtId="4" fontId="19" fillId="2" borderId="2" xfId="0" applyNumberFormat="1" applyFont="1" applyFill="1" applyBorder="1" applyAlignment="1">
      <alignment wrapText="1"/>
    </xf>
    <xf numFmtId="0" fontId="19" fillId="2" borderId="2" xfId="0" applyFont="1" applyFill="1" applyBorder="1"/>
    <xf numFmtId="0" fontId="19" fillId="2" borderId="2" xfId="0" applyFont="1" applyFill="1" applyBorder="1" applyAlignment="1">
      <alignment wrapText="1"/>
    </xf>
    <xf numFmtId="173" fontId="19" fillId="2" borderId="2" xfId="0" applyNumberFormat="1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right" wrapText="1"/>
    </xf>
    <xf numFmtId="2" fontId="19" fillId="2" borderId="2" xfId="0" applyNumberFormat="1" applyFont="1" applyFill="1" applyBorder="1"/>
    <xf numFmtId="2" fontId="19" fillId="2" borderId="2" xfId="0" applyNumberFormat="1" applyFont="1" applyFill="1" applyBorder="1" applyAlignment="1">
      <alignment wrapText="1"/>
    </xf>
    <xf numFmtId="2" fontId="19" fillId="2" borderId="2" xfId="463" applyNumberFormat="1" applyFont="1" applyFill="1" applyBorder="1" applyAlignment="1">
      <alignment wrapText="1"/>
    </xf>
    <xf numFmtId="49" fontId="19" fillId="2" borderId="2" xfId="0" applyNumberFormat="1" applyFont="1" applyFill="1" applyBorder="1"/>
    <xf numFmtId="164" fontId="19" fillId="2" borderId="2" xfId="1" applyFont="1" applyFill="1" applyBorder="1" applyAlignment="1">
      <alignment wrapText="1"/>
    </xf>
    <xf numFmtId="174" fontId="19" fillId="2" borderId="2" xfId="1" applyNumberFormat="1" applyFont="1" applyFill="1" applyBorder="1" applyAlignment="1">
      <alignment horizontal="center" wrapText="1"/>
    </xf>
    <xf numFmtId="164" fontId="19" fillId="2" borderId="2" xfId="1" applyFont="1" applyFill="1" applyBorder="1" applyAlignment="1">
      <alignment horizontal="left" vertical="top" wrapText="1"/>
    </xf>
    <xf numFmtId="49" fontId="19" fillId="2" borderId="2" xfId="0" applyNumberFormat="1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vertical="top" wrapText="1"/>
    </xf>
    <xf numFmtId="0" fontId="30" fillId="0" borderId="0" xfId="0" applyFont="1"/>
    <xf numFmtId="164" fontId="30" fillId="0" borderId="0" xfId="1" applyFont="1" applyBorder="1"/>
    <xf numFmtId="4" fontId="30" fillId="2" borderId="0" xfId="0" applyNumberFormat="1" applyFont="1" applyFill="1"/>
    <xf numFmtId="172" fontId="30" fillId="2" borderId="0" xfId="0" applyNumberFormat="1" applyFont="1" applyFill="1"/>
    <xf numFmtId="4" fontId="27" fillId="2" borderId="0" xfId="0" applyNumberFormat="1" applyFont="1" applyFill="1" applyBorder="1" applyAlignment="1">
      <alignment horizontal="right"/>
    </xf>
    <xf numFmtId="173" fontId="19" fillId="2" borderId="2" xfId="0" applyNumberFormat="1" applyFont="1" applyFill="1" applyBorder="1" applyAlignment="1">
      <alignment horizontal="center" wrapText="1"/>
    </xf>
    <xf numFmtId="164" fontId="19" fillId="0" borderId="2" xfId="1" applyFont="1" applyBorder="1" applyAlignment="1">
      <alignment horizontal="right" vertical="top"/>
    </xf>
    <xf numFmtId="0" fontId="34" fillId="0" borderId="0" xfId="0" applyFont="1" applyAlignment="1">
      <alignment horizontal="right"/>
    </xf>
    <xf numFmtId="16" fontId="34" fillId="2" borderId="0" xfId="0" quotePrefix="1" applyNumberFormat="1" applyFont="1" applyFill="1" applyAlignment="1">
      <alignment horizontal="right" wrapText="1"/>
    </xf>
    <xf numFmtId="0" fontId="35" fillId="0" borderId="0" xfId="0" applyFont="1"/>
    <xf numFmtId="0" fontId="34" fillId="0" borderId="0" xfId="0" applyFont="1" applyAlignment="1">
      <alignment horizontal="right" wrapText="1"/>
    </xf>
    <xf numFmtId="2" fontId="35" fillId="0" borderId="0" xfId="0" applyNumberFormat="1" applyFont="1"/>
    <xf numFmtId="43" fontId="35" fillId="0" borderId="0" xfId="200" applyFont="1" applyBorder="1"/>
    <xf numFmtId="164" fontId="35" fillId="0" borderId="0" xfId="1" applyFont="1"/>
    <xf numFmtId="16" fontId="34" fillId="2" borderId="0" xfId="0" applyNumberFormat="1" applyFont="1" applyFill="1"/>
    <xf numFmtId="0" fontId="34" fillId="0" borderId="2" xfId="0" applyFont="1" applyBorder="1" applyAlignment="1">
      <alignment horizontal="right"/>
    </xf>
    <xf numFmtId="16" fontId="34" fillId="2" borderId="2" xfId="0" quotePrefix="1" applyNumberFormat="1" applyFont="1" applyFill="1" applyBorder="1" applyAlignment="1">
      <alignment horizontal="right"/>
    </xf>
    <xf numFmtId="0" fontId="33" fillId="0" borderId="0" xfId="0" applyFont="1"/>
    <xf numFmtId="164" fontId="35" fillId="2" borderId="2" xfId="1" applyFont="1" applyFill="1" applyBorder="1" applyAlignment="1">
      <alignment horizontal="right" vertical="top" wrapText="1"/>
    </xf>
    <xf numFmtId="164" fontId="35" fillId="2" borderId="2" xfId="1" applyFont="1" applyFill="1" applyBorder="1"/>
    <xf numFmtId="4" fontId="35" fillId="2" borderId="2" xfId="0" applyNumberFormat="1" applyFont="1" applyFill="1" applyBorder="1"/>
    <xf numFmtId="4" fontId="35" fillId="2" borderId="2" xfId="0" applyNumberFormat="1" applyFont="1" applyFill="1" applyBorder="1" applyAlignment="1">
      <alignment horizontal="right"/>
    </xf>
    <xf numFmtId="0" fontId="36" fillId="0" borderId="0" xfId="0" applyFont="1" applyBorder="1" applyAlignment="1">
      <alignment horizontal="right"/>
    </xf>
    <xf numFmtId="164" fontId="37" fillId="2" borderId="4" xfId="1" applyFont="1" applyFill="1" applyBorder="1"/>
    <xf numFmtId="43" fontId="33" fillId="0" borderId="0" xfId="200" applyFont="1"/>
    <xf numFmtId="4" fontId="37" fillId="2" borderId="2" xfId="0" applyNumberFormat="1" applyFont="1" applyFill="1" applyBorder="1"/>
    <xf numFmtId="4" fontId="37" fillId="2" borderId="2" xfId="0" applyNumberFormat="1" applyFont="1" applyFill="1" applyBorder="1" applyAlignment="1">
      <alignment horizontal="right"/>
    </xf>
    <xf numFmtId="172" fontId="38" fillId="2" borderId="2" xfId="0" applyNumberFormat="1" applyFont="1" applyFill="1" applyBorder="1"/>
    <xf numFmtId="0" fontId="39" fillId="0" borderId="1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6" fillId="0" borderId="1" xfId="0" applyFont="1" applyBorder="1" applyAlignment="1">
      <alignment horizontal="right"/>
    </xf>
    <xf numFmtId="171" fontId="33" fillId="0" borderId="0" xfId="200" applyNumberFormat="1" applyFont="1"/>
    <xf numFmtId="49" fontId="20" fillId="2" borderId="2" xfId="0" applyNumberFormat="1" applyFont="1" applyFill="1" applyBorder="1" applyAlignment="1">
      <alignment horizontal="right"/>
    </xf>
    <xf numFmtId="49" fontId="7" fillId="5" borderId="2" xfId="0" applyNumberFormat="1" applyFont="1" applyFill="1" applyBorder="1" applyAlignment="1">
      <alignment horizontal="right"/>
    </xf>
    <xf numFmtId="173" fontId="19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wrapText="1"/>
    </xf>
    <xf numFmtId="2" fontId="31" fillId="2" borderId="2" xfId="0" applyNumberFormat="1" applyFont="1" applyFill="1" applyBorder="1" applyAlignment="1">
      <alignment horizontal="center" wrapText="1"/>
    </xf>
    <xf numFmtId="173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172" fontId="31" fillId="2" borderId="2" xfId="0" applyNumberFormat="1" applyFont="1" applyFill="1" applyBorder="1" applyAlignment="1">
      <alignment horizontal="center" wrapText="1"/>
    </xf>
    <xf numFmtId="49" fontId="28" fillId="4" borderId="2" xfId="0" applyNumberFormat="1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173" fontId="20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Dec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_-* #,##0.00_-;\-* #,##0.00_-;_-* "-"??_-;_-@_-</c:formatCode>
                <c:ptCount val="8"/>
                <c:pt idx="0" formatCode="0.00">
                  <c:v>31.228529608879999</c:v>
                </c:pt>
                <c:pt idx="1">
                  <c:v>1584.1650796173797</c:v>
                </c:pt>
                <c:pt idx="2" formatCode="0.00">
                  <c:v>199.84515983545998</c:v>
                </c:pt>
                <c:pt idx="3">
                  <c:v>1813.5641643351714</c:v>
                </c:pt>
                <c:pt idx="4" formatCode="0.00">
                  <c:v>99.731344023310001</c:v>
                </c:pt>
                <c:pt idx="5" formatCode="0.00">
                  <c:v>53.404869418139995</c:v>
                </c:pt>
                <c:pt idx="6" formatCode="0.00">
                  <c:v>5.6402502335799998</c:v>
                </c:pt>
                <c:pt idx="7" formatCode="0.00">
                  <c:v>51.425579792678008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Jan 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36.033458642393697</c:v>
                </c:pt>
                <c:pt idx="1">
                  <c:v>1914.5786195926196</c:v>
                </c:pt>
                <c:pt idx="2">
                  <c:v>190.81975741566711</c:v>
                </c:pt>
                <c:pt idx="3">
                  <c:v>1724.1396101226467</c:v>
                </c:pt>
                <c:pt idx="4">
                  <c:v>100.81898307284</c:v>
                </c:pt>
                <c:pt idx="5">
                  <c:v>55.822649090856117</c:v>
                </c:pt>
                <c:pt idx="6">
                  <c:v>6.0992284225799995</c:v>
                </c:pt>
                <c:pt idx="7">
                  <c:v>54.473855704545414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Jan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6099228422.5799999</c:v>
                </c:pt>
                <c:pt idx="1">
                  <c:v>36033458642.3937</c:v>
                </c:pt>
                <c:pt idx="2" formatCode="#,##0.00">
                  <c:v>54473855704.545418</c:v>
                </c:pt>
                <c:pt idx="3" formatCode="#,##0.00">
                  <c:v>55822649090.856117</c:v>
                </c:pt>
                <c:pt idx="4" formatCode="#,##0.00">
                  <c:v>100818983072.84</c:v>
                </c:pt>
                <c:pt idx="5" formatCode="#,##0.00">
                  <c:v>190819757415.66711</c:v>
                </c:pt>
                <c:pt idx="6" formatCode="#,##0.00">
                  <c:v>1724139610122.6467</c:v>
                </c:pt>
                <c:pt idx="7" formatCode="#,##0.00">
                  <c:v>1914578619592.6196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50285</c:v>
                </c:pt>
                <c:pt idx="1">
                  <c:v>348803</c:v>
                </c:pt>
                <c:pt idx="2">
                  <c:v>43952</c:v>
                </c:pt>
                <c:pt idx="3">
                  <c:v>19572</c:v>
                </c:pt>
                <c:pt idx="4">
                  <c:v>217004</c:v>
                </c:pt>
                <c:pt idx="5">
                  <c:v>68493</c:v>
                </c:pt>
                <c:pt idx="6">
                  <c:v>13412</c:v>
                </c:pt>
                <c:pt idx="7">
                  <c:v>28698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83820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saac/Desktop/Monthly%20Mutual%20Funds%20Update%202024/Monthly%20Update%20on%20Registered%20Mutual%20Funds%20as%20at%20Dec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"/>
      <sheetName val="NAV Comparison"/>
      <sheetName val="Market Share"/>
      <sheetName val="Unitholders"/>
    </sheetNames>
    <sheetDataSet>
      <sheetData sheetId="0">
        <row r="24">
          <cell r="I24">
            <v>31228529608.879997</v>
          </cell>
        </row>
        <row r="62">
          <cell r="I62">
            <v>1584165079617.3796</v>
          </cell>
        </row>
        <row r="100">
          <cell r="I100">
            <v>199845159835.45999</v>
          </cell>
        </row>
        <row r="135">
          <cell r="I135">
            <v>1813564164335.1714</v>
          </cell>
        </row>
        <row r="143">
          <cell r="I143">
            <v>99731344023.309998</v>
          </cell>
        </row>
        <row r="174">
          <cell r="I174">
            <v>53404869418.139992</v>
          </cell>
        </row>
        <row r="180">
          <cell r="I180">
            <v>5640250233.5799999</v>
          </cell>
        </row>
        <row r="203">
          <cell r="I203">
            <v>51425579792.678009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5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4" customWidth="1"/>
    <col min="2" max="2" width="44.6640625" style="17" customWidth="1"/>
    <col min="3" max="3" width="43.88671875" style="17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8" width="14.44140625" style="4" customWidth="1"/>
    <col min="19" max="19" width="13.33203125" style="4" customWidth="1"/>
    <col min="20" max="20" width="16.44140625" style="4" customWidth="1"/>
    <col min="21" max="22" width="20.109375" style="4" customWidth="1"/>
    <col min="23" max="16384" width="9" style="4"/>
  </cols>
  <sheetData>
    <row r="1" spans="1:23" ht="39.9" customHeight="1">
      <c r="A1" s="126" t="s">
        <v>267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5"/>
    </row>
    <row r="2" spans="1:23" ht="41.4" customHeight="1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9" t="s">
        <v>7</v>
      </c>
      <c r="I2" s="35" t="s">
        <v>275</v>
      </c>
      <c r="J2" s="35" t="s">
        <v>8</v>
      </c>
      <c r="K2" s="35" t="s">
        <v>9</v>
      </c>
      <c r="L2" s="35" t="s">
        <v>8</v>
      </c>
      <c r="M2" s="35" t="s">
        <v>10</v>
      </c>
      <c r="N2" s="35" t="s">
        <v>11</v>
      </c>
      <c r="O2" s="35" t="s">
        <v>12</v>
      </c>
      <c r="P2" s="35" t="s">
        <v>13</v>
      </c>
      <c r="Q2" s="35" t="s">
        <v>14</v>
      </c>
      <c r="R2" s="35" t="s">
        <v>15</v>
      </c>
      <c r="S2" s="35" t="s">
        <v>16</v>
      </c>
      <c r="T2" s="35" t="s">
        <v>17</v>
      </c>
      <c r="U2" s="35" t="s">
        <v>18</v>
      </c>
      <c r="V2" s="35" t="s">
        <v>19</v>
      </c>
    </row>
    <row r="3" spans="1:23" ht="6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3" ht="16.5" customHeight="1">
      <c r="A4" s="120" t="s">
        <v>20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3" ht="15" customHeight="1">
      <c r="A5" s="90">
        <v>1</v>
      </c>
      <c r="B5" s="22" t="s">
        <v>21</v>
      </c>
      <c r="C5" s="22" t="s">
        <v>22</v>
      </c>
      <c r="D5" s="11">
        <v>1445623212.3</v>
      </c>
      <c r="E5" s="11">
        <v>5079405.99</v>
      </c>
      <c r="F5" s="11">
        <v>509841789.13</v>
      </c>
      <c r="G5" s="11">
        <v>2635120.9700000002</v>
      </c>
      <c r="H5" s="13">
        <f>(E5+F5)-G5</f>
        <v>512286074.14999998</v>
      </c>
      <c r="I5" s="34">
        <v>1304001629.4100001</v>
      </c>
      <c r="J5" s="14">
        <f t="shared" ref="J5:J23" si="0">(I5/$I$24)</f>
        <v>3.9270333102673138E-2</v>
      </c>
      <c r="K5" s="34">
        <v>1463650968.8199999</v>
      </c>
      <c r="L5" s="14">
        <f>(K5/$K$24)</f>
        <v>4.0619219579937881E-2</v>
      </c>
      <c r="M5" s="14">
        <f t="shared" ref="M5:M24" si="1">((K5-I5)/I5)</f>
        <v>0.12243032202516015</v>
      </c>
      <c r="N5" s="24">
        <f t="shared" ref="N5" si="2">(G5/K5)</f>
        <v>1.8003752439179151E-3</v>
      </c>
      <c r="O5" s="25">
        <f t="shared" ref="O5" si="3">H5/K5</f>
        <v>0.35000562638441501</v>
      </c>
      <c r="P5" s="26">
        <f t="shared" ref="P5" si="4">K5/V5</f>
        <v>414.09656039597661</v>
      </c>
      <c r="Q5" s="26">
        <f t="shared" ref="Q5" si="5">H5/V5</f>
        <v>144.93612600502553</v>
      </c>
      <c r="R5" s="11">
        <v>414.09660000000002</v>
      </c>
      <c r="S5" s="11">
        <v>420.01830000000001</v>
      </c>
      <c r="T5" s="11">
        <v>1696</v>
      </c>
      <c r="U5" s="11">
        <v>3289960.47</v>
      </c>
      <c r="V5" s="11">
        <v>3534564.42</v>
      </c>
    </row>
    <row r="6" spans="1:23">
      <c r="A6" s="90">
        <v>2</v>
      </c>
      <c r="B6" s="22" t="s">
        <v>23</v>
      </c>
      <c r="C6" s="22" t="s">
        <v>24</v>
      </c>
      <c r="D6" s="11">
        <v>641323414.70000005</v>
      </c>
      <c r="E6" s="11">
        <v>2121881.16</v>
      </c>
      <c r="F6" s="11">
        <v>0</v>
      </c>
      <c r="G6" s="11">
        <v>899344.71</v>
      </c>
      <c r="H6" s="13">
        <f>(E6+F6)-G6</f>
        <v>1222536.4500000002</v>
      </c>
      <c r="I6" s="34">
        <v>630574699.89999998</v>
      </c>
      <c r="J6" s="14">
        <f t="shared" si="0"/>
        <v>1.8989913779782007E-2</v>
      </c>
      <c r="K6" s="34">
        <v>646093877.62</v>
      </c>
      <c r="L6" s="14">
        <f t="shared" ref="L6:L23" si="6">(K6/$K$24)</f>
        <v>1.7930387533209607E-2</v>
      </c>
      <c r="M6" s="14">
        <f t="shared" ref="M6:M23" si="7">((K6-I6)/I6)</f>
        <v>2.4611164581232241E-2</v>
      </c>
      <c r="N6" s="24">
        <f t="shared" ref="N6:N23" si="8">(G6/K6)</f>
        <v>1.3919721903462292E-3</v>
      </c>
      <c r="O6" s="25">
        <f t="shared" ref="O6:O23" si="9">H6/K6</f>
        <v>1.8921963082260233E-3</v>
      </c>
      <c r="P6" s="26">
        <f t="shared" ref="P6:P23" si="10">K6/V6</f>
        <v>269.74221643964836</v>
      </c>
      <c r="Q6" s="26">
        <f t="shared" ref="Q6:Q23" si="11">H6/V6</f>
        <v>0.51040522611980765</v>
      </c>
      <c r="R6" s="11">
        <v>268.55</v>
      </c>
      <c r="S6" s="11">
        <v>271.64999999999998</v>
      </c>
      <c r="T6" s="11">
        <v>354</v>
      </c>
      <c r="U6" s="11">
        <v>2422731.94</v>
      </c>
      <c r="V6" s="11">
        <v>2395227.14</v>
      </c>
    </row>
    <row r="7" spans="1:23">
      <c r="A7" s="90">
        <v>3</v>
      </c>
      <c r="B7" s="22" t="s">
        <v>25</v>
      </c>
      <c r="C7" s="79" t="s">
        <v>26</v>
      </c>
      <c r="D7" s="11">
        <v>3604856591.0799999</v>
      </c>
      <c r="E7" s="11">
        <v>2886671.97</v>
      </c>
      <c r="F7" s="11">
        <v>41794667.130000003</v>
      </c>
      <c r="G7" s="11">
        <v>13623209.289999999</v>
      </c>
      <c r="H7" s="13">
        <f t="shared" ref="H7:H23" si="12">(E7+F7)-G7</f>
        <v>31058129.810000002</v>
      </c>
      <c r="I7" s="34">
        <v>3919708098</v>
      </c>
      <c r="J7" s="14">
        <f t="shared" si="0"/>
        <v>0.11804298338442316</v>
      </c>
      <c r="K7" s="34">
        <v>3914744532</v>
      </c>
      <c r="L7" s="14">
        <f t="shared" si="6"/>
        <v>0.10864193112437635</v>
      </c>
      <c r="M7" s="14">
        <f t="shared" si="7"/>
        <v>-1.266310111850579E-3</v>
      </c>
      <c r="N7" s="24">
        <f t="shared" si="8"/>
        <v>3.4799740260547862E-3</v>
      </c>
      <c r="O7" s="25">
        <f t="shared" si="9"/>
        <v>7.933628760733653E-3</v>
      </c>
      <c r="P7" s="26">
        <f t="shared" si="10"/>
        <v>36.030799204233411</v>
      </c>
      <c r="Q7" s="26">
        <f t="shared" si="11"/>
        <v>0.28585498483892541</v>
      </c>
      <c r="R7" s="11">
        <v>35.8506</v>
      </c>
      <c r="S7" s="11">
        <v>36.931600000000003</v>
      </c>
      <c r="T7" s="11">
        <v>6627</v>
      </c>
      <c r="U7" s="11">
        <v>109888969</v>
      </c>
      <c r="V7" s="11">
        <v>108649950</v>
      </c>
    </row>
    <row r="8" spans="1:23">
      <c r="A8" s="90">
        <v>4</v>
      </c>
      <c r="B8" s="83" t="s">
        <v>27</v>
      </c>
      <c r="C8" s="83" t="s">
        <v>28</v>
      </c>
      <c r="D8" s="11">
        <v>482580157.87</v>
      </c>
      <c r="E8" s="11">
        <v>2910117.43</v>
      </c>
      <c r="F8" s="11">
        <v>0</v>
      </c>
      <c r="G8" s="11">
        <v>1036307.26</v>
      </c>
      <c r="H8" s="13">
        <f t="shared" si="12"/>
        <v>1873810.1700000002</v>
      </c>
      <c r="I8" s="34">
        <v>641019727.99000001</v>
      </c>
      <c r="J8" s="14">
        <f t="shared" si="0"/>
        <v>1.9304468396210413E-2</v>
      </c>
      <c r="K8" s="34">
        <v>587995085.10000002</v>
      </c>
      <c r="L8" s="14">
        <f t="shared" si="6"/>
        <v>1.6318030720709621E-2</v>
      </c>
      <c r="M8" s="14">
        <f t="shared" si="7"/>
        <v>-8.2719205938116117E-2</v>
      </c>
      <c r="N8" s="24">
        <f t="shared" si="8"/>
        <v>1.7624420446027296E-3</v>
      </c>
      <c r="O8" s="25">
        <f t="shared" si="9"/>
        <v>3.1867786270378812E-3</v>
      </c>
      <c r="P8" s="26">
        <f t="shared" si="10"/>
        <v>223.79953945552063</v>
      </c>
      <c r="Q8" s="26">
        <f t="shared" si="11"/>
        <v>0.71319958907777414</v>
      </c>
      <c r="R8" s="11">
        <v>223.79949999999999</v>
      </c>
      <c r="S8" s="11">
        <v>223.79949999999999</v>
      </c>
      <c r="T8" s="11">
        <v>1917</v>
      </c>
      <c r="U8" s="11">
        <v>2909122.66</v>
      </c>
      <c r="V8" s="11">
        <v>2627329.29</v>
      </c>
    </row>
    <row r="9" spans="1:23">
      <c r="A9" s="90">
        <v>5</v>
      </c>
      <c r="B9" s="22" t="s">
        <v>212</v>
      </c>
      <c r="C9" s="79" t="s">
        <v>105</v>
      </c>
      <c r="D9" s="11">
        <v>972865760.41999996</v>
      </c>
      <c r="E9" s="11">
        <v>6078935.7199999997</v>
      </c>
      <c r="F9" s="11">
        <v>37125892.149999999</v>
      </c>
      <c r="G9" s="11">
        <v>1896683.02</v>
      </c>
      <c r="H9" s="13">
        <f t="shared" si="12"/>
        <v>41308144.849999994</v>
      </c>
      <c r="I9" s="34">
        <v>964499440.97000003</v>
      </c>
      <c r="J9" s="14">
        <f t="shared" si="0"/>
        <v>2.9046140334480372E-2</v>
      </c>
      <c r="K9" s="34">
        <v>1007823030.88</v>
      </c>
      <c r="L9" s="14">
        <f t="shared" si="6"/>
        <v>2.796908953098071E-2</v>
      </c>
      <c r="M9" s="14">
        <f t="shared" si="7"/>
        <v>4.4918211529940653E-2</v>
      </c>
      <c r="N9" s="24">
        <f t="shared" si="8"/>
        <v>1.8819603857870512E-3</v>
      </c>
      <c r="O9" s="25">
        <f t="shared" si="9"/>
        <v>4.0987498384444536E-2</v>
      </c>
      <c r="P9" s="26">
        <f t="shared" si="10"/>
        <v>1.304366310580219</v>
      </c>
      <c r="Q9" s="26">
        <f t="shared" si="11"/>
        <v>5.3462712047630603E-2</v>
      </c>
      <c r="R9" s="11">
        <v>1.2948</v>
      </c>
      <c r="S9" s="11">
        <v>1.3109999999999999</v>
      </c>
      <c r="T9" s="11">
        <v>493</v>
      </c>
      <c r="U9" s="11">
        <v>771629924.10000002</v>
      </c>
      <c r="V9" s="11">
        <v>772653374.05999994</v>
      </c>
    </row>
    <row r="10" spans="1:23">
      <c r="A10" s="90">
        <v>6</v>
      </c>
      <c r="B10" s="71" t="s">
        <v>211</v>
      </c>
      <c r="C10" s="73" t="s">
        <v>48</v>
      </c>
      <c r="D10" s="11">
        <v>88740204.370000005</v>
      </c>
      <c r="E10" s="11">
        <v>1949375.35</v>
      </c>
      <c r="F10" s="11">
        <v>0</v>
      </c>
      <c r="G10" s="11">
        <v>2861754.96</v>
      </c>
      <c r="H10" s="13">
        <f t="shared" si="12"/>
        <v>-912379.60999999987</v>
      </c>
      <c r="I10" s="34">
        <v>95274584.969999999</v>
      </c>
      <c r="J10" s="14">
        <f t="shared" si="0"/>
        <v>2.869217801271977E-3</v>
      </c>
      <c r="K10" s="34">
        <v>97327932.239999995</v>
      </c>
      <c r="L10" s="14">
        <f t="shared" si="6"/>
        <v>2.7010433054986504E-3</v>
      </c>
      <c r="M10" s="14">
        <f t="shared" si="7"/>
        <v>2.1551888897197006E-2</v>
      </c>
      <c r="N10" s="24">
        <f t="shared" si="8"/>
        <v>2.9403223659814598E-2</v>
      </c>
      <c r="O10" s="25">
        <f t="shared" si="9"/>
        <v>-9.3742833018395158E-3</v>
      </c>
      <c r="P10" s="26">
        <f t="shared" si="10"/>
        <v>176.23857716439485</v>
      </c>
      <c r="Q10" s="26">
        <f t="shared" si="11"/>
        <v>-1.6521103510521418</v>
      </c>
      <c r="R10" s="11">
        <v>176.9956</v>
      </c>
      <c r="S10" s="11">
        <v>176.82579999999999</v>
      </c>
      <c r="T10" s="11">
        <v>103</v>
      </c>
      <c r="U10" s="11">
        <v>549831.62</v>
      </c>
      <c r="V10" s="11">
        <v>552251.01</v>
      </c>
    </row>
    <row r="11" spans="1:23">
      <c r="A11" s="90">
        <v>7</v>
      </c>
      <c r="B11" s="22" t="s">
        <v>29</v>
      </c>
      <c r="C11" s="22" t="s">
        <v>30</v>
      </c>
      <c r="D11" s="11">
        <v>1269107301.4400001</v>
      </c>
      <c r="E11" s="11">
        <v>74401329.359999999</v>
      </c>
      <c r="F11" s="11">
        <v>-83948390.060000002</v>
      </c>
      <c r="G11" s="11">
        <v>2184440.16</v>
      </c>
      <c r="H11" s="13">
        <f t="shared" si="12"/>
        <v>-11731500.860000003</v>
      </c>
      <c r="I11" s="34">
        <v>1158217862.1700001</v>
      </c>
      <c r="J11" s="14">
        <f t="shared" si="0"/>
        <v>3.4880018726250427E-2</v>
      </c>
      <c r="K11" s="34">
        <v>1252733355.3499999</v>
      </c>
      <c r="L11" s="14">
        <f t="shared" si="6"/>
        <v>3.4765837156585003E-2</v>
      </c>
      <c r="M11" s="14">
        <f t="shared" si="7"/>
        <v>8.1604244129786271E-2</v>
      </c>
      <c r="N11" s="24">
        <f t="shared" si="8"/>
        <v>1.7437391210755233E-3</v>
      </c>
      <c r="O11" s="25">
        <f t="shared" si="9"/>
        <v>-9.3647229954393219E-3</v>
      </c>
      <c r="P11" s="26">
        <f t="shared" si="10"/>
        <v>343.36814579834049</v>
      </c>
      <c r="Q11" s="26">
        <f t="shared" si="11"/>
        <v>-3.2155475708590808</v>
      </c>
      <c r="R11" s="11">
        <v>343.37</v>
      </c>
      <c r="S11" s="11">
        <v>347.41</v>
      </c>
      <c r="T11" s="11">
        <v>1657</v>
      </c>
      <c r="U11" s="11">
        <v>3576793</v>
      </c>
      <c r="V11" s="11">
        <v>3648368</v>
      </c>
    </row>
    <row r="12" spans="1:23">
      <c r="A12" s="90">
        <v>8</v>
      </c>
      <c r="B12" s="22" t="s">
        <v>31</v>
      </c>
      <c r="C12" s="79" t="s">
        <v>32</v>
      </c>
      <c r="D12" s="11">
        <v>463242415.54000002</v>
      </c>
      <c r="E12" s="11">
        <v>7632972.0499999998</v>
      </c>
      <c r="F12" s="11">
        <v>66117901.789999999</v>
      </c>
      <c r="G12" s="11">
        <v>1530055.83</v>
      </c>
      <c r="H12" s="13">
        <f t="shared" si="12"/>
        <v>72220818.010000005</v>
      </c>
      <c r="I12" s="34">
        <v>421036391.33999997</v>
      </c>
      <c r="J12" s="14">
        <f t="shared" si="0"/>
        <v>1.2679615549062018E-2</v>
      </c>
      <c r="K12" s="34">
        <v>448676262.56</v>
      </c>
      <c r="L12" s="14">
        <f t="shared" si="6"/>
        <v>1.2451656861829195E-2</v>
      </c>
      <c r="M12" s="14">
        <f t="shared" si="7"/>
        <v>6.5647226198269334E-2</v>
      </c>
      <c r="N12" s="24">
        <f t="shared" si="8"/>
        <v>3.410155512284073E-3</v>
      </c>
      <c r="O12" s="25">
        <f t="shared" si="9"/>
        <v>0.16096420523326024</v>
      </c>
      <c r="P12" s="26">
        <f t="shared" si="10"/>
        <v>224.92665186460374</v>
      </c>
      <c r="Q12" s="26">
        <f t="shared" si="11"/>
        <v>36.205139753164154</v>
      </c>
      <c r="R12" s="11">
        <v>224.93</v>
      </c>
      <c r="S12" s="11">
        <v>234.75</v>
      </c>
      <c r="T12" s="11">
        <v>2468</v>
      </c>
      <c r="U12" s="11">
        <v>1993379</v>
      </c>
      <c r="V12" s="11">
        <v>1994767</v>
      </c>
    </row>
    <row r="13" spans="1:23">
      <c r="A13" s="90">
        <v>9</v>
      </c>
      <c r="B13" s="22" t="s">
        <v>33</v>
      </c>
      <c r="C13" s="22" t="s">
        <v>34</v>
      </c>
      <c r="D13" s="11">
        <v>66319248.920000002</v>
      </c>
      <c r="E13" s="11">
        <v>2615664.5499999998</v>
      </c>
      <c r="F13" s="11">
        <v>11500846.390000001</v>
      </c>
      <c r="G13" s="11">
        <v>1523342.28</v>
      </c>
      <c r="H13" s="13">
        <f t="shared" si="12"/>
        <v>12593168.660000002</v>
      </c>
      <c r="I13" s="34">
        <v>62044127.740000002</v>
      </c>
      <c r="J13" s="14">
        <f t="shared" si="0"/>
        <v>1.8684743243127715E-3</v>
      </c>
      <c r="K13" s="34">
        <v>65522955.509999998</v>
      </c>
      <c r="L13" s="14">
        <f t="shared" si="6"/>
        <v>1.8183920716650728E-3</v>
      </c>
      <c r="M13" s="14">
        <f t="shared" si="7"/>
        <v>5.6070218032208505E-2</v>
      </c>
      <c r="N13" s="24">
        <f t="shared" si="8"/>
        <v>2.324898607126338E-2</v>
      </c>
      <c r="O13" s="25">
        <f t="shared" si="9"/>
        <v>0.19219475925621296</v>
      </c>
      <c r="P13" s="26">
        <f t="shared" si="10"/>
        <v>236.58425409995883</v>
      </c>
      <c r="Q13" s="26">
        <f t="shared" si="11"/>
        <v>45.470253760552303</v>
      </c>
      <c r="R13" s="11">
        <v>232.55</v>
      </c>
      <c r="S13" s="11">
        <v>240.02</v>
      </c>
      <c r="T13" s="11">
        <v>16</v>
      </c>
      <c r="U13" s="11">
        <v>276104.36</v>
      </c>
      <c r="V13" s="11">
        <v>276954</v>
      </c>
      <c r="W13" s="6"/>
    </row>
    <row r="14" spans="1:23">
      <c r="A14" s="90">
        <v>10</v>
      </c>
      <c r="B14" s="79" t="s">
        <v>35</v>
      </c>
      <c r="C14" s="79" t="s">
        <v>36</v>
      </c>
      <c r="D14" s="11">
        <v>680405581.21000004</v>
      </c>
      <c r="E14" s="11">
        <v>2558902.34</v>
      </c>
      <c r="F14" s="11">
        <v>75437425.200000003</v>
      </c>
      <c r="G14" s="11">
        <v>1293296.33</v>
      </c>
      <c r="H14" s="13">
        <f t="shared" si="12"/>
        <v>76703031.210000008</v>
      </c>
      <c r="I14" s="34">
        <v>609615381.78999996</v>
      </c>
      <c r="J14" s="14">
        <f t="shared" si="0"/>
        <v>1.8358718706692263E-2</v>
      </c>
      <c r="K14" s="34">
        <v>673328137.37</v>
      </c>
      <c r="L14" s="14">
        <f t="shared" si="6"/>
        <v>1.868619229844962E-2</v>
      </c>
      <c r="M14" s="14">
        <f t="shared" si="7"/>
        <v>0.10451303802886618</v>
      </c>
      <c r="N14" s="24">
        <f t="shared" si="8"/>
        <v>1.9207519457772517E-3</v>
      </c>
      <c r="O14" s="25">
        <f t="shared" si="9"/>
        <v>0.1139162719526319</v>
      </c>
      <c r="P14" s="26">
        <f t="shared" si="10"/>
        <v>2.3245169283909171</v>
      </c>
      <c r="Q14" s="26">
        <f t="shared" si="11"/>
        <v>0.2648003025730763</v>
      </c>
      <c r="R14" s="11">
        <v>2.3199999999999998</v>
      </c>
      <c r="S14" s="11">
        <v>2.36</v>
      </c>
      <c r="T14" s="11">
        <v>474</v>
      </c>
      <c r="U14" s="11">
        <v>291034142.10000002</v>
      </c>
      <c r="V14" s="11">
        <f>(U14+1370457.94)-2740915.88</f>
        <v>289663684.16000003</v>
      </c>
    </row>
    <row r="15" spans="1:23">
      <c r="A15" s="90">
        <v>11</v>
      </c>
      <c r="B15" s="71" t="s">
        <v>256</v>
      </c>
      <c r="C15" s="73" t="s">
        <v>257</v>
      </c>
      <c r="D15" s="11">
        <v>18160379.5</v>
      </c>
      <c r="E15" s="11">
        <v>1691049.84</v>
      </c>
      <c r="F15" s="11">
        <v>316737.07</v>
      </c>
      <c r="G15" s="11">
        <v>158240.26</v>
      </c>
      <c r="H15" s="13">
        <f t="shared" si="12"/>
        <v>1849546.6500000001</v>
      </c>
      <c r="I15" s="34">
        <v>15616343.73</v>
      </c>
      <c r="J15" s="14">
        <f t="shared" si="0"/>
        <v>4.7029007195367712E-4</v>
      </c>
      <c r="K15" s="34">
        <v>17245241.129999999</v>
      </c>
      <c r="L15" s="14">
        <f t="shared" si="6"/>
        <v>4.7858967137034167E-4</v>
      </c>
      <c r="M15" s="14">
        <f t="shared" si="7"/>
        <v>0.10430721993335622</v>
      </c>
      <c r="N15" s="24">
        <f t="shared" si="8"/>
        <v>9.175879815604528E-3</v>
      </c>
      <c r="O15" s="25">
        <f t="shared" si="9"/>
        <v>0.10724968332176636</v>
      </c>
      <c r="P15" s="26">
        <f t="shared" si="10"/>
        <v>14.886684204710841</v>
      </c>
      <c r="Q15" s="26">
        <f t="shared" si="11"/>
        <v>1.5965921666663792</v>
      </c>
      <c r="R15" s="11">
        <v>14.229699999999999</v>
      </c>
      <c r="S15" s="11">
        <v>15.046900000000001</v>
      </c>
      <c r="T15" s="11">
        <v>29</v>
      </c>
      <c r="U15" s="11">
        <v>1158434</v>
      </c>
      <c r="V15" s="11">
        <v>1158434</v>
      </c>
    </row>
    <row r="16" spans="1:23">
      <c r="A16" s="90">
        <v>12</v>
      </c>
      <c r="B16" s="22" t="s">
        <v>37</v>
      </c>
      <c r="C16" s="79" t="s">
        <v>38</v>
      </c>
      <c r="D16" s="11">
        <v>1843893388.02</v>
      </c>
      <c r="E16" s="11">
        <v>5928215.1600000001</v>
      </c>
      <c r="F16" s="11">
        <v>0</v>
      </c>
      <c r="G16" s="11">
        <v>3348811.84</v>
      </c>
      <c r="H16" s="13">
        <f t="shared" si="12"/>
        <v>2579403.3200000003</v>
      </c>
      <c r="I16" s="34">
        <v>1788190206.73</v>
      </c>
      <c r="J16" s="14">
        <f t="shared" si="0"/>
        <v>5.38517924252883E-2</v>
      </c>
      <c r="K16" s="34">
        <v>1835549940.9000001</v>
      </c>
      <c r="L16" s="14">
        <f t="shared" si="6"/>
        <v>5.0940154235998278E-2</v>
      </c>
      <c r="M16" s="14">
        <f t="shared" si="7"/>
        <v>2.6484729639921885E-2</v>
      </c>
      <c r="N16" s="24">
        <f t="shared" si="8"/>
        <v>1.8244188106143397E-3</v>
      </c>
      <c r="O16" s="25">
        <f t="shared" si="9"/>
        <v>1.4052482378851957E-3</v>
      </c>
      <c r="P16" s="26">
        <f t="shared" si="10"/>
        <v>3.78743753242615</v>
      </c>
      <c r="Q16" s="26">
        <f t="shared" si="11"/>
        <v>5.3222899185421009E-3</v>
      </c>
      <c r="R16" s="11">
        <v>3.73</v>
      </c>
      <c r="S16" s="11">
        <v>3.82</v>
      </c>
      <c r="T16" s="11">
        <v>3658</v>
      </c>
      <c r="U16" s="11">
        <v>484679978</v>
      </c>
      <c r="V16" s="11">
        <v>484641641</v>
      </c>
    </row>
    <row r="17" spans="1:23">
      <c r="A17" s="90">
        <v>13</v>
      </c>
      <c r="B17" s="22" t="s">
        <v>39</v>
      </c>
      <c r="C17" s="22" t="s">
        <v>40</v>
      </c>
      <c r="D17" s="11">
        <v>895812519.92999995</v>
      </c>
      <c r="E17" s="11">
        <v>3234633.12</v>
      </c>
      <c r="F17" s="11">
        <v>50562736.549999997</v>
      </c>
      <c r="G17" s="11">
        <v>1254669.81</v>
      </c>
      <c r="H17" s="13">
        <f t="shared" si="12"/>
        <v>52542699.859999992</v>
      </c>
      <c r="I17" s="34">
        <v>771234696.42999995</v>
      </c>
      <c r="J17" s="14">
        <f t="shared" si="0"/>
        <v>2.3225924528060896E-2</v>
      </c>
      <c r="K17" s="34">
        <v>942968890.19000006</v>
      </c>
      <c r="L17" s="14">
        <f t="shared" si="6"/>
        <v>2.6169258398098603E-2</v>
      </c>
      <c r="M17" s="14">
        <f t="shared" si="7"/>
        <v>0.22267436171498456</v>
      </c>
      <c r="N17" s="24">
        <f t="shared" si="8"/>
        <v>1.3305527075736241E-3</v>
      </c>
      <c r="O17" s="25">
        <f t="shared" si="9"/>
        <v>5.5720501923889658E-2</v>
      </c>
      <c r="P17" s="26">
        <f t="shared" si="10"/>
        <v>25.692241900288543</v>
      </c>
      <c r="Q17" s="26">
        <f t="shared" si="11"/>
        <v>1.4315846142340662</v>
      </c>
      <c r="R17" s="11">
        <v>25.86</v>
      </c>
      <c r="S17" s="11">
        <v>25.93</v>
      </c>
      <c r="T17" s="11">
        <v>440</v>
      </c>
      <c r="U17" s="11">
        <v>31773773.120000001</v>
      </c>
      <c r="V17" s="11">
        <v>36702475.939999998</v>
      </c>
    </row>
    <row r="18" spans="1:23">
      <c r="A18" s="90">
        <v>14</v>
      </c>
      <c r="B18" s="83" t="s">
        <v>41</v>
      </c>
      <c r="C18" s="83" t="s">
        <v>42</v>
      </c>
      <c r="D18" s="11">
        <v>127293923.13</v>
      </c>
      <c r="E18" s="11">
        <v>3154349.38</v>
      </c>
      <c r="F18" s="11">
        <v>51924673.530000001</v>
      </c>
      <c r="G18" s="11">
        <v>254030.36</v>
      </c>
      <c r="H18" s="13">
        <f t="shared" si="12"/>
        <v>54824992.550000004</v>
      </c>
      <c r="I18" s="34">
        <v>126915014.20999999</v>
      </c>
      <c r="J18" s="14">
        <f t="shared" si="0"/>
        <v>3.8220771902042943E-3</v>
      </c>
      <c r="K18" s="34">
        <v>134323251.96000001</v>
      </c>
      <c r="L18" s="14">
        <f t="shared" si="6"/>
        <v>3.727736859596582E-3</v>
      </c>
      <c r="M18" s="14">
        <f t="shared" si="7"/>
        <v>5.8371641811755783E-2</v>
      </c>
      <c r="N18" s="24">
        <f t="shared" si="8"/>
        <v>1.8911867922587777E-3</v>
      </c>
      <c r="O18" s="25">
        <f t="shared" si="9"/>
        <v>0.40815712655859676</v>
      </c>
      <c r="P18" s="26">
        <f t="shared" si="10"/>
        <v>1.4511205651727821</v>
      </c>
      <c r="Q18" s="26">
        <f t="shared" si="11"/>
        <v>0.59228520017100972</v>
      </c>
      <c r="R18" s="11">
        <v>1.35</v>
      </c>
      <c r="S18" s="11">
        <v>1.41</v>
      </c>
      <c r="T18" s="11">
        <v>22</v>
      </c>
      <c r="U18" s="11">
        <v>92565190.780000001</v>
      </c>
      <c r="V18" s="11">
        <v>92565190.780000001</v>
      </c>
    </row>
    <row r="19" spans="1:23">
      <c r="A19" s="90">
        <v>15</v>
      </c>
      <c r="B19" s="22" t="s">
        <v>43</v>
      </c>
      <c r="C19" s="22" t="s">
        <v>44</v>
      </c>
      <c r="D19" s="11">
        <v>2506627370.1799998</v>
      </c>
      <c r="E19" s="11">
        <v>2390481.9</v>
      </c>
      <c r="F19" s="11">
        <v>159415706.25</v>
      </c>
      <c r="G19" s="11">
        <v>4347739.6100000003</v>
      </c>
      <c r="H19" s="13">
        <f t="shared" si="12"/>
        <v>157458448.53999999</v>
      </c>
      <c r="I19" s="34">
        <v>1773759024.6199999</v>
      </c>
      <c r="J19" s="14">
        <f t="shared" si="0"/>
        <v>5.3417193790023208E-2</v>
      </c>
      <c r="K19" s="34">
        <v>2499099584.5900002</v>
      </c>
      <c r="L19" s="14">
        <f t="shared" si="6"/>
        <v>6.9354973925533372E-2</v>
      </c>
      <c r="M19" s="14">
        <f t="shared" si="7"/>
        <v>0.40892846767919511</v>
      </c>
      <c r="N19" s="24">
        <f t="shared" si="8"/>
        <v>1.7397224331551742E-3</v>
      </c>
      <c r="O19" s="25">
        <f t="shared" si="9"/>
        <v>6.3006072071286612E-2</v>
      </c>
      <c r="P19" s="26">
        <f t="shared" si="10"/>
        <v>33.607771310448463</v>
      </c>
      <c r="Q19" s="26">
        <f t="shared" si="11"/>
        <v>2.1174936613414346</v>
      </c>
      <c r="R19" s="11">
        <v>33.6</v>
      </c>
      <c r="S19" s="11">
        <v>33.700000000000003</v>
      </c>
      <c r="T19" s="11">
        <v>9782</v>
      </c>
      <c r="U19" s="11">
        <v>74217150</v>
      </c>
      <c r="V19" s="11">
        <v>74360765</v>
      </c>
    </row>
    <row r="20" spans="1:23">
      <c r="A20" s="90">
        <v>16</v>
      </c>
      <c r="B20" s="79" t="s">
        <v>45</v>
      </c>
      <c r="C20" s="22" t="s">
        <v>46</v>
      </c>
      <c r="D20" s="11">
        <v>824700131.79999995</v>
      </c>
      <c r="E20" s="11">
        <v>5844662.9100000001</v>
      </c>
      <c r="F20" s="11">
        <v>52933028.700000003</v>
      </c>
      <c r="G20" s="11">
        <v>4087717.87</v>
      </c>
      <c r="H20" s="13">
        <f t="shared" si="12"/>
        <v>54689973.740000002</v>
      </c>
      <c r="I20" s="34">
        <v>759390839.67999995</v>
      </c>
      <c r="J20" s="14">
        <f t="shared" si="0"/>
        <v>2.2869243838939915E-2</v>
      </c>
      <c r="K20" s="34">
        <v>820840366.91999996</v>
      </c>
      <c r="L20" s="14">
        <f t="shared" si="6"/>
        <v>2.2779949464919628E-2</v>
      </c>
      <c r="M20" s="14">
        <f t="shared" si="7"/>
        <v>8.0919500248244042E-2</v>
      </c>
      <c r="N20" s="24">
        <f t="shared" si="8"/>
        <v>4.9799181847478436E-3</v>
      </c>
      <c r="O20" s="25">
        <f t="shared" si="9"/>
        <v>6.6626808261404796E-2</v>
      </c>
      <c r="P20" s="26">
        <f t="shared" si="10"/>
        <v>8666.0344149648135</v>
      </c>
      <c r="Q20" s="26">
        <f t="shared" si="11"/>
        <v>577.39021335259588</v>
      </c>
      <c r="R20" s="11">
        <v>8598.98</v>
      </c>
      <c r="S20" s="11">
        <v>8711.99</v>
      </c>
      <c r="T20" s="11">
        <v>19</v>
      </c>
      <c r="U20" s="11">
        <v>94112.06</v>
      </c>
      <c r="V20" s="11">
        <v>94719.26</v>
      </c>
    </row>
    <row r="21" spans="1:23">
      <c r="A21" s="90">
        <v>17</v>
      </c>
      <c r="B21" s="22" t="s">
        <v>47</v>
      </c>
      <c r="C21" s="22" t="s">
        <v>46</v>
      </c>
      <c r="D21" s="11">
        <v>13615125462.82</v>
      </c>
      <c r="E21" s="11">
        <v>128358030.73</v>
      </c>
      <c r="F21" s="11">
        <v>759679614.65999997</v>
      </c>
      <c r="G21" s="11">
        <v>89001932.959999993</v>
      </c>
      <c r="H21" s="13">
        <f t="shared" si="12"/>
        <v>799035712.42999995</v>
      </c>
      <c r="I21" s="34">
        <v>13015430951.040001</v>
      </c>
      <c r="J21" s="14">
        <f t="shared" si="0"/>
        <v>0.39196293731123694</v>
      </c>
      <c r="K21" s="34">
        <v>13876689085.84</v>
      </c>
      <c r="L21" s="14">
        <f t="shared" si="6"/>
        <v>0.38510566591889533</v>
      </c>
      <c r="M21" s="14">
        <f t="shared" si="7"/>
        <v>6.6172079744403714E-2</v>
      </c>
      <c r="N21" s="24">
        <f t="shared" si="8"/>
        <v>6.4137729403203978E-3</v>
      </c>
      <c r="O21" s="25">
        <f t="shared" si="9"/>
        <v>5.7581149760381173E-2</v>
      </c>
      <c r="P21" s="26">
        <f t="shared" si="10"/>
        <v>27144.960792659222</v>
      </c>
      <c r="Q21" s="26">
        <f t="shared" si="11"/>
        <v>1563.0380526417857</v>
      </c>
      <c r="R21" s="11">
        <v>26913.33</v>
      </c>
      <c r="S21" s="11">
        <v>27303.72</v>
      </c>
      <c r="T21" s="11">
        <v>17508</v>
      </c>
      <c r="U21" s="11">
        <v>509377.2</v>
      </c>
      <c r="V21" s="11">
        <v>511206.82</v>
      </c>
    </row>
    <row r="22" spans="1:23">
      <c r="A22" s="90">
        <v>18</v>
      </c>
      <c r="B22" s="22" t="s">
        <v>49</v>
      </c>
      <c r="C22" s="22" t="s">
        <v>50</v>
      </c>
      <c r="D22" s="11">
        <v>3166444871.9397259</v>
      </c>
      <c r="E22" s="11">
        <v>21476572</v>
      </c>
      <c r="F22" s="11">
        <v>184675592.77000022</v>
      </c>
      <c r="G22" s="11">
        <v>6396999.4900000002</v>
      </c>
      <c r="H22" s="13">
        <f t="shared" si="12"/>
        <v>199755165.28000021</v>
      </c>
      <c r="I22" s="34">
        <v>3768985539</v>
      </c>
      <c r="J22" s="14">
        <f t="shared" si="0"/>
        <v>0.11350393606690153</v>
      </c>
      <c r="K22" s="34">
        <v>4013163593.2036982</v>
      </c>
      <c r="L22" s="14">
        <f t="shared" si="6"/>
        <v>0.11137325542439531</v>
      </c>
      <c r="M22" s="14">
        <f t="shared" si="7"/>
        <v>6.4786147804770905E-2</v>
      </c>
      <c r="N22" s="24">
        <f t="shared" si="8"/>
        <v>1.594004166895497E-3</v>
      </c>
      <c r="O22" s="25">
        <f t="shared" si="9"/>
        <v>4.97749869001817E-2</v>
      </c>
      <c r="P22" s="26">
        <f t="shared" si="10"/>
        <v>1.5819307009719761</v>
      </c>
      <c r="Q22" s="26">
        <f t="shared" si="11"/>
        <v>7.8740579917875364E-2</v>
      </c>
      <c r="R22" s="11">
        <v>1.57</v>
      </c>
      <c r="S22" s="11">
        <v>1.58</v>
      </c>
      <c r="T22" s="11">
        <v>2990</v>
      </c>
      <c r="U22" s="11">
        <v>2526768203.8299999</v>
      </c>
      <c r="V22" s="11">
        <v>2536876988.8199997</v>
      </c>
    </row>
    <row r="23" spans="1:23">
      <c r="A23" s="90">
        <v>19</v>
      </c>
      <c r="B23" s="73" t="s">
        <v>258</v>
      </c>
      <c r="C23" s="73" t="s">
        <v>259</v>
      </c>
      <c r="D23" s="11">
        <v>1645483390.8</v>
      </c>
      <c r="E23" s="11">
        <v>1424165.58</v>
      </c>
      <c r="F23" s="11">
        <v>122473694.62</v>
      </c>
      <c r="G23" s="11">
        <v>5240821.68</v>
      </c>
      <c r="H23" s="13">
        <f t="shared" si="12"/>
        <v>118657038.52000001</v>
      </c>
      <c r="I23" s="34">
        <v>1380254945.74</v>
      </c>
      <c r="J23" s="14">
        <f t="shared" si="0"/>
        <v>4.156672067223275E-2</v>
      </c>
      <c r="K23" s="34">
        <v>1735682550.21</v>
      </c>
      <c r="L23" s="14">
        <f t="shared" si="6"/>
        <v>4.8168635917950807E-2</v>
      </c>
      <c r="M23" s="14">
        <f t="shared" si="7"/>
        <v>0.25750866212578111</v>
      </c>
      <c r="N23" s="24">
        <f t="shared" si="8"/>
        <v>3.0194586443044631E-3</v>
      </c>
      <c r="O23" s="25">
        <f t="shared" si="9"/>
        <v>6.8363329749235369E-2</v>
      </c>
      <c r="P23" s="26">
        <f t="shared" si="10"/>
        <v>130.11698803619353</v>
      </c>
      <c r="Q23" s="26">
        <f t="shared" si="11"/>
        <v>8.8952305590956122</v>
      </c>
      <c r="R23" s="11">
        <v>127.53</v>
      </c>
      <c r="S23" s="11">
        <v>1321.78</v>
      </c>
      <c r="T23" s="11">
        <v>32</v>
      </c>
      <c r="U23" s="11">
        <v>10614139</v>
      </c>
      <c r="V23" s="11">
        <v>13339400</v>
      </c>
    </row>
    <row r="24" spans="1:23">
      <c r="A24" s="117" t="s">
        <v>51</v>
      </c>
      <c r="B24" s="117"/>
      <c r="C24" s="117"/>
      <c r="D24" s="117"/>
      <c r="E24" s="117"/>
      <c r="F24" s="117"/>
      <c r="G24" s="117"/>
      <c r="H24" s="117"/>
      <c r="I24" s="40">
        <f>SUM(I5:I23)</f>
        <v>33205769505.459999</v>
      </c>
      <c r="J24" s="41">
        <f>(I24/$I$203)</f>
        <v>8.6636618215330044E-3</v>
      </c>
      <c r="K24" s="68">
        <f>SUM(K5:K23)</f>
        <v>36033458642.3937</v>
      </c>
      <c r="L24" s="41">
        <f>(K24/$K$203)</f>
        <v>8.825703138019881E-3</v>
      </c>
      <c r="M24" s="41">
        <f t="shared" si="1"/>
        <v>8.5156561014758173E-2</v>
      </c>
      <c r="N24" s="24"/>
      <c r="O24" s="24"/>
      <c r="P24" s="42"/>
      <c r="Q24" s="42"/>
      <c r="R24" s="43"/>
      <c r="S24" s="43"/>
      <c r="T24" s="43">
        <f>SUM(T5:T23)</f>
        <v>50285</v>
      </c>
      <c r="U24" s="43"/>
      <c r="V24" s="43"/>
    </row>
    <row r="25" spans="1:23" ht="6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5"/>
    </row>
    <row r="26" spans="1:23">
      <c r="A26" s="120" t="s">
        <v>52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spans="1:23" ht="12.9" customHeight="1">
      <c r="A27" s="90">
        <v>20</v>
      </c>
      <c r="B27" s="22" t="s">
        <v>53</v>
      </c>
      <c r="C27" s="22" t="s">
        <v>22</v>
      </c>
      <c r="D27" s="21">
        <v>2132026529.3800001</v>
      </c>
      <c r="E27" s="21">
        <v>38523940.840000004</v>
      </c>
      <c r="F27" s="21">
        <v>0</v>
      </c>
      <c r="G27" s="21">
        <v>3882986.68</v>
      </c>
      <c r="H27" s="13">
        <f>(E27+F27)-G27</f>
        <v>34640954.160000004</v>
      </c>
      <c r="I27" s="54">
        <v>1755372237.1700001</v>
      </c>
      <c r="J27" s="14">
        <f t="shared" ref="J27:J61" si="13">(I27/$I$62)</f>
        <v>1.0332987706318209E-3</v>
      </c>
      <c r="K27" s="54">
        <v>2098871559.4000001</v>
      </c>
      <c r="L27" s="14">
        <f t="shared" ref="L27" si="14">(K27/$K$62)</f>
        <v>1.0962577028289357E-3</v>
      </c>
      <c r="M27" s="14">
        <f t="shared" ref="M27:M62" si="15">((K27-I27)/I27)</f>
        <v>0.19568460464191198</v>
      </c>
      <c r="N27" s="24">
        <f t="shared" ref="N27" si="16">(G27/K27)</f>
        <v>1.8500353976448284E-3</v>
      </c>
      <c r="O27" s="25">
        <f t="shared" ref="O27" si="17">H27/K27</f>
        <v>1.650456122713042E-2</v>
      </c>
      <c r="P27" s="28">
        <f t="shared" ref="P27" si="18">K27/V27</f>
        <v>100.63494319459501</v>
      </c>
      <c r="Q27" s="28">
        <f t="shared" ref="Q27" si="19">H27/V27</f>
        <v>1.6609355815439852</v>
      </c>
      <c r="R27" s="11">
        <v>100</v>
      </c>
      <c r="S27" s="11">
        <v>100</v>
      </c>
      <c r="T27" s="11">
        <v>808</v>
      </c>
      <c r="U27" s="21">
        <v>17423890</v>
      </c>
      <c r="V27" s="21">
        <v>20856290</v>
      </c>
    </row>
    <row r="28" spans="1:23" ht="15" customHeight="1">
      <c r="A28" s="90">
        <v>21</v>
      </c>
      <c r="B28" s="22" t="s">
        <v>54</v>
      </c>
      <c r="C28" s="22" t="s">
        <v>55</v>
      </c>
      <c r="D28" s="21">
        <v>13123856497.35</v>
      </c>
      <c r="E28" s="21">
        <v>253332674.47</v>
      </c>
      <c r="F28" s="21">
        <v>0</v>
      </c>
      <c r="G28" s="21">
        <v>20412790.050000001</v>
      </c>
      <c r="H28" s="13">
        <f t="shared" ref="H28:H61" si="20">(E28+F28)-G28</f>
        <v>232919884.41999999</v>
      </c>
      <c r="I28" s="54">
        <v>10991210517.16</v>
      </c>
      <c r="J28" s="14">
        <f t="shared" si="13"/>
        <v>6.4699692034818667E-3</v>
      </c>
      <c r="K28" s="54">
        <v>13164558897.07</v>
      </c>
      <c r="L28" s="14">
        <f t="shared" ref="L28:L61" si="21">(K28/$K$62)</f>
        <v>6.8759562873793763E-3</v>
      </c>
      <c r="M28" s="14">
        <f t="shared" ref="M28:M61" si="22">((K28-I28)/I28)</f>
        <v>0.19773512449032479</v>
      </c>
      <c r="N28" s="24">
        <f t="shared" ref="N28:N61" si="23">(G28/K28)</f>
        <v>1.5505867085712397E-3</v>
      </c>
      <c r="O28" s="25">
        <f t="shared" ref="O28:O61" si="24">H28/K28</f>
        <v>1.7692950158158381E-2</v>
      </c>
      <c r="P28" s="28">
        <f t="shared" ref="P28:P61" si="25">K28/V28</f>
        <v>101.98218319596147</v>
      </c>
      <c r="Q28" s="28">
        <f t="shared" ref="Q28:Q61" si="26">H28/V28</f>
        <v>1.8043656843063236</v>
      </c>
      <c r="R28" s="11">
        <v>100</v>
      </c>
      <c r="S28" s="11">
        <v>100</v>
      </c>
      <c r="T28" s="11">
        <v>2158</v>
      </c>
      <c r="U28" s="21">
        <v>104575878.14</v>
      </c>
      <c r="V28" s="21">
        <v>129086851.09999999</v>
      </c>
    </row>
    <row r="29" spans="1:23">
      <c r="A29" s="90">
        <v>22</v>
      </c>
      <c r="B29" s="22" t="s">
        <v>56</v>
      </c>
      <c r="C29" s="22" t="s">
        <v>24</v>
      </c>
      <c r="D29" s="21">
        <v>1356914287.71</v>
      </c>
      <c r="E29" s="21">
        <v>25132195.600000001</v>
      </c>
      <c r="F29" s="21">
        <v>0</v>
      </c>
      <c r="G29" s="21">
        <v>1699111.69</v>
      </c>
      <c r="H29" s="13">
        <f t="shared" si="20"/>
        <v>23433083.91</v>
      </c>
      <c r="I29" s="54">
        <v>1144210152.4200001</v>
      </c>
      <c r="J29" s="14">
        <f t="shared" si="13"/>
        <v>6.7353859130536817E-4</v>
      </c>
      <c r="K29" s="54">
        <v>1359548784.1500001</v>
      </c>
      <c r="L29" s="14">
        <f t="shared" si="21"/>
        <v>7.1010339833382362E-4</v>
      </c>
      <c r="M29" s="14">
        <f t="shared" si="22"/>
        <v>0.18819849769254332</v>
      </c>
      <c r="N29" s="24">
        <f t="shared" si="23"/>
        <v>1.2497614721948334E-3</v>
      </c>
      <c r="O29" s="25">
        <f t="shared" si="24"/>
        <v>1.7235927230555788E-2</v>
      </c>
      <c r="P29" s="28">
        <f t="shared" si="25"/>
        <v>207.54078230013567</v>
      </c>
      <c r="Q29" s="28">
        <f t="shared" si="26"/>
        <v>3.5771578210977593</v>
      </c>
      <c r="R29" s="11">
        <v>100</v>
      </c>
      <c r="S29" s="11">
        <v>100</v>
      </c>
      <c r="T29" s="11">
        <v>1434</v>
      </c>
      <c r="U29" s="21">
        <v>4154392</v>
      </c>
      <c r="V29" s="21">
        <v>6550754.8399999999</v>
      </c>
    </row>
    <row r="30" spans="1:23">
      <c r="A30" s="90">
        <v>23</v>
      </c>
      <c r="B30" s="22" t="s">
        <v>57</v>
      </c>
      <c r="C30" s="79" t="s">
        <v>58</v>
      </c>
      <c r="D30" s="21">
        <v>62035739063.389999</v>
      </c>
      <c r="E30" s="21">
        <v>2466867596.3299999</v>
      </c>
      <c r="F30" s="21">
        <v>0</v>
      </c>
      <c r="G30" s="21">
        <v>250952384.12</v>
      </c>
      <c r="H30" s="13">
        <f t="shared" si="20"/>
        <v>2215915212.21</v>
      </c>
      <c r="I30" s="54">
        <v>119345195888</v>
      </c>
      <c r="J30" s="14">
        <f t="shared" si="13"/>
        <v>7.0252474991115699E-2</v>
      </c>
      <c r="K30" s="54">
        <v>139613829228</v>
      </c>
      <c r="L30" s="14">
        <f t="shared" si="21"/>
        <v>7.2921439631299531E-2</v>
      </c>
      <c r="M30" s="14">
        <f t="shared" si="22"/>
        <v>0.16983200026770398</v>
      </c>
      <c r="N30" s="24">
        <f t="shared" si="23"/>
        <v>1.7974751176702967E-3</v>
      </c>
      <c r="O30" s="25">
        <f t="shared" si="24"/>
        <v>1.5871745832508052E-2</v>
      </c>
      <c r="P30" s="28">
        <f t="shared" si="25"/>
        <v>1</v>
      </c>
      <c r="Q30" s="28">
        <f t="shared" si="26"/>
        <v>1.5871745832508052E-2</v>
      </c>
      <c r="R30" s="11">
        <v>1</v>
      </c>
      <c r="S30" s="11">
        <v>1</v>
      </c>
      <c r="T30" s="11">
        <v>65275</v>
      </c>
      <c r="U30" s="21">
        <v>118537022375</v>
      </c>
      <c r="V30" s="21">
        <v>139613829228</v>
      </c>
    </row>
    <row r="31" spans="1:23" ht="15" customHeight="1">
      <c r="A31" s="90">
        <v>24</v>
      </c>
      <c r="B31" s="22" t="s">
        <v>59</v>
      </c>
      <c r="C31" s="22" t="s">
        <v>28</v>
      </c>
      <c r="D31" s="21">
        <v>46217993677.080002</v>
      </c>
      <c r="E31" s="21">
        <v>1622406730.5699999</v>
      </c>
      <c r="F31" s="21">
        <v>0</v>
      </c>
      <c r="G31" s="21">
        <v>120927860.93000001</v>
      </c>
      <c r="H31" s="13">
        <f t="shared" si="20"/>
        <v>1501478869.6399999</v>
      </c>
      <c r="I31" s="54">
        <v>81684601982.179993</v>
      </c>
      <c r="J31" s="14">
        <f t="shared" si="13"/>
        <v>4.8083589919259942E-2</v>
      </c>
      <c r="K31" s="54">
        <v>91708183237.25</v>
      </c>
      <c r="L31" s="14">
        <f t="shared" si="21"/>
        <v>4.7899930720402328E-2</v>
      </c>
      <c r="M31" s="14">
        <f t="shared" si="22"/>
        <v>0.12271078038987954</v>
      </c>
      <c r="N31" s="24">
        <f t="shared" si="23"/>
        <v>1.3186158166186587E-3</v>
      </c>
      <c r="O31" s="25">
        <f t="shared" si="24"/>
        <v>1.6372354316033705E-2</v>
      </c>
      <c r="P31" s="28">
        <f t="shared" si="25"/>
        <v>1.0163383106758219</v>
      </c>
      <c r="Q31" s="28">
        <f t="shared" si="26"/>
        <v>1.6639850927343696E-2</v>
      </c>
      <c r="R31" s="11">
        <v>1</v>
      </c>
      <c r="S31" s="11">
        <v>1</v>
      </c>
      <c r="T31" s="11">
        <v>31944</v>
      </c>
      <c r="U31" s="21">
        <v>77986845399.240005</v>
      </c>
      <c r="V31" s="21">
        <v>90233913524.589996</v>
      </c>
    </row>
    <row r="32" spans="1:23">
      <c r="A32" s="90">
        <v>25</v>
      </c>
      <c r="B32" s="79" t="s">
        <v>265</v>
      </c>
      <c r="C32" s="79" t="s">
        <v>44</v>
      </c>
      <c r="D32" s="21">
        <v>14739148787.83</v>
      </c>
      <c r="E32" s="21">
        <v>269949796.88</v>
      </c>
      <c r="F32" s="21">
        <v>0</v>
      </c>
      <c r="G32" s="21">
        <v>23529288.609999999</v>
      </c>
      <c r="H32" s="13">
        <f t="shared" si="20"/>
        <v>246420508.26999998</v>
      </c>
      <c r="I32" s="54">
        <v>12587116857.389999</v>
      </c>
      <c r="J32" s="14">
        <f t="shared" si="13"/>
        <v>7.4093984735162221E-3</v>
      </c>
      <c r="K32" s="54">
        <v>14470745589.870001</v>
      </c>
      <c r="L32" s="14">
        <f t="shared" si="21"/>
        <v>7.5581882309690984E-3</v>
      </c>
      <c r="M32" s="14">
        <f t="shared" si="22"/>
        <v>0.14964735402246684</v>
      </c>
      <c r="N32" s="24">
        <f t="shared" si="23"/>
        <v>1.6259900682982968E-3</v>
      </c>
      <c r="O32" s="25">
        <f t="shared" si="24"/>
        <v>1.7028874340967094E-2</v>
      </c>
      <c r="P32" s="28">
        <f t="shared" si="25"/>
        <v>100.00000000601214</v>
      </c>
      <c r="Q32" s="28">
        <f t="shared" si="26"/>
        <v>1.7028874341990894</v>
      </c>
      <c r="R32" s="11">
        <v>100</v>
      </c>
      <c r="S32" s="11">
        <v>100</v>
      </c>
      <c r="T32" s="11">
        <v>2276</v>
      </c>
      <c r="U32" s="21">
        <v>125871168.56999999</v>
      </c>
      <c r="V32" s="21">
        <v>144707455.88999999</v>
      </c>
    </row>
    <row r="33" spans="1:22">
      <c r="A33" s="90">
        <v>26</v>
      </c>
      <c r="B33" s="80" t="s">
        <v>218</v>
      </c>
      <c r="C33" s="80" t="s">
        <v>219</v>
      </c>
      <c r="D33" s="21">
        <v>356897762.66000003</v>
      </c>
      <c r="E33" s="21">
        <v>21751658.390000001</v>
      </c>
      <c r="F33" s="21">
        <v>0</v>
      </c>
      <c r="G33" s="21">
        <v>401871.62</v>
      </c>
      <c r="H33" s="13">
        <f t="shared" si="20"/>
        <v>21349786.77</v>
      </c>
      <c r="I33" s="54">
        <v>334382569.41000003</v>
      </c>
      <c r="J33" s="14">
        <f t="shared" si="13"/>
        <v>1.9683409055682856E-4</v>
      </c>
      <c r="K33" s="54">
        <v>348873332.5</v>
      </c>
      <c r="L33" s="14">
        <f t="shared" si="21"/>
        <v>1.8221938181584447E-4</v>
      </c>
      <c r="M33" s="14">
        <f t="shared" si="22"/>
        <v>4.3335880562100297E-2</v>
      </c>
      <c r="N33" s="24">
        <f t="shared" si="23"/>
        <v>1.1519126931262365E-3</v>
      </c>
      <c r="O33" s="25">
        <f t="shared" si="24"/>
        <v>6.1196384994545258E-2</v>
      </c>
      <c r="P33" s="28">
        <f t="shared" si="25"/>
        <v>1.0122472424648878</v>
      </c>
      <c r="Q33" s="28">
        <f t="shared" si="26"/>
        <v>6.1945871959548086E-2</v>
      </c>
      <c r="R33" s="11">
        <v>1</v>
      </c>
      <c r="S33" s="11">
        <v>1</v>
      </c>
      <c r="T33" s="11">
        <v>312</v>
      </c>
      <c r="U33" s="21">
        <v>315098848.39999998</v>
      </c>
      <c r="V33" s="21">
        <v>344652292.31</v>
      </c>
    </row>
    <row r="34" spans="1:22">
      <c r="A34" s="90">
        <v>27</v>
      </c>
      <c r="B34" s="22" t="s">
        <v>234</v>
      </c>
      <c r="C34" s="22" t="s">
        <v>60</v>
      </c>
      <c r="D34" s="21">
        <v>38565145899.459999</v>
      </c>
      <c r="E34" s="21">
        <v>760154985.19000006</v>
      </c>
      <c r="F34" s="21">
        <v>0</v>
      </c>
      <c r="G34" s="21">
        <v>60363792.149999999</v>
      </c>
      <c r="H34" s="13">
        <f t="shared" si="20"/>
        <v>699791193.04000008</v>
      </c>
      <c r="I34" s="54">
        <v>32773404809.32</v>
      </c>
      <c r="J34" s="14">
        <f t="shared" si="13"/>
        <v>1.9292044263777262E-2</v>
      </c>
      <c r="K34" s="54">
        <v>37862090252.790001</v>
      </c>
      <c r="L34" s="14">
        <f t="shared" si="21"/>
        <v>1.9775677982263391E-2</v>
      </c>
      <c r="M34" s="14">
        <f t="shared" si="22"/>
        <v>0.15526874528528989</v>
      </c>
      <c r="N34" s="24">
        <f t="shared" si="23"/>
        <v>1.5943069108698214E-3</v>
      </c>
      <c r="O34" s="25">
        <f t="shared" si="24"/>
        <v>1.8482634961983737E-2</v>
      </c>
      <c r="P34" s="28">
        <f t="shared" si="25"/>
        <v>99.999999999445365</v>
      </c>
      <c r="Q34" s="28">
        <f t="shared" si="26"/>
        <v>1.8482634961881224</v>
      </c>
      <c r="R34" s="11">
        <v>100</v>
      </c>
      <c r="S34" s="11">
        <v>100</v>
      </c>
      <c r="T34" s="11">
        <v>3534</v>
      </c>
      <c r="U34" s="21">
        <v>327734048.08999997</v>
      </c>
      <c r="V34" s="21">
        <v>378620902.52999997</v>
      </c>
    </row>
    <row r="35" spans="1:22">
      <c r="A35" s="90">
        <v>28</v>
      </c>
      <c r="B35" s="22" t="s">
        <v>61</v>
      </c>
      <c r="C35" s="22" t="s">
        <v>62</v>
      </c>
      <c r="D35" s="21">
        <v>7736334951.5100002</v>
      </c>
      <c r="E35" s="21">
        <v>337824358.13</v>
      </c>
      <c r="F35" s="21">
        <v>0</v>
      </c>
      <c r="G35" s="21">
        <v>19945846.32</v>
      </c>
      <c r="H35" s="13">
        <f t="shared" si="20"/>
        <v>317878511.81</v>
      </c>
      <c r="I35" s="54">
        <v>15997110200</v>
      </c>
      <c r="J35" s="14">
        <f t="shared" si="13"/>
        <v>9.4166889240375543E-3</v>
      </c>
      <c r="K35" s="54">
        <v>17816119300</v>
      </c>
      <c r="L35" s="14">
        <f t="shared" si="21"/>
        <v>9.3055041551601998E-3</v>
      </c>
      <c r="M35" s="14">
        <f t="shared" si="22"/>
        <v>0.11370860594559135</v>
      </c>
      <c r="N35" s="24">
        <f t="shared" si="23"/>
        <v>1.1195393331251437E-3</v>
      </c>
      <c r="O35" s="25">
        <f t="shared" si="24"/>
        <v>1.7842185857500404E-2</v>
      </c>
      <c r="P35" s="28">
        <f t="shared" si="25"/>
        <v>100</v>
      </c>
      <c r="Q35" s="28">
        <f t="shared" si="26"/>
        <v>1.7842185857500403</v>
      </c>
      <c r="R35" s="11">
        <v>100</v>
      </c>
      <c r="S35" s="11">
        <v>100</v>
      </c>
      <c r="T35" s="11">
        <f>6188+260+139</f>
        <v>6587</v>
      </c>
      <c r="U35" s="21">
        <v>159971102</v>
      </c>
      <c r="V35" s="21">
        <v>178161193</v>
      </c>
    </row>
    <row r="36" spans="1:22">
      <c r="A36" s="90">
        <v>29</v>
      </c>
      <c r="B36" s="22" t="s">
        <v>63</v>
      </c>
      <c r="C36" s="79" t="s">
        <v>64</v>
      </c>
      <c r="D36" s="11">
        <v>39263942.280000001</v>
      </c>
      <c r="E36" s="11">
        <v>275433.01</v>
      </c>
      <c r="F36" s="11"/>
      <c r="G36" s="11">
        <v>41437.480000000003</v>
      </c>
      <c r="H36" s="13">
        <f t="shared" si="20"/>
        <v>233995.53</v>
      </c>
      <c r="I36" s="11">
        <v>39203248.560000002</v>
      </c>
      <c r="J36" s="14">
        <f t="shared" si="13"/>
        <v>2.3076967770169091E-5</v>
      </c>
      <c r="K36" s="11">
        <v>39203248.560000002</v>
      </c>
      <c r="L36" s="14">
        <f t="shared" si="21"/>
        <v>2.0476175884770715E-5</v>
      </c>
      <c r="M36" s="14">
        <f t="shared" si="22"/>
        <v>0</v>
      </c>
      <c r="N36" s="24">
        <f t="shared" si="23"/>
        <v>1.056990977076314E-3</v>
      </c>
      <c r="O36" s="25">
        <f t="shared" si="24"/>
        <v>5.9687790832403404E-3</v>
      </c>
      <c r="P36" s="28">
        <f t="shared" si="25"/>
        <v>101.87107246798604</v>
      </c>
      <c r="Q36" s="28">
        <f t="shared" si="26"/>
        <v>0.608045926534176</v>
      </c>
      <c r="R36" s="11">
        <v>10</v>
      </c>
      <c r="S36" s="11">
        <v>10</v>
      </c>
      <c r="T36" s="11">
        <v>86</v>
      </c>
      <c r="U36" s="11">
        <v>384832</v>
      </c>
      <c r="V36" s="11">
        <v>384832</v>
      </c>
    </row>
    <row r="37" spans="1:22">
      <c r="A37" s="90">
        <v>30</v>
      </c>
      <c r="B37" s="22" t="s">
        <v>65</v>
      </c>
      <c r="C37" s="22" t="s">
        <v>66</v>
      </c>
      <c r="D37" s="21">
        <v>13251649052.68</v>
      </c>
      <c r="E37" s="21">
        <v>213919403.66</v>
      </c>
      <c r="F37" s="21">
        <v>0</v>
      </c>
      <c r="G37" s="21">
        <v>18763915.68</v>
      </c>
      <c r="H37" s="13">
        <f t="shared" si="20"/>
        <v>195155487.97999999</v>
      </c>
      <c r="I37" s="54">
        <v>9224932024.6200008</v>
      </c>
      <c r="J37" s="14">
        <f t="shared" si="13"/>
        <v>5.4302504724408592E-3</v>
      </c>
      <c r="K37" s="54">
        <v>13593505807.790001</v>
      </c>
      <c r="L37" s="14">
        <f t="shared" si="21"/>
        <v>7.0999987509953498E-3</v>
      </c>
      <c r="M37" s="14">
        <f t="shared" si="22"/>
        <v>0.47356162316545125</v>
      </c>
      <c r="N37" s="24">
        <f t="shared" si="23"/>
        <v>1.380358823199752E-3</v>
      </c>
      <c r="O37" s="25">
        <f t="shared" si="24"/>
        <v>1.4356523676781207E-2</v>
      </c>
      <c r="P37" s="28">
        <f t="shared" si="25"/>
        <v>1</v>
      </c>
      <c r="Q37" s="28">
        <f t="shared" si="26"/>
        <v>1.4356523676781207E-2</v>
      </c>
      <c r="R37" s="11">
        <v>1</v>
      </c>
      <c r="S37" s="11">
        <v>1</v>
      </c>
      <c r="T37" s="11">
        <v>3047</v>
      </c>
      <c r="U37" s="21">
        <v>9181926780.1000004</v>
      </c>
      <c r="V37" s="21">
        <v>13593505807.790001</v>
      </c>
    </row>
    <row r="38" spans="1:22">
      <c r="A38" s="90">
        <v>31</v>
      </c>
      <c r="B38" s="22" t="s">
        <v>67</v>
      </c>
      <c r="C38" s="22" t="s">
        <v>68</v>
      </c>
      <c r="D38" s="21">
        <v>13793634004.18</v>
      </c>
      <c r="E38" s="21">
        <v>611216977.48000002</v>
      </c>
      <c r="F38" s="21">
        <v>0</v>
      </c>
      <c r="G38" s="21">
        <v>49910391.939999998</v>
      </c>
      <c r="H38" s="13">
        <f t="shared" si="20"/>
        <v>561306585.53999996</v>
      </c>
      <c r="I38" s="54">
        <v>30820479727.740002</v>
      </c>
      <c r="J38" s="14">
        <f t="shared" si="13"/>
        <v>1.8142456134716958E-2</v>
      </c>
      <c r="K38" s="54">
        <v>33239101369.5</v>
      </c>
      <c r="L38" s="14">
        <f t="shared" si="21"/>
        <v>1.7361053251797282E-2</v>
      </c>
      <c r="M38" s="14">
        <f t="shared" si="22"/>
        <v>7.8474496929491835E-2</v>
      </c>
      <c r="N38" s="24">
        <f t="shared" si="23"/>
        <v>1.5015565970082896E-3</v>
      </c>
      <c r="O38" s="25">
        <f t="shared" si="24"/>
        <v>1.6886936241153967E-2</v>
      </c>
      <c r="P38" s="28">
        <f t="shared" si="25"/>
        <v>99.999999908240596</v>
      </c>
      <c r="Q38" s="28">
        <f t="shared" si="26"/>
        <v>1.6886936225658615</v>
      </c>
      <c r="R38" s="11">
        <v>100</v>
      </c>
      <c r="S38" s="11">
        <v>100</v>
      </c>
      <c r="T38" s="11">
        <v>6178</v>
      </c>
      <c r="U38" s="21">
        <v>313210998</v>
      </c>
      <c r="V38" s="21">
        <v>332391014</v>
      </c>
    </row>
    <row r="39" spans="1:22">
      <c r="A39" s="90">
        <v>32</v>
      </c>
      <c r="B39" s="22" t="s">
        <v>69</v>
      </c>
      <c r="C39" s="22" t="s">
        <v>68</v>
      </c>
      <c r="D39" s="21">
        <v>1013983677.29</v>
      </c>
      <c r="E39" s="21">
        <v>35769296.880000003</v>
      </c>
      <c r="F39" s="21">
        <v>0</v>
      </c>
      <c r="G39" s="21">
        <v>1864659.18</v>
      </c>
      <c r="H39" s="13">
        <f t="shared" si="20"/>
        <v>33904637.700000003</v>
      </c>
      <c r="I39" s="54">
        <v>1808185822.04</v>
      </c>
      <c r="J39" s="14">
        <f t="shared" si="13"/>
        <v>1.0643874543669648E-3</v>
      </c>
      <c r="K39" s="54">
        <v>2115334854.0799999</v>
      </c>
      <c r="L39" s="14">
        <f t="shared" si="21"/>
        <v>1.1048566156714405E-3</v>
      </c>
      <c r="M39" s="14">
        <f t="shared" si="22"/>
        <v>0.16986585576336044</v>
      </c>
      <c r="N39" s="24">
        <f t="shared" si="23"/>
        <v>8.8149598462082556E-4</v>
      </c>
      <c r="O39" s="25">
        <f t="shared" si="24"/>
        <v>1.602802394836244E-2</v>
      </c>
      <c r="P39" s="28">
        <f t="shared" si="25"/>
        <v>999685.65882797725</v>
      </c>
      <c r="Q39" s="28">
        <f t="shared" si="26"/>
        <v>16022.985680529302</v>
      </c>
      <c r="R39" s="11">
        <v>1000</v>
      </c>
      <c r="S39" s="11">
        <v>1000</v>
      </c>
      <c r="T39" s="11">
        <v>28</v>
      </c>
      <c r="U39" s="21">
        <v>2033</v>
      </c>
      <c r="V39" s="21">
        <v>2116</v>
      </c>
    </row>
    <row r="40" spans="1:22">
      <c r="A40" s="90">
        <v>33</v>
      </c>
      <c r="B40" s="79" t="s">
        <v>70</v>
      </c>
      <c r="C40" s="79" t="s">
        <v>71</v>
      </c>
      <c r="D40" s="21">
        <v>3875534456.29</v>
      </c>
      <c r="E40" s="21">
        <v>75069458.269999996</v>
      </c>
      <c r="F40" s="21">
        <v>0</v>
      </c>
      <c r="G40" s="21">
        <v>6639947.4500000002</v>
      </c>
      <c r="H40" s="13">
        <f t="shared" si="20"/>
        <v>68429510.819999993</v>
      </c>
      <c r="I40" s="54">
        <v>3476191318.8299999</v>
      </c>
      <c r="J40" s="14">
        <f t="shared" si="13"/>
        <v>2.0462578478619192E-3</v>
      </c>
      <c r="K40" s="54">
        <v>3628868390.29</v>
      </c>
      <c r="L40" s="14">
        <f t="shared" si="21"/>
        <v>1.895387503628419E-3</v>
      </c>
      <c r="M40" s="14">
        <f t="shared" si="22"/>
        <v>4.3920790732366065E-2</v>
      </c>
      <c r="N40" s="24">
        <f t="shared" si="23"/>
        <v>1.8297570305296662E-3</v>
      </c>
      <c r="O40" s="25">
        <f t="shared" si="24"/>
        <v>1.8856983351366863E-2</v>
      </c>
      <c r="P40" s="28">
        <f t="shared" si="25"/>
        <v>0.99427997764130827</v>
      </c>
      <c r="Q40" s="28">
        <f t="shared" si="26"/>
        <v>1.8749120984979568E-2</v>
      </c>
      <c r="R40" s="11">
        <v>1</v>
      </c>
      <c r="S40" s="11">
        <v>1</v>
      </c>
      <c r="T40" s="11">
        <v>789</v>
      </c>
      <c r="U40" s="21">
        <v>3493100815.9099998</v>
      </c>
      <c r="V40" s="21">
        <v>3649745013.3699999</v>
      </c>
    </row>
    <row r="41" spans="1:22" ht="12.75" customHeight="1">
      <c r="A41" s="90">
        <v>34</v>
      </c>
      <c r="B41" s="22" t="s">
        <v>72</v>
      </c>
      <c r="C41" s="22" t="s">
        <v>73</v>
      </c>
      <c r="D41" s="21">
        <v>892649875.08000004</v>
      </c>
      <c r="E41" s="21">
        <v>17349976.190000001</v>
      </c>
      <c r="F41" s="21">
        <v>0</v>
      </c>
      <c r="G41" s="21">
        <v>1299177.5</v>
      </c>
      <c r="H41" s="13">
        <f t="shared" si="20"/>
        <v>16050798.690000001</v>
      </c>
      <c r="I41" s="54">
        <v>744443908.17999995</v>
      </c>
      <c r="J41" s="14">
        <f t="shared" si="13"/>
        <v>4.3821644141238929E-4</v>
      </c>
      <c r="K41" s="54">
        <v>1178223949.47</v>
      </c>
      <c r="L41" s="14">
        <f t="shared" si="21"/>
        <v>6.1539596097688598E-4</v>
      </c>
      <c r="M41" s="14">
        <f t="shared" si="22"/>
        <v>0.58269002744679044</v>
      </c>
      <c r="N41" s="24">
        <f t="shared" si="23"/>
        <v>1.1026575215895148E-3</v>
      </c>
      <c r="O41" s="25">
        <f t="shared" si="24"/>
        <v>1.3622875937312363E-2</v>
      </c>
      <c r="P41" s="28">
        <f t="shared" si="25"/>
        <v>1.1421931655405786</v>
      </c>
      <c r="Q41" s="28">
        <f t="shared" si="26"/>
        <v>1.5559955790605385E-2</v>
      </c>
      <c r="R41" s="11">
        <v>1</v>
      </c>
      <c r="S41" s="11">
        <v>1</v>
      </c>
      <c r="T41" s="11">
        <f>873+26+11</f>
        <v>910</v>
      </c>
      <c r="U41" s="21">
        <v>578891300.79999995</v>
      </c>
      <c r="V41" s="21">
        <v>1031545263.11</v>
      </c>
    </row>
    <row r="42" spans="1:22">
      <c r="A42" s="90">
        <v>35</v>
      </c>
      <c r="B42" s="22" t="s">
        <v>74</v>
      </c>
      <c r="C42" s="22" t="s">
        <v>75</v>
      </c>
      <c r="D42" s="21">
        <v>396552003265.46997</v>
      </c>
      <c r="E42" s="21">
        <v>7809170452.8699999</v>
      </c>
      <c r="F42" s="21">
        <v>0</v>
      </c>
      <c r="G42" s="21">
        <v>532464805.60000002</v>
      </c>
      <c r="H42" s="13">
        <f t="shared" si="20"/>
        <v>7276705647.2699995</v>
      </c>
      <c r="I42" s="54">
        <v>349029131036.02002</v>
      </c>
      <c r="J42" s="14">
        <f t="shared" si="13"/>
        <v>0.20545577990663225</v>
      </c>
      <c r="K42" s="54">
        <v>388972255661.25</v>
      </c>
      <c r="L42" s="14">
        <f t="shared" si="21"/>
        <v>0.20316337583672317</v>
      </c>
      <c r="M42" s="14">
        <f t="shared" si="22"/>
        <v>0.11444066146188762</v>
      </c>
      <c r="N42" s="24">
        <f t="shared" si="23"/>
        <v>1.368901760601958E-3</v>
      </c>
      <c r="O42" s="25">
        <f t="shared" si="24"/>
        <v>1.8707518444727254E-2</v>
      </c>
      <c r="P42" s="28">
        <f t="shared" si="25"/>
        <v>100.0627813873662</v>
      </c>
      <c r="Q42" s="28">
        <f t="shared" si="26"/>
        <v>1.8719263284348642</v>
      </c>
      <c r="R42" s="11">
        <v>100</v>
      </c>
      <c r="S42" s="11">
        <v>100</v>
      </c>
      <c r="T42" s="11">
        <v>30831</v>
      </c>
      <c r="U42" s="21">
        <v>3488041640</v>
      </c>
      <c r="V42" s="21">
        <v>3887282067</v>
      </c>
    </row>
    <row r="43" spans="1:22" ht="16.95" customHeight="1">
      <c r="A43" s="90">
        <v>36</v>
      </c>
      <c r="B43" s="22" t="s">
        <v>76</v>
      </c>
      <c r="C43" s="22" t="s">
        <v>77</v>
      </c>
      <c r="D43" s="21">
        <v>713917558.08000004</v>
      </c>
      <c r="E43" s="21">
        <v>14049709.52</v>
      </c>
      <c r="F43" s="21">
        <v>0</v>
      </c>
      <c r="G43" s="21">
        <v>2158476.75</v>
      </c>
      <c r="H43" s="13">
        <f t="shared" si="20"/>
        <v>11891232.77</v>
      </c>
      <c r="I43" s="54">
        <v>774750916.48000002</v>
      </c>
      <c r="J43" s="14">
        <f t="shared" si="13"/>
        <v>4.5605664291199045E-4</v>
      </c>
      <c r="K43" s="54">
        <v>672259241.41999996</v>
      </c>
      <c r="L43" s="14">
        <f t="shared" si="21"/>
        <v>3.5112647479738489E-4</v>
      </c>
      <c r="M43" s="14">
        <f t="shared" si="22"/>
        <v>-0.13228984036012542</v>
      </c>
      <c r="N43" s="24">
        <f t="shared" si="23"/>
        <v>3.210780331469586E-3</v>
      </c>
      <c r="O43" s="25">
        <f t="shared" si="24"/>
        <v>1.7688463076955822E-2</v>
      </c>
      <c r="P43" s="28">
        <f t="shared" si="25"/>
        <v>9.5941083810652383</v>
      </c>
      <c r="Q43" s="28">
        <f t="shared" si="26"/>
        <v>0.16970503185478489</v>
      </c>
      <c r="R43" s="11">
        <v>10</v>
      </c>
      <c r="S43" s="11">
        <v>10</v>
      </c>
      <c r="T43" s="11">
        <v>415</v>
      </c>
      <c r="U43" s="21">
        <v>77847840</v>
      </c>
      <c r="V43" s="21">
        <v>70070007</v>
      </c>
    </row>
    <row r="44" spans="1:22">
      <c r="A44" s="90">
        <v>37</v>
      </c>
      <c r="B44" s="22" t="s">
        <v>78</v>
      </c>
      <c r="C44" s="22" t="s">
        <v>79</v>
      </c>
      <c r="D44" s="21">
        <v>1995774635.3800001</v>
      </c>
      <c r="E44" s="21">
        <v>77298307.75</v>
      </c>
      <c r="F44" s="21">
        <v>0</v>
      </c>
      <c r="G44" s="21">
        <v>9624133.2899999991</v>
      </c>
      <c r="H44" s="13">
        <f t="shared" si="20"/>
        <v>67674174.460000008</v>
      </c>
      <c r="I44" s="54">
        <v>4893889187.0900002</v>
      </c>
      <c r="J44" s="14">
        <f t="shared" si="13"/>
        <v>2.8807848122179938E-3</v>
      </c>
      <c r="K44" s="54">
        <v>5654783095.9300003</v>
      </c>
      <c r="L44" s="14">
        <f t="shared" si="21"/>
        <v>2.9535392477814332E-3</v>
      </c>
      <c r="M44" s="14">
        <f t="shared" si="22"/>
        <v>0.15547836899274831</v>
      </c>
      <c r="N44" s="24">
        <f t="shared" si="23"/>
        <v>1.701945614311346E-3</v>
      </c>
      <c r="O44" s="25">
        <f t="shared" si="24"/>
        <v>1.1967598634987102E-2</v>
      </c>
      <c r="P44" s="28">
        <f t="shared" si="25"/>
        <v>101.72375311209812</v>
      </c>
      <c r="Q44" s="28">
        <f t="shared" si="26"/>
        <v>1.2173890488901105</v>
      </c>
      <c r="R44" s="11">
        <v>100</v>
      </c>
      <c r="S44" s="11">
        <v>100</v>
      </c>
      <c r="T44" s="11">
        <v>803</v>
      </c>
      <c r="U44" s="21">
        <v>46036231</v>
      </c>
      <c r="V44" s="21">
        <v>55589603.439999998</v>
      </c>
    </row>
    <row r="45" spans="1:22">
      <c r="A45" s="90">
        <v>38</v>
      </c>
      <c r="B45" s="71" t="s">
        <v>254</v>
      </c>
      <c r="C45" s="71" t="s">
        <v>230</v>
      </c>
      <c r="D45" s="21">
        <v>76965778.079999998</v>
      </c>
      <c r="E45" s="21">
        <v>4595223.8600000003</v>
      </c>
      <c r="F45" s="21">
        <v>0</v>
      </c>
      <c r="G45" s="21">
        <v>82758.16</v>
      </c>
      <c r="H45" s="13">
        <f t="shared" si="20"/>
        <v>4512465.7</v>
      </c>
      <c r="I45" s="54">
        <v>73356378.569999993</v>
      </c>
      <c r="J45" s="14">
        <f t="shared" si="13"/>
        <v>4.3181186411257245E-5</v>
      </c>
      <c r="K45" s="54">
        <v>76127241.840000004</v>
      </c>
      <c r="L45" s="14">
        <f t="shared" si="21"/>
        <v>3.9761878180901344E-5</v>
      </c>
      <c r="M45" s="14">
        <f t="shared" si="22"/>
        <v>3.7772628965808706E-2</v>
      </c>
      <c r="N45" s="24">
        <f t="shared" si="23"/>
        <v>1.0871030921353554E-3</v>
      </c>
      <c r="O45" s="25">
        <f t="shared" si="24"/>
        <v>5.9275307904679497E-2</v>
      </c>
      <c r="P45" s="28">
        <f t="shared" si="25"/>
        <v>1.0101042725973344</v>
      </c>
      <c r="Q45" s="28">
        <f t="shared" si="26"/>
        <v>5.9874241774039307E-2</v>
      </c>
      <c r="R45" s="11">
        <v>1</v>
      </c>
      <c r="S45" s="11">
        <v>1</v>
      </c>
      <c r="T45" s="11">
        <v>51</v>
      </c>
      <c r="U45" s="21">
        <v>64950726</v>
      </c>
      <c r="V45" s="21">
        <v>75365726</v>
      </c>
    </row>
    <row r="46" spans="1:22">
      <c r="A46" s="90">
        <v>39</v>
      </c>
      <c r="B46" s="79" t="s">
        <v>268</v>
      </c>
      <c r="C46" s="79" t="s">
        <v>36</v>
      </c>
      <c r="D46" s="21">
        <v>186137610.59999999</v>
      </c>
      <c r="E46" s="21">
        <v>2938297.67</v>
      </c>
      <c r="F46" s="21">
        <v>0</v>
      </c>
      <c r="G46" s="21">
        <v>278977.24</v>
      </c>
      <c r="H46" s="13">
        <f t="shared" si="20"/>
        <v>2659320.4299999997</v>
      </c>
      <c r="I46" s="54">
        <v>153407455</v>
      </c>
      <c r="J46" s="14">
        <f t="shared" si="13"/>
        <v>9.0303202534873427E-5</v>
      </c>
      <c r="K46" s="54">
        <v>189092553</v>
      </c>
      <c r="L46" s="14">
        <f t="shared" si="21"/>
        <v>9.8764579874100307E-5</v>
      </c>
      <c r="M46" s="14">
        <f t="shared" si="22"/>
        <v>0.23261645270107636</v>
      </c>
      <c r="N46" s="24">
        <f t="shared" si="23"/>
        <v>1.4753475775431514E-3</v>
      </c>
      <c r="O46" s="25">
        <f t="shared" si="24"/>
        <v>1.4063591547150985E-2</v>
      </c>
      <c r="P46" s="28">
        <f t="shared" si="25"/>
        <v>100</v>
      </c>
      <c r="Q46" s="28">
        <f t="shared" si="26"/>
        <v>1.4063591547150984</v>
      </c>
      <c r="R46" s="11">
        <v>100</v>
      </c>
      <c r="S46" s="11">
        <v>100</v>
      </c>
      <c r="T46" s="11">
        <v>930</v>
      </c>
      <c r="U46" s="21">
        <v>1534074.55</v>
      </c>
      <c r="V46" s="21">
        <v>1890925.53</v>
      </c>
    </row>
    <row r="47" spans="1:22">
      <c r="A47" s="90">
        <v>40</v>
      </c>
      <c r="B47" s="79" t="s">
        <v>80</v>
      </c>
      <c r="C47" s="79" t="s">
        <v>36</v>
      </c>
      <c r="D47" s="21">
        <v>57965930990.290001</v>
      </c>
      <c r="E47" s="21">
        <v>963471925.61000001</v>
      </c>
      <c r="F47" s="21">
        <v>0</v>
      </c>
      <c r="G47" s="21">
        <v>56594414.649999999</v>
      </c>
      <c r="H47" s="13">
        <f t="shared" si="20"/>
        <v>906877510.96000004</v>
      </c>
      <c r="I47" s="54">
        <v>45577906401.050003</v>
      </c>
      <c r="J47" s="14">
        <f t="shared" si="13"/>
        <v>2.6829406125338056E-2</v>
      </c>
      <c r="K47" s="54">
        <v>57295185548.589996</v>
      </c>
      <c r="L47" s="14">
        <f t="shared" si="21"/>
        <v>2.9925741864171216E-2</v>
      </c>
      <c r="M47" s="14">
        <f t="shared" si="22"/>
        <v>0.25708243473136044</v>
      </c>
      <c r="N47" s="24">
        <f t="shared" si="23"/>
        <v>9.8776911372429896E-4</v>
      </c>
      <c r="O47" s="25">
        <f t="shared" si="24"/>
        <v>1.5828162563343295E-2</v>
      </c>
      <c r="P47" s="28">
        <f t="shared" si="25"/>
        <v>99.999999999284398</v>
      </c>
      <c r="Q47" s="28">
        <f t="shared" si="26"/>
        <v>1.582816256323003</v>
      </c>
      <c r="R47" s="11">
        <v>100</v>
      </c>
      <c r="S47" s="11">
        <v>100</v>
      </c>
      <c r="T47" s="11">
        <v>13459</v>
      </c>
      <c r="U47" s="21">
        <v>455779064.00999999</v>
      </c>
      <c r="V47" s="21">
        <v>572951855.49000001</v>
      </c>
    </row>
    <row r="48" spans="1:22">
      <c r="A48" s="90">
        <v>41</v>
      </c>
      <c r="B48" s="22" t="s">
        <v>81</v>
      </c>
      <c r="C48" s="22" t="s">
        <v>38</v>
      </c>
      <c r="D48" s="21">
        <v>9828815574.4099998</v>
      </c>
      <c r="E48" s="21">
        <v>194824459.40000001</v>
      </c>
      <c r="F48" s="21">
        <v>0</v>
      </c>
      <c r="G48" s="21">
        <v>14184743.5</v>
      </c>
      <c r="H48" s="13">
        <f t="shared" si="20"/>
        <v>180639715.90000001</v>
      </c>
      <c r="I48" s="54">
        <v>8458380545.5200005</v>
      </c>
      <c r="J48" s="14">
        <f t="shared" si="13"/>
        <v>4.9790204232194957E-3</v>
      </c>
      <c r="K48" s="54">
        <v>9789190042.7700005</v>
      </c>
      <c r="L48" s="14">
        <f t="shared" si="21"/>
        <v>5.1129736551915146E-3</v>
      </c>
      <c r="M48" s="14">
        <f t="shared" si="22"/>
        <v>0.15733620520950267</v>
      </c>
      <c r="N48" s="24">
        <f t="shared" si="23"/>
        <v>1.4490211588523017E-3</v>
      </c>
      <c r="O48" s="25">
        <f t="shared" si="24"/>
        <v>1.8452978756236839E-2</v>
      </c>
      <c r="P48" s="28">
        <f t="shared" si="25"/>
        <v>0.99941792940627194</v>
      </c>
      <c r="Q48" s="28">
        <f t="shared" si="26"/>
        <v>1.8442237819936144E-2</v>
      </c>
      <c r="R48" s="11">
        <v>1</v>
      </c>
      <c r="S48" s="11">
        <v>1</v>
      </c>
      <c r="T48" s="11">
        <v>1241</v>
      </c>
      <c r="U48" s="21">
        <v>8462277620</v>
      </c>
      <c r="V48" s="21">
        <v>9794891361</v>
      </c>
    </row>
    <row r="49" spans="1:23">
      <c r="A49" s="90">
        <v>42</v>
      </c>
      <c r="B49" s="22" t="s">
        <v>82</v>
      </c>
      <c r="C49" s="22" t="s">
        <v>40</v>
      </c>
      <c r="D49" s="21">
        <v>569971903.62</v>
      </c>
      <c r="E49" s="21">
        <v>7783566.75</v>
      </c>
      <c r="F49" s="21"/>
      <c r="G49" s="21">
        <v>1207080.05</v>
      </c>
      <c r="H49" s="13">
        <f t="shared" si="20"/>
        <v>6576486.7000000002</v>
      </c>
      <c r="I49" s="54">
        <v>17218334807.66</v>
      </c>
      <c r="J49" s="14">
        <f t="shared" si="13"/>
        <v>1.0135562026300364E-2</v>
      </c>
      <c r="K49" s="54">
        <v>566616482.89999998</v>
      </c>
      <c r="L49" s="14">
        <f t="shared" si="21"/>
        <v>2.9594840196249739E-4</v>
      </c>
      <c r="M49" s="14">
        <f t="shared" si="22"/>
        <v>-0.96709226012680816</v>
      </c>
      <c r="N49" s="24">
        <f t="shared" si="23"/>
        <v>2.1303299258469206E-3</v>
      </c>
      <c r="O49" s="25">
        <f t="shared" si="24"/>
        <v>1.1606592639770876E-2</v>
      </c>
      <c r="P49" s="28">
        <f t="shared" si="25"/>
        <v>107.17108392117277</v>
      </c>
      <c r="Q49" s="28">
        <f t="shared" si="26"/>
        <v>1.2438911138357507</v>
      </c>
      <c r="R49" s="11">
        <v>10</v>
      </c>
      <c r="S49" s="11">
        <v>10</v>
      </c>
      <c r="T49" s="11">
        <v>56</v>
      </c>
      <c r="U49" s="21">
        <v>5012830.3899999997</v>
      </c>
      <c r="V49" s="21">
        <v>5287027.6399999997</v>
      </c>
    </row>
    <row r="50" spans="1:23" ht="14.1" customHeight="1">
      <c r="A50" s="90">
        <v>43</v>
      </c>
      <c r="B50" s="22" t="s">
        <v>83</v>
      </c>
      <c r="C50" s="22" t="s">
        <v>276</v>
      </c>
      <c r="D50" s="21">
        <v>6731031130.6499996</v>
      </c>
      <c r="E50" s="21">
        <v>272061050.94</v>
      </c>
      <c r="F50" s="21">
        <v>0</v>
      </c>
      <c r="G50" s="21">
        <v>17545394.120000001</v>
      </c>
      <c r="H50" s="13">
        <f t="shared" si="20"/>
        <v>254515656.81999999</v>
      </c>
      <c r="I50" s="54">
        <v>12513773836</v>
      </c>
      <c r="J50" s="14">
        <f t="shared" si="13"/>
        <v>7.3662251498006264E-3</v>
      </c>
      <c r="K50" s="54">
        <v>14324121136</v>
      </c>
      <c r="L50" s="14">
        <f t="shared" si="21"/>
        <v>7.4816050850123137E-3</v>
      </c>
      <c r="M50" s="14">
        <f t="shared" si="22"/>
        <v>0.14466837292455603</v>
      </c>
      <c r="N50" s="24">
        <f t="shared" si="23"/>
        <v>1.2248845114765303E-3</v>
      </c>
      <c r="O50" s="25">
        <f t="shared" si="24"/>
        <v>1.7768326196316523E-2</v>
      </c>
      <c r="P50" s="28">
        <f t="shared" si="25"/>
        <v>100.00000025132432</v>
      </c>
      <c r="Q50" s="28">
        <f t="shared" si="26"/>
        <v>1.7768326240972647</v>
      </c>
      <c r="R50" s="11">
        <v>100</v>
      </c>
      <c r="S50" s="11">
        <v>100</v>
      </c>
      <c r="T50" s="11">
        <f>3266+101+66</f>
        <v>3433</v>
      </c>
      <c r="U50" s="21">
        <v>125137738</v>
      </c>
      <c r="V50" s="21">
        <v>143241211</v>
      </c>
    </row>
    <row r="51" spans="1:23">
      <c r="A51" s="90">
        <v>44</v>
      </c>
      <c r="B51" s="22" t="s">
        <v>84</v>
      </c>
      <c r="C51" s="79" t="s">
        <v>85</v>
      </c>
      <c r="D51" s="21">
        <v>302179158.44</v>
      </c>
      <c r="E51" s="21">
        <v>3998219.97</v>
      </c>
      <c r="F51" s="21">
        <v>0</v>
      </c>
      <c r="G51" s="21">
        <v>4560361.87</v>
      </c>
      <c r="H51" s="13">
        <f t="shared" si="20"/>
        <v>-562141.89999999991</v>
      </c>
      <c r="I51" s="54">
        <v>245227077.81999999</v>
      </c>
      <c r="J51" s="14">
        <f t="shared" si="13"/>
        <v>1.4435276613782965E-4</v>
      </c>
      <c r="K51" s="54">
        <v>288338867.47000003</v>
      </c>
      <c r="L51" s="14">
        <f t="shared" si="21"/>
        <v>1.5060173790687803E-4</v>
      </c>
      <c r="M51" s="14">
        <f t="shared" si="22"/>
        <v>0.17580354516006863</v>
      </c>
      <c r="N51" s="24">
        <f t="shared" si="23"/>
        <v>1.5815980377582913E-2</v>
      </c>
      <c r="O51" s="25">
        <f t="shared" si="24"/>
        <v>-1.9495876672210605E-3</v>
      </c>
      <c r="P51" s="28">
        <f t="shared" si="25"/>
        <v>1.0102514559175482</v>
      </c>
      <c r="Q51" s="28">
        <f t="shared" si="26"/>
        <v>-1.9695737792489727E-3</v>
      </c>
      <c r="R51" s="11">
        <v>1</v>
      </c>
      <c r="S51" s="11">
        <v>1</v>
      </c>
      <c r="T51" s="11">
        <v>86</v>
      </c>
      <c r="U51" s="21">
        <v>241660007</v>
      </c>
      <c r="V51" s="21">
        <v>285412969</v>
      </c>
    </row>
    <row r="52" spans="1:23" ht="15" customHeight="1">
      <c r="A52" s="90">
        <v>45</v>
      </c>
      <c r="B52" s="79" t="s">
        <v>86</v>
      </c>
      <c r="C52" s="79" t="s">
        <v>42</v>
      </c>
      <c r="D52" s="21">
        <v>1106851234.72</v>
      </c>
      <c r="E52" s="21">
        <v>60493565.670000002</v>
      </c>
      <c r="F52" s="21">
        <v>0</v>
      </c>
      <c r="G52" s="21">
        <v>1280447.83</v>
      </c>
      <c r="H52" s="13">
        <f t="shared" si="20"/>
        <v>59213117.840000004</v>
      </c>
      <c r="I52" s="54">
        <v>981194341.27999997</v>
      </c>
      <c r="J52" s="14">
        <f t="shared" si="13"/>
        <v>5.7757943593210351E-4</v>
      </c>
      <c r="K52" s="54">
        <v>1236368604.9300001</v>
      </c>
      <c r="L52" s="14">
        <f t="shared" si="21"/>
        <v>6.457653878914997E-4</v>
      </c>
      <c r="M52" s="14">
        <f t="shared" si="22"/>
        <v>0.2600649564663377</v>
      </c>
      <c r="N52" s="24">
        <f t="shared" si="23"/>
        <v>1.0356521711197089E-3</v>
      </c>
      <c r="O52" s="25">
        <f t="shared" si="24"/>
        <v>4.7892770492463689E-2</v>
      </c>
      <c r="P52" s="28">
        <f t="shared" si="25"/>
        <v>11.812876473626881</v>
      </c>
      <c r="Q52" s="28">
        <f t="shared" si="26"/>
        <v>0.56575138180723594</v>
      </c>
      <c r="R52" s="11">
        <v>10</v>
      </c>
      <c r="S52" s="11">
        <v>10</v>
      </c>
      <c r="T52" s="11">
        <v>747</v>
      </c>
      <c r="U52" s="21">
        <v>91401074.599999994</v>
      </c>
      <c r="V52" s="21">
        <v>104662789.59999999</v>
      </c>
    </row>
    <row r="53" spans="1:23" ht="15" customHeight="1">
      <c r="A53" s="90">
        <v>46</v>
      </c>
      <c r="B53" s="11" t="s">
        <v>213</v>
      </c>
      <c r="C53" s="11" t="s">
        <v>214</v>
      </c>
      <c r="D53" s="21">
        <v>406698033.73000002</v>
      </c>
      <c r="E53" s="21">
        <v>13449311.26</v>
      </c>
      <c r="F53" s="21">
        <v>0</v>
      </c>
      <c r="G53" s="21">
        <v>1756925.13</v>
      </c>
      <c r="H53" s="13">
        <f t="shared" si="20"/>
        <v>11692386.129999999</v>
      </c>
      <c r="I53" s="54">
        <v>716150676.88999999</v>
      </c>
      <c r="J53" s="14">
        <f t="shared" si="13"/>
        <v>4.2156164849149194E-4</v>
      </c>
      <c r="K53" s="54">
        <v>748486894.16999996</v>
      </c>
      <c r="L53" s="14">
        <f t="shared" si="21"/>
        <v>3.9094079841404559E-4</v>
      </c>
      <c r="M53" s="14">
        <f t="shared" si="22"/>
        <v>4.5152812562330065E-2</v>
      </c>
      <c r="N53" s="24">
        <f t="shared" si="23"/>
        <v>2.3473024627214895E-3</v>
      </c>
      <c r="O53" s="25">
        <f t="shared" si="24"/>
        <v>1.5621363875670436E-2</v>
      </c>
      <c r="P53" s="28">
        <f t="shared" si="25"/>
        <v>1.0000000924131163</v>
      </c>
      <c r="Q53" s="28">
        <f t="shared" si="26"/>
        <v>1.5621365319289354E-2</v>
      </c>
      <c r="R53" s="11">
        <v>1</v>
      </c>
      <c r="S53" s="11">
        <v>1</v>
      </c>
      <c r="T53" s="11">
        <v>73</v>
      </c>
      <c r="U53" s="21">
        <v>716145610</v>
      </c>
      <c r="V53" s="21">
        <v>748486825</v>
      </c>
    </row>
    <row r="54" spans="1:23" ht="15" customHeight="1">
      <c r="A54" s="90">
        <v>47</v>
      </c>
      <c r="B54" s="71" t="s">
        <v>215</v>
      </c>
      <c r="C54" s="73" t="s">
        <v>216</v>
      </c>
      <c r="D54" s="91">
        <v>7176023942.6199999</v>
      </c>
      <c r="E54" s="21">
        <v>129147873.16</v>
      </c>
      <c r="F54" s="21">
        <v>0</v>
      </c>
      <c r="G54" s="21">
        <v>8805384.0399999991</v>
      </c>
      <c r="H54" s="13">
        <f t="shared" si="20"/>
        <v>120342489.12</v>
      </c>
      <c r="I54" s="54">
        <v>5387731391.5500002</v>
      </c>
      <c r="J54" s="14">
        <f t="shared" si="13"/>
        <v>3.1714847173146513E-3</v>
      </c>
      <c r="K54" s="54">
        <v>7175498209.9899998</v>
      </c>
      <c r="L54" s="14">
        <f t="shared" si="21"/>
        <v>3.7478211323162007E-3</v>
      </c>
      <c r="M54" s="14">
        <f t="shared" si="22"/>
        <v>0.33182181673791195</v>
      </c>
      <c r="N54" s="24">
        <f t="shared" si="23"/>
        <v>1.2271460158321565E-3</v>
      </c>
      <c r="O54" s="25">
        <f t="shared" si="24"/>
        <v>1.6771307803053262E-2</v>
      </c>
      <c r="P54" s="28">
        <f t="shared" si="25"/>
        <v>243.66377940506433</v>
      </c>
      <c r="Q54" s="28">
        <f t="shared" si="26"/>
        <v>4.0865602448576048</v>
      </c>
      <c r="R54" s="11">
        <v>100</v>
      </c>
      <c r="S54" s="11">
        <v>100</v>
      </c>
      <c r="T54" s="11">
        <v>91</v>
      </c>
      <c r="U54" s="21">
        <v>100000000</v>
      </c>
      <c r="V54" s="21">
        <v>29448358.010000002</v>
      </c>
    </row>
    <row r="55" spans="1:23" ht="15" customHeight="1">
      <c r="A55" s="90">
        <v>48</v>
      </c>
      <c r="B55" s="71" t="s">
        <v>217</v>
      </c>
      <c r="C55" s="73" t="s">
        <v>112</v>
      </c>
      <c r="D55" s="21">
        <v>50000000</v>
      </c>
      <c r="E55" s="21">
        <v>1005896.1</v>
      </c>
      <c r="F55" s="21">
        <v>0</v>
      </c>
      <c r="G55" s="21">
        <v>58746.6</v>
      </c>
      <c r="H55" s="13">
        <f t="shared" si="20"/>
        <v>947149.5</v>
      </c>
      <c r="I55" s="54">
        <v>57601346.350000001</v>
      </c>
      <c r="J55" s="14">
        <f t="shared" si="13"/>
        <v>3.3906996538893381E-5</v>
      </c>
      <c r="K55" s="54">
        <v>51544253.399999999</v>
      </c>
      <c r="L55" s="14">
        <f t="shared" si="21"/>
        <v>2.6921983183415831E-5</v>
      </c>
      <c r="M55" s="14">
        <f t="shared" si="22"/>
        <v>-0.10515540579894801</v>
      </c>
      <c r="N55" s="24">
        <f t="shared" si="23"/>
        <v>1.1397313206596956E-3</v>
      </c>
      <c r="O55" s="25">
        <f t="shared" si="24"/>
        <v>1.8375462588425037E-2</v>
      </c>
      <c r="P55" s="28">
        <f t="shared" si="25"/>
        <v>1012.5776638378123</v>
      </c>
      <c r="Q55" s="28">
        <f t="shared" si="26"/>
        <v>18.606582979726543</v>
      </c>
      <c r="R55" s="11">
        <v>1000</v>
      </c>
      <c r="S55" s="11">
        <v>1000</v>
      </c>
      <c r="T55" s="11">
        <v>25</v>
      </c>
      <c r="U55" s="21">
        <v>50904</v>
      </c>
      <c r="V55" s="21">
        <v>50904</v>
      </c>
    </row>
    <row r="56" spans="1:23">
      <c r="A56" s="90">
        <v>49</v>
      </c>
      <c r="B56" s="22" t="s">
        <v>87</v>
      </c>
      <c r="C56" s="22" t="s">
        <v>46</v>
      </c>
      <c r="D56" s="21">
        <v>894184800455.90002</v>
      </c>
      <c r="E56" s="21">
        <v>16460533629.91</v>
      </c>
      <c r="F56" s="21">
        <v>0</v>
      </c>
      <c r="G56" s="21">
        <v>1402145941.47</v>
      </c>
      <c r="H56" s="13">
        <f t="shared" si="20"/>
        <v>15058387688.440001</v>
      </c>
      <c r="I56" s="54">
        <v>785952913814.55005</v>
      </c>
      <c r="J56" s="14">
        <f t="shared" si="13"/>
        <v>0.46265069164382677</v>
      </c>
      <c r="K56" s="54">
        <v>893965831055.31995</v>
      </c>
      <c r="L56" s="14">
        <f t="shared" si="21"/>
        <v>0.46692563152383698</v>
      </c>
      <c r="M56" s="14">
        <f t="shared" si="22"/>
        <v>0.1374292471498568</v>
      </c>
      <c r="N56" s="24">
        <f t="shared" si="23"/>
        <v>1.5684558545316853E-3</v>
      </c>
      <c r="O56" s="25">
        <f t="shared" si="24"/>
        <v>1.6844477904332973E-2</v>
      </c>
      <c r="P56" s="28">
        <f t="shared" si="25"/>
        <v>1.0170993784990296</v>
      </c>
      <c r="Q56" s="28">
        <f t="shared" si="26"/>
        <v>1.7132508007637704E-2</v>
      </c>
      <c r="R56" s="11">
        <v>100</v>
      </c>
      <c r="S56" s="11">
        <v>100</v>
      </c>
      <c r="T56" s="11">
        <v>154390</v>
      </c>
      <c r="U56" s="21">
        <v>785952913814.55005</v>
      </c>
      <c r="V56" s="21">
        <v>878936562103.28003</v>
      </c>
    </row>
    <row r="57" spans="1:23">
      <c r="A57" s="90">
        <v>50</v>
      </c>
      <c r="B57" s="22" t="s">
        <v>88</v>
      </c>
      <c r="C57" s="22" t="s">
        <v>89</v>
      </c>
      <c r="D57" s="21">
        <v>3650596691.5799999</v>
      </c>
      <c r="E57" s="21">
        <v>69122598.170000002</v>
      </c>
      <c r="F57" s="21">
        <v>0</v>
      </c>
      <c r="G57" s="21">
        <v>5391742.54</v>
      </c>
      <c r="H57" s="13">
        <f t="shared" si="20"/>
        <v>63730855.630000003</v>
      </c>
      <c r="I57" s="54">
        <v>3758447510.0999999</v>
      </c>
      <c r="J57" s="14">
        <f t="shared" si="13"/>
        <v>2.2124077784958429E-3</v>
      </c>
      <c r="K57" s="54">
        <v>3644121798.1700001</v>
      </c>
      <c r="L57" s="14">
        <f t="shared" si="21"/>
        <v>1.9033544827453412E-3</v>
      </c>
      <c r="M57" s="14">
        <f t="shared" si="22"/>
        <v>-3.0418334065534947E-2</v>
      </c>
      <c r="N57" s="24">
        <f t="shared" si="23"/>
        <v>1.4795725386312878E-3</v>
      </c>
      <c r="O57" s="25">
        <f t="shared" si="24"/>
        <v>1.7488673309987685E-2</v>
      </c>
      <c r="P57" s="28">
        <f t="shared" si="25"/>
        <v>1.0175114719556966</v>
      </c>
      <c r="Q57" s="28">
        <f t="shared" si="26"/>
        <v>1.7794925722197871E-2</v>
      </c>
      <c r="R57" s="11">
        <v>1</v>
      </c>
      <c r="S57" s="11">
        <v>1</v>
      </c>
      <c r="T57" s="11">
        <v>412</v>
      </c>
      <c r="U57" s="21">
        <v>3575861817.75</v>
      </c>
      <c r="V57" s="21">
        <v>3581406105.5900002</v>
      </c>
    </row>
    <row r="58" spans="1:23">
      <c r="A58" s="90">
        <v>51</v>
      </c>
      <c r="B58" s="22" t="s">
        <v>90</v>
      </c>
      <c r="C58" s="22" t="s">
        <v>50</v>
      </c>
      <c r="D58" s="21">
        <v>38833437765.862488</v>
      </c>
      <c r="E58" s="21">
        <v>1671544407</v>
      </c>
      <c r="F58" s="21">
        <v>0</v>
      </c>
      <c r="G58" s="21">
        <v>127434264.90000001</v>
      </c>
      <c r="H58" s="13">
        <f t="shared" si="20"/>
        <v>1544110142.0999999</v>
      </c>
      <c r="I58" s="54">
        <v>76382197888.020004</v>
      </c>
      <c r="J58" s="14">
        <f t="shared" si="13"/>
        <v>4.4962333062240366E-2</v>
      </c>
      <c r="K58" s="54">
        <v>92286533382.419373</v>
      </c>
      <c r="L58" s="14">
        <f t="shared" si="21"/>
        <v>4.8202007709694329E-2</v>
      </c>
      <c r="M58" s="14">
        <f t="shared" si="22"/>
        <v>0.20822044840495285</v>
      </c>
      <c r="N58" s="24">
        <f t="shared" si="23"/>
        <v>1.3808543915279007E-3</v>
      </c>
      <c r="O58" s="25">
        <f t="shared" si="24"/>
        <v>1.6731695140194243E-2</v>
      </c>
      <c r="P58" s="28">
        <f t="shared" si="25"/>
        <v>1.0111647434770725</v>
      </c>
      <c r="Q58" s="28">
        <f t="shared" si="26"/>
        <v>1.6918500224371091E-2</v>
      </c>
      <c r="R58" s="11">
        <v>1</v>
      </c>
      <c r="S58" s="11">
        <v>1</v>
      </c>
      <c r="T58" s="11">
        <v>11353</v>
      </c>
      <c r="U58" s="21">
        <v>74481659420.040009</v>
      </c>
      <c r="V58" s="21">
        <v>91267554548.110001</v>
      </c>
    </row>
    <row r="59" spans="1:23">
      <c r="A59" s="90">
        <v>52</v>
      </c>
      <c r="B59" s="84" t="s">
        <v>91</v>
      </c>
      <c r="C59" s="22" t="s">
        <v>92</v>
      </c>
      <c r="D59" s="21">
        <v>1236040840.95</v>
      </c>
      <c r="E59" s="21">
        <v>29710874.039999999</v>
      </c>
      <c r="F59" s="21">
        <v>0</v>
      </c>
      <c r="G59" s="21">
        <v>2054016.41</v>
      </c>
      <c r="H59" s="13">
        <f t="shared" si="20"/>
        <v>27656857.629999999</v>
      </c>
      <c r="I59" s="54">
        <v>1544656888.4400001</v>
      </c>
      <c r="J59" s="14">
        <f t="shared" si="13"/>
        <v>9.0926131225946424E-4</v>
      </c>
      <c r="K59" s="54">
        <v>1501672037.21</v>
      </c>
      <c r="L59" s="14">
        <f t="shared" si="21"/>
        <v>7.8433553046232331E-4</v>
      </c>
      <c r="M59" s="14">
        <f t="shared" si="22"/>
        <v>-2.7828090206759016E-2</v>
      </c>
      <c r="N59" s="24">
        <f t="shared" si="23"/>
        <v>1.3678195765143343E-3</v>
      </c>
      <c r="O59" s="25">
        <f t="shared" si="24"/>
        <v>1.8417375395352289E-2</v>
      </c>
      <c r="P59" s="28">
        <f t="shared" si="25"/>
        <v>1.0667630074075007</v>
      </c>
      <c r="Q59" s="28">
        <f t="shared" si="26"/>
        <v>1.9646974765298916E-2</v>
      </c>
      <c r="R59" s="11">
        <v>1</v>
      </c>
      <c r="S59" s="11">
        <v>1</v>
      </c>
      <c r="T59" s="11">
        <v>144</v>
      </c>
      <c r="U59" s="21">
        <v>1461736838.97</v>
      </c>
      <c r="V59" s="21">
        <v>1407690393.0699999</v>
      </c>
    </row>
    <row r="60" spans="1:23">
      <c r="A60" s="90">
        <v>53</v>
      </c>
      <c r="B60" s="22" t="s">
        <v>93</v>
      </c>
      <c r="C60" s="22" t="s">
        <v>94</v>
      </c>
      <c r="D60" s="21">
        <v>2794798485.5100002</v>
      </c>
      <c r="E60" s="21">
        <v>52970149.810000002</v>
      </c>
      <c r="F60" s="21">
        <v>0</v>
      </c>
      <c r="G60" s="21">
        <v>4699430.72</v>
      </c>
      <c r="H60" s="13">
        <f t="shared" si="20"/>
        <v>48270719.090000004</v>
      </c>
      <c r="I60" s="54">
        <v>3249657773.27</v>
      </c>
      <c r="J60" s="14">
        <f t="shared" si="13"/>
        <v>1.9129090178089884E-3</v>
      </c>
      <c r="K60" s="54">
        <v>2849898222.8299999</v>
      </c>
      <c r="L60" s="14">
        <f t="shared" si="21"/>
        <v>1.4885250434042744E-3</v>
      </c>
      <c r="M60" s="14">
        <f t="shared" si="22"/>
        <v>-0.12301589223585783</v>
      </c>
      <c r="N60" s="24">
        <f t="shared" si="23"/>
        <v>1.648981946917873E-3</v>
      </c>
      <c r="O60" s="25">
        <f t="shared" si="24"/>
        <v>1.6937699284596316E-2</v>
      </c>
      <c r="P60" s="28">
        <f t="shared" si="25"/>
        <v>1.0161222685791005</v>
      </c>
      <c r="Q60" s="28">
        <f t="shared" si="26"/>
        <v>1.7210773421574618E-2</v>
      </c>
      <c r="R60" s="11">
        <v>1</v>
      </c>
      <c r="S60" s="11">
        <v>1</v>
      </c>
      <c r="T60" s="11">
        <v>363</v>
      </c>
      <c r="U60" s="21">
        <v>3115066396.9099998</v>
      </c>
      <c r="V60" s="21">
        <v>2804680411.9499998</v>
      </c>
    </row>
    <row r="61" spans="1:23">
      <c r="A61" s="90">
        <v>54</v>
      </c>
      <c r="B61" s="22" t="s">
        <v>95</v>
      </c>
      <c r="C61" s="22" t="s">
        <v>96</v>
      </c>
      <c r="D61" s="21">
        <v>59919890615.419998</v>
      </c>
      <c r="E61" s="21">
        <v>1206317507.5599999</v>
      </c>
      <c r="F61" s="21">
        <v>0</v>
      </c>
      <c r="G61" s="21">
        <v>71373733.75</v>
      </c>
      <c r="H61" s="13">
        <f t="shared" si="20"/>
        <v>1134943773.8099999</v>
      </c>
      <c r="I61" s="54">
        <v>59109396978.879997</v>
      </c>
      <c r="J61" s="14">
        <f t="shared" si="13"/>
        <v>3.4794709599334894E-2</v>
      </c>
      <c r="K61" s="54">
        <v>61053637462.290001</v>
      </c>
      <c r="L61" s="14">
        <f t="shared" si="21"/>
        <v>3.1888811897043373E-2</v>
      </c>
      <c r="M61" s="14">
        <f t="shared" si="22"/>
        <v>3.2892240198367916E-2</v>
      </c>
      <c r="N61" s="24">
        <f t="shared" si="23"/>
        <v>1.1690332749475286E-3</v>
      </c>
      <c r="O61" s="25">
        <f t="shared" si="24"/>
        <v>1.8589290024054701E-2</v>
      </c>
      <c r="P61" s="28">
        <f t="shared" si="25"/>
        <v>1.0182948132883531</v>
      </c>
      <c r="Q61" s="28">
        <f t="shared" si="26"/>
        <v>1.8929377614207828E-2</v>
      </c>
      <c r="R61" s="11">
        <v>1</v>
      </c>
      <c r="S61" s="11">
        <v>1</v>
      </c>
      <c r="T61" s="11">
        <v>4534</v>
      </c>
      <c r="U61" s="21">
        <v>56690645976.660004</v>
      </c>
      <c r="V61" s="21">
        <v>59956740096.839996</v>
      </c>
    </row>
    <row r="62" spans="1:23" ht="15" customHeight="1">
      <c r="A62" s="117" t="s">
        <v>51</v>
      </c>
      <c r="B62" s="117"/>
      <c r="C62" s="117"/>
      <c r="D62" s="117"/>
      <c r="E62" s="117"/>
      <c r="F62" s="117"/>
      <c r="G62" s="117"/>
      <c r="H62" s="117"/>
      <c r="I62" s="29">
        <f>SUM(I27:I61)</f>
        <v>1698804147513.5601</v>
      </c>
      <c r="J62" s="41">
        <f>(I62/$I$203)</f>
        <v>0.44323215074582462</v>
      </c>
      <c r="K62" s="43">
        <f>SUM(K27:K61)</f>
        <v>1914578619592.6196</v>
      </c>
      <c r="L62" s="41">
        <f>(K62/$K$203)</f>
        <v>0.46893923502098367</v>
      </c>
      <c r="M62" s="41">
        <f t="shared" si="15"/>
        <v>0.12701550817077767</v>
      </c>
      <c r="N62" s="24"/>
      <c r="O62" s="24"/>
      <c r="P62" s="44"/>
      <c r="Q62" s="44"/>
      <c r="R62" s="43"/>
      <c r="S62" s="43"/>
      <c r="T62" s="43">
        <f>SUM(T27:T61)</f>
        <v>348803</v>
      </c>
      <c r="U62" s="43"/>
      <c r="V62" s="43"/>
    </row>
    <row r="63" spans="1:23" ht="6.9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5"/>
    </row>
    <row r="64" spans="1:23">
      <c r="A64" s="120" t="s">
        <v>97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</row>
    <row r="65" spans="1:24">
      <c r="A65" s="90">
        <v>55</v>
      </c>
      <c r="B65" s="22" t="s">
        <v>98</v>
      </c>
      <c r="C65" s="22" t="s">
        <v>24</v>
      </c>
      <c r="D65" s="11">
        <v>495791864.39999998</v>
      </c>
      <c r="E65" s="11">
        <v>8241213.7300000004</v>
      </c>
      <c r="F65" s="11">
        <v>0</v>
      </c>
      <c r="G65" s="11">
        <v>721352.6</v>
      </c>
      <c r="H65" s="13">
        <f>(E65+F65)-G65</f>
        <v>7519861.1300000008</v>
      </c>
      <c r="I65" s="11">
        <v>500089020.86000001</v>
      </c>
      <c r="J65" s="14">
        <f t="shared" ref="J65:J100" si="27">(I65/$I$101)</f>
        <v>2.6804407909276676E-3</v>
      </c>
      <c r="K65" s="11">
        <v>499079528.32999998</v>
      </c>
      <c r="L65" s="14">
        <f t="shared" ref="L65" si="28">(K65/$K$101)</f>
        <v>2.6154499674938977E-3</v>
      </c>
      <c r="M65" s="14">
        <f t="shared" ref="M65:M101" si="29">((K65-I65)/I65)</f>
        <v>-2.0186256604154454E-3</v>
      </c>
      <c r="N65" s="24">
        <f t="shared" ref="N65" si="30">(G65/K65)</f>
        <v>1.4453660369796398E-3</v>
      </c>
      <c r="O65" s="25">
        <f t="shared" ref="O65" si="31">H65/K65</f>
        <v>1.5067460601244576E-2</v>
      </c>
      <c r="P65" s="28">
        <f t="shared" ref="P65" si="32">K65/V65</f>
        <v>1.3492286780149276</v>
      </c>
      <c r="Q65" s="28">
        <f t="shared" ref="Q65" si="33">H65/V65</f>
        <v>2.0329449948059224E-2</v>
      </c>
      <c r="R65" s="11">
        <v>1.31</v>
      </c>
      <c r="S65" s="11">
        <v>1.31</v>
      </c>
      <c r="T65" s="20">
        <v>360</v>
      </c>
      <c r="U65" s="11">
        <v>369110140.75</v>
      </c>
      <c r="V65" s="11">
        <v>369899881.66000003</v>
      </c>
    </row>
    <row r="66" spans="1:24" ht="12.9" customHeight="1">
      <c r="A66" s="90">
        <v>56</v>
      </c>
      <c r="B66" s="22" t="s">
        <v>99</v>
      </c>
      <c r="C66" s="79" t="s">
        <v>26</v>
      </c>
      <c r="D66" s="11">
        <v>1192785016.4300001</v>
      </c>
      <c r="E66" s="11">
        <v>16836978.370000001</v>
      </c>
      <c r="F66" s="11">
        <v>-1753600</v>
      </c>
      <c r="G66" s="11">
        <v>2894706.16</v>
      </c>
      <c r="H66" s="13">
        <f t="shared" ref="H66:H100" si="34">(E66+F66)-G66</f>
        <v>12188672.210000001</v>
      </c>
      <c r="I66" s="11">
        <v>1265601528</v>
      </c>
      <c r="J66" s="14">
        <f t="shared" si="27"/>
        <v>6.7835321696880025E-3</v>
      </c>
      <c r="K66" s="11">
        <v>1310608640</v>
      </c>
      <c r="L66" s="14">
        <f t="shared" ref="L66:L100" si="35">(K66/$K$101)</f>
        <v>6.8683068134557509E-3</v>
      </c>
      <c r="M66" s="14">
        <f t="shared" si="29"/>
        <v>3.5561834435459058E-2</v>
      </c>
      <c r="N66" s="24">
        <f t="shared" ref="N66:N100" si="36">(G66/K66)</f>
        <v>2.2086731856124494E-3</v>
      </c>
      <c r="O66" s="25">
        <f t="shared" ref="O66:O100" si="37">H66/K66</f>
        <v>9.3000090477047374E-3</v>
      </c>
      <c r="P66" s="28">
        <f t="shared" ref="P66:P100" si="38">K66/V66</f>
        <v>1.1925294949061611</v>
      </c>
      <c r="Q66" s="28">
        <f t="shared" ref="Q66:Q100" si="39">H66/V66</f>
        <v>1.1090535092282057E-2</v>
      </c>
      <c r="R66" s="11">
        <v>1.1924999999999999</v>
      </c>
      <c r="S66" s="11">
        <v>1.1924999999999999</v>
      </c>
      <c r="T66" s="20">
        <v>846</v>
      </c>
      <c r="U66" s="11">
        <v>1068906028</v>
      </c>
      <c r="V66" s="11">
        <v>1099015702</v>
      </c>
    </row>
    <row r="67" spans="1:24" ht="15" customHeight="1">
      <c r="A67" s="90">
        <v>57</v>
      </c>
      <c r="B67" s="22" t="s">
        <v>100</v>
      </c>
      <c r="C67" s="22" t="s">
        <v>101</v>
      </c>
      <c r="D67" s="11">
        <v>772114614.33000004</v>
      </c>
      <c r="E67" s="11">
        <v>10568114.279999999</v>
      </c>
      <c r="F67" s="11">
        <v>0</v>
      </c>
      <c r="G67" s="11">
        <v>2169100.13</v>
      </c>
      <c r="H67" s="13">
        <f t="shared" si="34"/>
        <v>8399014.1499999985</v>
      </c>
      <c r="I67" s="11">
        <v>810518596</v>
      </c>
      <c r="J67" s="14">
        <f t="shared" si="27"/>
        <v>4.3443207427103815E-3</v>
      </c>
      <c r="K67" s="11">
        <v>847458073</v>
      </c>
      <c r="L67" s="14">
        <f t="shared" si="35"/>
        <v>4.4411442739336598E-3</v>
      </c>
      <c r="M67" s="14">
        <f t="shared" si="29"/>
        <v>4.5575113491905621E-2</v>
      </c>
      <c r="N67" s="24">
        <f t="shared" si="36"/>
        <v>2.5595368067253045E-3</v>
      </c>
      <c r="O67" s="25">
        <f t="shared" si="37"/>
        <v>9.9108314825151218E-3</v>
      </c>
      <c r="P67" s="28">
        <f t="shared" si="38"/>
        <v>1.084447066304375</v>
      </c>
      <c r="Q67" s="28">
        <f t="shared" si="39"/>
        <v>1.0747772125850565E-2</v>
      </c>
      <c r="R67" s="11">
        <v>1.0844</v>
      </c>
      <c r="S67" s="11">
        <v>1.0844</v>
      </c>
      <c r="T67" s="20">
        <v>211</v>
      </c>
      <c r="U67" s="11">
        <v>755022475</v>
      </c>
      <c r="V67" s="11">
        <v>781465596</v>
      </c>
    </row>
    <row r="68" spans="1:24">
      <c r="A68" s="90">
        <v>58</v>
      </c>
      <c r="B68" s="22" t="s">
        <v>102</v>
      </c>
      <c r="C68" s="79" t="s">
        <v>103</v>
      </c>
      <c r="D68" s="11">
        <v>218189781.00999999</v>
      </c>
      <c r="E68" s="11">
        <v>4026110.15</v>
      </c>
      <c r="F68" s="11">
        <v>0</v>
      </c>
      <c r="G68" s="11">
        <v>449196.1</v>
      </c>
      <c r="H68" s="13">
        <f t="shared" si="34"/>
        <v>3576914.05</v>
      </c>
      <c r="I68" s="11">
        <v>267883002.94999999</v>
      </c>
      <c r="J68" s="14">
        <f t="shared" si="27"/>
        <v>1.435833418355316E-3</v>
      </c>
      <c r="K68" s="11">
        <v>260891098.21000001</v>
      </c>
      <c r="L68" s="14">
        <f t="shared" si="35"/>
        <v>1.3672121888389935E-3</v>
      </c>
      <c r="M68" s="14">
        <f t="shared" si="29"/>
        <v>-2.6100591164811639E-2</v>
      </c>
      <c r="N68" s="24">
        <f t="shared" si="36"/>
        <v>1.7217762625171172E-3</v>
      </c>
      <c r="O68" s="25">
        <f t="shared" si="37"/>
        <v>1.371037216118743E-2</v>
      </c>
      <c r="P68" s="28">
        <f t="shared" si="38"/>
        <v>1040.4430636490529</v>
      </c>
      <c r="Q68" s="28">
        <f t="shared" si="39"/>
        <v>14.264861615154535</v>
      </c>
      <c r="R68" s="11">
        <v>1040.44</v>
      </c>
      <c r="S68" s="11">
        <v>1040.44</v>
      </c>
      <c r="T68" s="20">
        <v>112</v>
      </c>
      <c r="U68" s="11">
        <v>251110</v>
      </c>
      <c r="V68" s="11">
        <v>250750</v>
      </c>
    </row>
    <row r="69" spans="1:24">
      <c r="A69" s="90">
        <v>59</v>
      </c>
      <c r="B69" s="22" t="s">
        <v>104</v>
      </c>
      <c r="C69" s="79" t="s">
        <v>105</v>
      </c>
      <c r="D69" s="11">
        <v>1605359774.3900001</v>
      </c>
      <c r="E69" s="11">
        <v>20150327.100000001</v>
      </c>
      <c r="F69" s="11">
        <v>0</v>
      </c>
      <c r="G69" s="11">
        <v>3337765.34</v>
      </c>
      <c r="H69" s="13">
        <f t="shared" si="34"/>
        <v>16812561.760000002</v>
      </c>
      <c r="I69" s="11">
        <v>1701679764.8699999</v>
      </c>
      <c r="J69" s="14">
        <f t="shared" si="27"/>
        <v>9.1208798125777552E-3</v>
      </c>
      <c r="K69" s="11">
        <v>1622006655.1800001</v>
      </c>
      <c r="L69" s="14">
        <f t="shared" si="35"/>
        <v>8.5002028990464815E-3</v>
      </c>
      <c r="M69" s="14">
        <f t="shared" si="29"/>
        <v>-4.6820272142148005E-2</v>
      </c>
      <c r="N69" s="24">
        <f t="shared" si="36"/>
        <v>2.0578000277252841E-3</v>
      </c>
      <c r="O69" s="25">
        <f t="shared" si="37"/>
        <v>1.0365285312676014E-2</v>
      </c>
      <c r="P69" s="28">
        <f t="shared" si="38"/>
        <v>1.0419047917295328</v>
      </c>
      <c r="Q69" s="28">
        <f t="shared" si="39"/>
        <v>1.0799640434920887E-2</v>
      </c>
      <c r="R69" s="11">
        <v>1.0482</v>
      </c>
      <c r="S69" s="11">
        <v>1.0482</v>
      </c>
      <c r="T69" s="20">
        <v>879</v>
      </c>
      <c r="U69" s="11">
        <v>1545604756.95</v>
      </c>
      <c r="V69" s="11">
        <v>1556770511.1400001</v>
      </c>
    </row>
    <row r="70" spans="1:24">
      <c r="A70" s="90">
        <v>60</v>
      </c>
      <c r="B70" s="22" t="s">
        <v>106</v>
      </c>
      <c r="C70" s="22" t="s">
        <v>107</v>
      </c>
      <c r="D70" s="11">
        <v>445933913.44</v>
      </c>
      <c r="E70" s="11">
        <v>5681384.1900000004</v>
      </c>
      <c r="F70" s="11">
        <v>0</v>
      </c>
      <c r="G70" s="11">
        <v>935619.58</v>
      </c>
      <c r="H70" s="13">
        <f t="shared" si="34"/>
        <v>4745764.6100000003</v>
      </c>
      <c r="I70" s="11">
        <v>428091905.77999997</v>
      </c>
      <c r="J70" s="14">
        <f t="shared" si="27"/>
        <v>2.2945414889240521E-3</v>
      </c>
      <c r="K70" s="11">
        <v>432937670.38999999</v>
      </c>
      <c r="L70" s="14">
        <f t="shared" si="35"/>
        <v>2.26883042014838E-3</v>
      </c>
      <c r="M70" s="14">
        <f t="shared" si="29"/>
        <v>1.131944926912562E-2</v>
      </c>
      <c r="N70" s="24">
        <f t="shared" si="36"/>
        <v>2.161095335402837E-3</v>
      </c>
      <c r="O70" s="25">
        <f t="shared" si="37"/>
        <v>1.096177333269454E-2</v>
      </c>
      <c r="P70" s="28">
        <f t="shared" si="38"/>
        <v>2.4904339511551989</v>
      </c>
      <c r="Q70" s="28">
        <f t="shared" si="39"/>
        <v>2.7299572472610154E-2</v>
      </c>
      <c r="R70" s="11">
        <v>2.4903</v>
      </c>
      <c r="S70" s="11">
        <v>2.4903</v>
      </c>
      <c r="T70" s="20">
        <v>1392</v>
      </c>
      <c r="U70" s="11">
        <v>173799753.31</v>
      </c>
      <c r="V70" s="11">
        <v>173840253.90000001</v>
      </c>
    </row>
    <row r="71" spans="1:24">
      <c r="A71" s="90">
        <v>61</v>
      </c>
      <c r="B71" s="71" t="s">
        <v>250</v>
      </c>
      <c r="C71" s="73" t="s">
        <v>219</v>
      </c>
      <c r="D71" s="11">
        <v>145255155.49000001</v>
      </c>
      <c r="E71" s="11">
        <v>12444596.66</v>
      </c>
      <c r="F71" s="11">
        <v>0</v>
      </c>
      <c r="G71" s="11">
        <v>356405.69</v>
      </c>
      <c r="H71" s="13">
        <f t="shared" si="34"/>
        <v>12088190.970000001</v>
      </c>
      <c r="I71" s="11">
        <v>142215037.52000001</v>
      </c>
      <c r="J71" s="14">
        <f t="shared" si="27"/>
        <v>7.6226226081982601E-4</v>
      </c>
      <c r="K71" s="11">
        <v>138469280.91999999</v>
      </c>
      <c r="L71" s="14">
        <f t="shared" si="35"/>
        <v>7.2565484201077323E-4</v>
      </c>
      <c r="M71" s="14">
        <f t="shared" si="29"/>
        <v>-2.6338681656454577E-2</v>
      </c>
      <c r="N71" s="24">
        <f t="shared" si="36"/>
        <v>2.5738971678917854E-3</v>
      </c>
      <c r="O71" s="25">
        <f t="shared" si="37"/>
        <v>8.7298719901520244E-2</v>
      </c>
      <c r="P71" s="28">
        <f t="shared" si="38"/>
        <v>10.664432845445383</v>
      </c>
      <c r="Q71" s="28">
        <f t="shared" si="39"/>
        <v>0.93099133588310901</v>
      </c>
      <c r="R71" s="11">
        <v>10.61</v>
      </c>
      <c r="S71" s="11">
        <v>10.66</v>
      </c>
      <c r="T71" s="20">
        <v>29</v>
      </c>
      <c r="U71" s="11">
        <v>12984214.25</v>
      </c>
      <c r="V71" s="11">
        <v>12984214.25</v>
      </c>
    </row>
    <row r="72" spans="1:24">
      <c r="A72" s="90">
        <v>62</v>
      </c>
      <c r="B72" s="79" t="s">
        <v>108</v>
      </c>
      <c r="C72" s="22" t="s">
        <v>60</v>
      </c>
      <c r="D72" s="11">
        <v>2019182266.72</v>
      </c>
      <c r="E72" s="11">
        <v>18952295.359999999</v>
      </c>
      <c r="F72" s="11">
        <v>0</v>
      </c>
      <c r="G72" s="11">
        <v>3594541.65</v>
      </c>
      <c r="H72" s="13">
        <f t="shared" si="34"/>
        <v>15357753.709999999</v>
      </c>
      <c r="I72" s="11">
        <v>1962619851.0599999</v>
      </c>
      <c r="J72" s="14">
        <f t="shared" si="27"/>
        <v>1.0519499701910746E-2</v>
      </c>
      <c r="K72" s="11">
        <v>2010044243.8599999</v>
      </c>
      <c r="L72" s="14">
        <f t="shared" si="35"/>
        <v>1.0533732308869221E-2</v>
      </c>
      <c r="M72" s="14">
        <f t="shared" si="29"/>
        <v>2.416381999518975E-2</v>
      </c>
      <c r="N72" s="24">
        <f t="shared" si="36"/>
        <v>1.7882898155003799E-3</v>
      </c>
      <c r="O72" s="25">
        <f t="shared" si="37"/>
        <v>7.6405053057477228E-3</v>
      </c>
      <c r="P72" s="28">
        <f t="shared" si="38"/>
        <v>4422.8922540710391</v>
      </c>
      <c r="Q72" s="28">
        <f t="shared" si="39"/>
        <v>33.793131733980282</v>
      </c>
      <c r="R72" s="11">
        <v>4422.9799999999996</v>
      </c>
      <c r="S72" s="11">
        <v>4422.8900000000003</v>
      </c>
      <c r="T72" s="20">
        <v>1043</v>
      </c>
      <c r="U72" s="11">
        <v>447331.99</v>
      </c>
      <c r="V72" s="11">
        <v>454463.76</v>
      </c>
    </row>
    <row r="73" spans="1:24">
      <c r="A73" s="90">
        <v>63</v>
      </c>
      <c r="B73" s="22" t="s">
        <v>109</v>
      </c>
      <c r="C73" s="22" t="s">
        <v>62</v>
      </c>
      <c r="D73" s="11">
        <v>321532764.67000002</v>
      </c>
      <c r="E73" s="11">
        <v>4490297.24</v>
      </c>
      <c r="F73" s="11">
        <v>0</v>
      </c>
      <c r="G73" s="11">
        <v>727311.13</v>
      </c>
      <c r="H73" s="13">
        <f t="shared" si="34"/>
        <v>3762986.1100000003</v>
      </c>
      <c r="I73" s="11">
        <v>353655637.61000001</v>
      </c>
      <c r="J73" s="14">
        <f t="shared" si="27"/>
        <v>1.8955685037059763E-3</v>
      </c>
      <c r="K73" s="11">
        <v>357897863.97000003</v>
      </c>
      <c r="L73" s="14">
        <f t="shared" si="35"/>
        <v>1.8755807512656187E-3</v>
      </c>
      <c r="M73" s="14">
        <f t="shared" si="29"/>
        <v>1.1995359069259923E-2</v>
      </c>
      <c r="N73" s="24">
        <f t="shared" si="36"/>
        <v>2.0321751069767914E-3</v>
      </c>
      <c r="O73" s="25">
        <f t="shared" si="37"/>
        <v>1.0514134027677305E-2</v>
      </c>
      <c r="P73" s="28">
        <f t="shared" si="38"/>
        <v>110.9943916236725</v>
      </c>
      <c r="Q73" s="28">
        <f t="shared" si="39"/>
        <v>1.1670099098517959</v>
      </c>
      <c r="R73" s="11">
        <v>111.03</v>
      </c>
      <c r="S73" s="11">
        <v>111.03</v>
      </c>
      <c r="T73" s="20">
        <v>136</v>
      </c>
      <c r="U73" s="11">
        <v>3218813</v>
      </c>
      <c r="V73" s="11">
        <v>3224468</v>
      </c>
      <c r="W73" s="17"/>
      <c r="X73" s="17"/>
    </row>
    <row r="74" spans="1:24">
      <c r="A74" s="90">
        <v>64</v>
      </c>
      <c r="B74" s="79" t="s">
        <v>110</v>
      </c>
      <c r="C74" s="79" t="s">
        <v>66</v>
      </c>
      <c r="D74" s="11">
        <v>351215743.01999998</v>
      </c>
      <c r="E74" s="11">
        <v>-9899607.6500000004</v>
      </c>
      <c r="F74" s="11">
        <v>-10025242.98</v>
      </c>
      <c r="G74" s="11">
        <v>734580.02</v>
      </c>
      <c r="H74" s="13">
        <f t="shared" si="34"/>
        <v>-20659430.650000002</v>
      </c>
      <c r="I74" s="11">
        <v>349363334.85000002</v>
      </c>
      <c r="J74" s="14">
        <f t="shared" si="27"/>
        <v>1.8725620730006395E-3</v>
      </c>
      <c r="K74" s="11">
        <v>349699286.05000001</v>
      </c>
      <c r="L74" s="14">
        <f t="shared" si="35"/>
        <v>1.8326157143583508E-3</v>
      </c>
      <c r="M74" s="14">
        <f t="shared" si="29"/>
        <v>9.6160978124458746E-4</v>
      </c>
      <c r="N74" s="24">
        <f t="shared" si="36"/>
        <v>2.1006048605285679E-3</v>
      </c>
      <c r="O74" s="25">
        <f t="shared" si="37"/>
        <v>-5.9077703255722737E-2</v>
      </c>
      <c r="P74" s="28">
        <f t="shared" si="38"/>
        <v>1.3651977909737933</v>
      </c>
      <c r="Q74" s="28">
        <f t="shared" si="39"/>
        <v>-8.0652749980517954E-2</v>
      </c>
      <c r="R74" s="11">
        <v>1.3652</v>
      </c>
      <c r="S74" s="11">
        <v>1.3652</v>
      </c>
      <c r="T74" s="20">
        <v>234</v>
      </c>
      <c r="U74" s="11">
        <v>250126618.49000001</v>
      </c>
      <c r="V74" s="11">
        <v>256152836.13999999</v>
      </c>
    </row>
    <row r="75" spans="1:24">
      <c r="A75" s="90">
        <v>65</v>
      </c>
      <c r="B75" s="71" t="s">
        <v>263</v>
      </c>
      <c r="C75" s="73" t="s">
        <v>66</v>
      </c>
      <c r="D75" s="19">
        <v>19769803.530000001</v>
      </c>
      <c r="E75" s="11">
        <v>314703.21000000002</v>
      </c>
      <c r="F75" s="11">
        <v>0</v>
      </c>
      <c r="G75" s="11">
        <v>376314.09</v>
      </c>
      <c r="H75" s="13">
        <f t="shared" si="34"/>
        <v>-61610.880000000005</v>
      </c>
      <c r="I75" s="11">
        <v>22389834.760000002</v>
      </c>
      <c r="J75" s="14">
        <f t="shared" si="27"/>
        <v>1.2000788637516458E-4</v>
      </c>
      <c r="K75" s="11">
        <v>22378223.879999999</v>
      </c>
      <c r="L75" s="14">
        <f t="shared" si="35"/>
        <v>1.1727414489503303E-4</v>
      </c>
      <c r="M75" s="14">
        <f t="shared" si="29"/>
        <v>-5.1857819070401574E-4</v>
      </c>
      <c r="N75" s="24">
        <f t="shared" si="36"/>
        <v>1.6816083886635958E-2</v>
      </c>
      <c r="O75" s="25">
        <f t="shared" si="37"/>
        <v>-2.7531621959981933E-3</v>
      </c>
      <c r="P75" s="28">
        <f t="shared" si="38"/>
        <v>0.89313437300748755</v>
      </c>
      <c r="Q75" s="28">
        <f t="shared" si="39"/>
        <v>-2.4589437917107637E-3</v>
      </c>
      <c r="R75" s="20">
        <v>0.89559999999999995</v>
      </c>
      <c r="S75" s="21">
        <v>0.89559999999999995</v>
      </c>
      <c r="T75" s="20">
        <v>1</v>
      </c>
      <c r="U75" s="11">
        <v>25000000</v>
      </c>
      <c r="V75" s="11">
        <v>25055830.965999998</v>
      </c>
    </row>
    <row r="76" spans="1:24">
      <c r="A76" s="90">
        <v>66</v>
      </c>
      <c r="B76" s="22" t="s">
        <v>244</v>
      </c>
      <c r="C76" s="22" t="s">
        <v>48</v>
      </c>
      <c r="D76" s="11">
        <v>92481316.799999997</v>
      </c>
      <c r="E76" s="11">
        <v>4088761.58</v>
      </c>
      <c r="F76" s="11">
        <v>0</v>
      </c>
      <c r="G76" s="11">
        <v>2893331.85</v>
      </c>
      <c r="H76" s="13">
        <f t="shared" si="34"/>
        <v>1195429.73</v>
      </c>
      <c r="I76" s="11">
        <v>116855057.58</v>
      </c>
      <c r="J76" s="14">
        <f t="shared" si="27"/>
        <v>6.2633461223560866E-4</v>
      </c>
      <c r="K76" s="11">
        <v>121377855.45</v>
      </c>
      <c r="L76" s="14">
        <f t="shared" si="35"/>
        <v>6.3608641523214913E-4</v>
      </c>
      <c r="M76" s="14">
        <f t="shared" si="29"/>
        <v>3.8704339920449381E-2</v>
      </c>
      <c r="N76" s="24">
        <f t="shared" si="36"/>
        <v>2.3837394714819868E-2</v>
      </c>
      <c r="O76" s="25">
        <f t="shared" si="37"/>
        <v>9.848828895254633E-3</v>
      </c>
      <c r="P76" s="28">
        <f t="shared" si="38"/>
        <v>132.43627515489445</v>
      </c>
      <c r="Q76" s="28">
        <f t="shared" si="39"/>
        <v>1.3043422135254175</v>
      </c>
      <c r="R76" s="11">
        <v>132.12139999999999</v>
      </c>
      <c r="S76" s="11">
        <v>132.12139999999999</v>
      </c>
      <c r="T76" s="20">
        <v>36</v>
      </c>
      <c r="U76" s="11">
        <v>894040.2</v>
      </c>
      <c r="V76" s="11">
        <v>916500.07</v>
      </c>
    </row>
    <row r="77" spans="1:24">
      <c r="A77" s="90">
        <v>67</v>
      </c>
      <c r="B77" s="22" t="s">
        <v>111</v>
      </c>
      <c r="C77" s="22" t="s">
        <v>112</v>
      </c>
      <c r="D77" s="11">
        <v>1348449908.6600001</v>
      </c>
      <c r="E77" s="11">
        <v>24862030.640000001</v>
      </c>
      <c r="F77" s="11">
        <v>0</v>
      </c>
      <c r="G77" s="11">
        <v>2580952.54</v>
      </c>
      <c r="H77" s="13">
        <f t="shared" si="34"/>
        <v>22281078.100000001</v>
      </c>
      <c r="I77" s="11">
        <v>1650001177.1600001</v>
      </c>
      <c r="J77" s="14">
        <f t="shared" si="27"/>
        <v>8.843886339941218E-3</v>
      </c>
      <c r="K77" s="11">
        <v>1630654541.95</v>
      </c>
      <c r="L77" s="14">
        <f t="shared" si="35"/>
        <v>8.5455225603180453E-3</v>
      </c>
      <c r="M77" s="14">
        <f t="shared" si="29"/>
        <v>-1.1725225095475191E-2</v>
      </c>
      <c r="N77" s="24">
        <f t="shared" si="36"/>
        <v>1.5827708896046103E-3</v>
      </c>
      <c r="O77" s="25">
        <f t="shared" si="37"/>
        <v>1.3663886204465738E-2</v>
      </c>
      <c r="P77" s="28">
        <f t="shared" si="38"/>
        <v>1060.0415867135948</v>
      </c>
      <c r="Q77" s="28">
        <f t="shared" si="39"/>
        <v>14.484287612855859</v>
      </c>
      <c r="R77" s="11">
        <v>1000</v>
      </c>
      <c r="S77" s="11">
        <v>1000</v>
      </c>
      <c r="T77" s="20">
        <v>348</v>
      </c>
      <c r="U77" s="11">
        <v>1555951.99</v>
      </c>
      <c r="V77" s="11">
        <v>1538292.99</v>
      </c>
    </row>
    <row r="78" spans="1:24">
      <c r="A78" s="90">
        <v>68</v>
      </c>
      <c r="B78" s="22" t="s">
        <v>113</v>
      </c>
      <c r="C78" s="22" t="s">
        <v>68</v>
      </c>
      <c r="D78" s="11">
        <v>175659363.03</v>
      </c>
      <c r="E78" s="11">
        <v>2224533.2400000002</v>
      </c>
      <c r="F78" s="11">
        <v>0</v>
      </c>
      <c r="G78" s="11">
        <v>618272.64</v>
      </c>
      <c r="H78" s="13">
        <f t="shared" si="34"/>
        <v>1606260.6</v>
      </c>
      <c r="I78" s="11">
        <v>199172372.78999999</v>
      </c>
      <c r="J78" s="14">
        <f t="shared" si="27"/>
        <v>1.0675494365664643E-3</v>
      </c>
      <c r="K78" s="11">
        <v>190450946.75999999</v>
      </c>
      <c r="L78" s="14">
        <f t="shared" si="35"/>
        <v>9.9806723024564096E-4</v>
      </c>
      <c r="M78" s="14">
        <f t="shared" si="29"/>
        <v>-4.3788332226154435E-2</v>
      </c>
      <c r="N78" s="24">
        <f t="shared" si="36"/>
        <v>3.2463615987119603E-3</v>
      </c>
      <c r="O78" s="25">
        <f t="shared" si="37"/>
        <v>8.4339859020189419E-3</v>
      </c>
      <c r="P78" s="28">
        <f t="shared" si="38"/>
        <v>1022.4620934465041</v>
      </c>
      <c r="Q78" s="28">
        <f t="shared" si="39"/>
        <v>8.6234308814765903</v>
      </c>
      <c r="R78" s="11">
        <v>1022.46</v>
      </c>
      <c r="S78" s="11">
        <v>1025.3</v>
      </c>
      <c r="T78" s="20">
        <v>281</v>
      </c>
      <c r="U78" s="11">
        <v>191710</v>
      </c>
      <c r="V78" s="11">
        <v>186267</v>
      </c>
    </row>
    <row r="79" spans="1:24">
      <c r="A79" s="90">
        <v>69</v>
      </c>
      <c r="B79" s="22" t="s">
        <v>114</v>
      </c>
      <c r="C79" s="79" t="s">
        <v>71</v>
      </c>
      <c r="D79" s="11">
        <v>636704090.78999996</v>
      </c>
      <c r="E79" s="11">
        <v>7848462.0499999998</v>
      </c>
      <c r="F79" s="11">
        <v>0</v>
      </c>
      <c r="G79" s="11">
        <v>1390696.88</v>
      </c>
      <c r="H79" s="13">
        <f t="shared" si="34"/>
        <v>6457765.1699999999</v>
      </c>
      <c r="I79" s="11">
        <v>688346750.12</v>
      </c>
      <c r="J79" s="14">
        <f t="shared" si="27"/>
        <v>3.689488531764169E-3</v>
      </c>
      <c r="K79" s="11">
        <v>624417413.99000001</v>
      </c>
      <c r="L79" s="14">
        <f t="shared" si="35"/>
        <v>3.2722891090874676E-3</v>
      </c>
      <c r="M79" s="14">
        <f t="shared" si="29"/>
        <v>-9.2873738590114857E-2</v>
      </c>
      <c r="N79" s="24">
        <f t="shared" si="36"/>
        <v>2.2271910565618397E-3</v>
      </c>
      <c r="O79" s="25">
        <f t="shared" si="37"/>
        <v>1.0342064499346939E-2</v>
      </c>
      <c r="P79" s="28">
        <f t="shared" si="38"/>
        <v>1.1422318213991955</v>
      </c>
      <c r="Q79" s="28">
        <f t="shared" si="39"/>
        <v>1.1813035170117014E-2</v>
      </c>
      <c r="R79" s="11">
        <v>1.1405000000000001</v>
      </c>
      <c r="S79" s="11">
        <v>1.1405000000000001</v>
      </c>
      <c r="T79" s="20">
        <v>48</v>
      </c>
      <c r="U79" s="11">
        <v>594614371</v>
      </c>
      <c r="V79" s="11">
        <v>546664348.07000005</v>
      </c>
    </row>
    <row r="80" spans="1:24">
      <c r="A80" s="90">
        <v>70</v>
      </c>
      <c r="B80" s="22" t="s">
        <v>251</v>
      </c>
      <c r="C80" s="22" t="s">
        <v>30</v>
      </c>
      <c r="D80" s="11">
        <v>13496470917.6</v>
      </c>
      <c r="E80" s="11">
        <v>180894911.61000001</v>
      </c>
      <c r="F80" s="11">
        <v>0</v>
      </c>
      <c r="G80" s="11">
        <v>16161971.609999999</v>
      </c>
      <c r="H80" s="13">
        <f t="shared" si="34"/>
        <v>164732940</v>
      </c>
      <c r="I80" s="11">
        <v>13772206535.9</v>
      </c>
      <c r="J80" s="14">
        <f t="shared" si="27"/>
        <v>7.3818025671556403E-2</v>
      </c>
      <c r="K80" s="11">
        <v>13209840595.09</v>
      </c>
      <c r="L80" s="14">
        <f t="shared" si="35"/>
        <v>6.9226796920796294E-2</v>
      </c>
      <c r="M80" s="14">
        <f t="shared" si="29"/>
        <v>-4.083339436887478E-2</v>
      </c>
      <c r="N80" s="24">
        <f t="shared" si="36"/>
        <v>1.2234796849863038E-3</v>
      </c>
      <c r="O80" s="25">
        <f t="shared" si="37"/>
        <v>1.247047144999085E-2</v>
      </c>
      <c r="P80" s="28">
        <f t="shared" si="38"/>
        <v>1697.2750460065379</v>
      </c>
      <c r="Q80" s="28">
        <f t="shared" si="39"/>
        <v>21.165820004006438</v>
      </c>
      <c r="R80" s="11">
        <v>1697.27</v>
      </c>
      <c r="S80" s="11">
        <v>1697.27</v>
      </c>
      <c r="T80" s="20">
        <v>2160</v>
      </c>
      <c r="U80" s="11">
        <v>8134871.0499999998</v>
      </c>
      <c r="V80" s="11">
        <v>7782969.9000000004</v>
      </c>
    </row>
    <row r="81" spans="1:22" ht="14.4" customHeight="1">
      <c r="A81" s="90">
        <v>71</v>
      </c>
      <c r="B81" s="22" t="s">
        <v>115</v>
      </c>
      <c r="C81" s="22" t="s">
        <v>77</v>
      </c>
      <c r="D81" s="11">
        <v>22611911.629999999</v>
      </c>
      <c r="E81" s="11">
        <v>293770.99</v>
      </c>
      <c r="F81" s="11">
        <v>0</v>
      </c>
      <c r="G81" s="11">
        <v>246567.92</v>
      </c>
      <c r="H81" s="13">
        <f t="shared" si="34"/>
        <v>47203.069999999978</v>
      </c>
      <c r="I81" s="11">
        <v>23497630.260000002</v>
      </c>
      <c r="J81" s="14">
        <f t="shared" si="27"/>
        <v>1.2594558970866246E-4</v>
      </c>
      <c r="K81" s="11">
        <v>23786026.649999999</v>
      </c>
      <c r="L81" s="14">
        <f t="shared" si="35"/>
        <v>1.246518021621123E-4</v>
      </c>
      <c r="M81" s="14">
        <f t="shared" si="29"/>
        <v>1.2273424460633115E-2</v>
      </c>
      <c r="N81" s="24">
        <f t="shared" si="36"/>
        <v>1.0366082726977859E-2</v>
      </c>
      <c r="O81" s="25">
        <f t="shared" si="37"/>
        <v>1.9844873923068602E-3</v>
      </c>
      <c r="P81" s="28">
        <f t="shared" si="38"/>
        <v>0.72549281143221422</v>
      </c>
      <c r="Q81" s="28">
        <f t="shared" si="39"/>
        <v>1.4397313374964874E-3</v>
      </c>
      <c r="R81" s="11">
        <v>0.71489999999999998</v>
      </c>
      <c r="S81" s="11">
        <v>0.71489999999999998</v>
      </c>
      <c r="T81" s="20">
        <v>746</v>
      </c>
      <c r="U81" s="11">
        <v>32786026.649999999</v>
      </c>
      <c r="V81" s="11">
        <v>32786026.649999999</v>
      </c>
    </row>
    <row r="82" spans="1:22" ht="14.4" customHeight="1">
      <c r="A82" s="90">
        <v>72</v>
      </c>
      <c r="B82" s="22" t="s">
        <v>245</v>
      </c>
      <c r="C82" s="79" t="s">
        <v>36</v>
      </c>
      <c r="D82" s="11">
        <v>11923387467.01</v>
      </c>
      <c r="E82" s="11">
        <v>81727014.560000002</v>
      </c>
      <c r="F82" s="11">
        <v>0</v>
      </c>
      <c r="G82" s="11">
        <v>4174128.72</v>
      </c>
      <c r="H82" s="13">
        <f t="shared" si="34"/>
        <v>77552885.840000004</v>
      </c>
      <c r="I82" s="11">
        <v>9498828831.75</v>
      </c>
      <c r="J82" s="14">
        <f t="shared" si="27"/>
        <v>5.0913031889556974E-2</v>
      </c>
      <c r="K82" s="11">
        <v>9751162475.4200001</v>
      </c>
      <c r="L82" s="14">
        <f t="shared" si="35"/>
        <v>5.110142999594542E-2</v>
      </c>
      <c r="M82" s="14">
        <f t="shared" si="29"/>
        <v>2.6564711096442806E-2</v>
      </c>
      <c r="N82" s="24">
        <f t="shared" si="36"/>
        <v>4.2806472874611936E-4</v>
      </c>
      <c r="O82" s="25">
        <f t="shared" si="37"/>
        <v>7.9531938920605113E-3</v>
      </c>
      <c r="P82" s="28">
        <f t="shared" si="38"/>
        <v>1</v>
      </c>
      <c r="Q82" s="28">
        <f t="shared" si="39"/>
        <v>7.9531938920605113E-3</v>
      </c>
      <c r="R82" s="11">
        <v>1</v>
      </c>
      <c r="S82" s="11">
        <v>1</v>
      </c>
      <c r="T82" s="20">
        <v>4294</v>
      </c>
      <c r="U82" s="11">
        <v>9498828831.75</v>
      </c>
      <c r="V82" s="11">
        <v>9751162475.4200001</v>
      </c>
    </row>
    <row r="83" spans="1:22">
      <c r="A83" s="90">
        <v>73</v>
      </c>
      <c r="B83" s="79" t="s">
        <v>116</v>
      </c>
      <c r="C83" s="79" t="s">
        <v>117</v>
      </c>
      <c r="D83" s="11">
        <v>1127164677.99</v>
      </c>
      <c r="E83" s="11">
        <v>62451568.810000002</v>
      </c>
      <c r="F83" s="11">
        <v>0</v>
      </c>
      <c r="G83" s="11">
        <v>2016718.86</v>
      </c>
      <c r="H83" s="13">
        <f t="shared" si="34"/>
        <v>60434849.950000003</v>
      </c>
      <c r="I83" s="11">
        <v>1396957295.95</v>
      </c>
      <c r="J83" s="14">
        <f t="shared" si="27"/>
        <v>7.4875895351772907E-3</v>
      </c>
      <c r="K83" s="11">
        <v>1107691967.1300001</v>
      </c>
      <c r="L83" s="14">
        <f t="shared" si="35"/>
        <v>5.804912353583434E-3</v>
      </c>
      <c r="M83" s="14">
        <f t="shared" si="29"/>
        <v>-0.20706812560314181</v>
      </c>
      <c r="N83" s="24">
        <f t="shared" si="36"/>
        <v>1.8206495305958244E-3</v>
      </c>
      <c r="O83" s="25">
        <f t="shared" si="37"/>
        <v>5.4559256312551457E-2</v>
      </c>
      <c r="P83" s="28">
        <f t="shared" si="38"/>
        <v>238.92136948608345</v>
      </c>
      <c r="Q83" s="28">
        <f t="shared" si="39"/>
        <v>13.035372236337038</v>
      </c>
      <c r="R83" s="11">
        <v>238.92140000000001</v>
      </c>
      <c r="S83" s="11">
        <v>243.1215</v>
      </c>
      <c r="T83" s="20">
        <v>520</v>
      </c>
      <c r="U83" s="11">
        <v>5819127.5700000003</v>
      </c>
      <c r="V83" s="11">
        <v>4636219.7300000004</v>
      </c>
    </row>
    <row r="84" spans="1:22">
      <c r="A84" s="90">
        <v>74</v>
      </c>
      <c r="B84" s="22" t="s">
        <v>118</v>
      </c>
      <c r="C84" s="79" t="s">
        <v>38</v>
      </c>
      <c r="D84" s="11">
        <v>1102546133.7</v>
      </c>
      <c r="E84" s="11">
        <v>13330898.84</v>
      </c>
      <c r="F84" s="11">
        <v>0</v>
      </c>
      <c r="G84" s="11">
        <v>1658199.95</v>
      </c>
      <c r="H84" s="13">
        <f t="shared" si="34"/>
        <v>11672698.890000001</v>
      </c>
      <c r="I84" s="11">
        <v>1086530951.95</v>
      </c>
      <c r="J84" s="14">
        <f t="shared" si="27"/>
        <v>5.8237269020700441E-3</v>
      </c>
      <c r="K84" s="11">
        <v>1094548526.25</v>
      </c>
      <c r="L84" s="14">
        <f t="shared" si="35"/>
        <v>5.7360335275226217E-3</v>
      </c>
      <c r="M84" s="14">
        <f t="shared" si="29"/>
        <v>7.3790574356034592E-3</v>
      </c>
      <c r="N84" s="24">
        <f t="shared" si="36"/>
        <v>1.5149624801753735E-3</v>
      </c>
      <c r="O84" s="25">
        <f t="shared" si="37"/>
        <v>1.0664395967889597E-2</v>
      </c>
      <c r="P84" s="28">
        <f t="shared" si="38"/>
        <v>3.6503081590595232</v>
      </c>
      <c r="Q84" s="28">
        <f t="shared" si="39"/>
        <v>3.8928331613028874E-2</v>
      </c>
      <c r="R84" s="11">
        <v>3.65</v>
      </c>
      <c r="S84" s="11">
        <v>3.65</v>
      </c>
      <c r="T84" s="20">
        <v>770</v>
      </c>
      <c r="U84" s="11">
        <v>299862233</v>
      </c>
      <c r="V84" s="11">
        <v>299850993</v>
      </c>
    </row>
    <row r="85" spans="1:22">
      <c r="A85" s="90">
        <v>75</v>
      </c>
      <c r="B85" s="71" t="s">
        <v>249</v>
      </c>
      <c r="C85" s="73" t="s">
        <v>40</v>
      </c>
      <c r="D85" s="11">
        <v>569971903.62</v>
      </c>
      <c r="E85" s="11">
        <v>7783566.75</v>
      </c>
      <c r="F85" s="11">
        <v>0</v>
      </c>
      <c r="G85" s="11">
        <v>1207080.05</v>
      </c>
      <c r="H85" s="13">
        <f t="shared" si="34"/>
        <v>6576486.7000000002</v>
      </c>
      <c r="I85" s="11">
        <v>567827503.92999995</v>
      </c>
      <c r="J85" s="14">
        <f t="shared" si="27"/>
        <v>3.0435141349977853E-3</v>
      </c>
      <c r="K85" s="11">
        <v>566616482.89999998</v>
      </c>
      <c r="L85" s="14">
        <f t="shared" si="35"/>
        <v>2.9693805849764607E-3</v>
      </c>
      <c r="M85" s="14">
        <f t="shared" si="29"/>
        <v>-2.1327269665846662E-3</v>
      </c>
      <c r="N85" s="24">
        <f t="shared" si="36"/>
        <v>2.1303299258469206E-3</v>
      </c>
      <c r="O85" s="25">
        <f t="shared" si="37"/>
        <v>1.1606592639770876E-2</v>
      </c>
      <c r="P85" s="28">
        <f t="shared" si="38"/>
        <v>107.17108392117277</v>
      </c>
      <c r="Q85" s="28">
        <f t="shared" si="39"/>
        <v>1.2438911138357507</v>
      </c>
      <c r="R85" s="11">
        <v>105.67</v>
      </c>
      <c r="S85" s="11">
        <v>105.67</v>
      </c>
      <c r="T85" s="20">
        <v>56</v>
      </c>
      <c r="U85" s="11">
        <v>5012830.3899999997</v>
      </c>
      <c r="V85" s="11">
        <v>5287027.6399999997</v>
      </c>
    </row>
    <row r="86" spans="1:22">
      <c r="A86" s="90">
        <v>76</v>
      </c>
      <c r="B86" s="22" t="s">
        <v>248</v>
      </c>
      <c r="C86" s="22" t="s">
        <v>44</v>
      </c>
      <c r="D86" s="11">
        <v>1402597722.5899999</v>
      </c>
      <c r="E86" s="11">
        <v>14355181.630000001</v>
      </c>
      <c r="F86" s="11">
        <v>0</v>
      </c>
      <c r="G86" s="11">
        <v>2613132.44</v>
      </c>
      <c r="H86" s="13">
        <f t="shared" si="34"/>
        <v>11742049.190000001</v>
      </c>
      <c r="I86" s="11">
        <v>1390945029.96</v>
      </c>
      <c r="J86" s="14">
        <f t="shared" si="27"/>
        <v>7.455364226615648E-3</v>
      </c>
      <c r="K86" s="11">
        <v>1405619810.0699999</v>
      </c>
      <c r="L86" s="14">
        <f t="shared" si="35"/>
        <v>7.3662173619061131E-3</v>
      </c>
      <c r="M86" s="14">
        <f t="shared" si="29"/>
        <v>1.0550222901635375E-2</v>
      </c>
      <c r="N86" s="24">
        <f t="shared" si="36"/>
        <v>1.85906062313526E-3</v>
      </c>
      <c r="O86" s="25">
        <f t="shared" si="37"/>
        <v>8.3536452075296565E-3</v>
      </c>
      <c r="P86" s="28">
        <f t="shared" si="38"/>
        <v>98.083272897648584</v>
      </c>
      <c r="Q86" s="28">
        <f t="shared" si="39"/>
        <v>0.81935286258026552</v>
      </c>
      <c r="R86" s="11">
        <v>98.08</v>
      </c>
      <c r="S86" s="11">
        <v>98.08</v>
      </c>
      <c r="T86" s="20">
        <v>250</v>
      </c>
      <c r="U86" s="11">
        <v>14312277</v>
      </c>
      <c r="V86" s="11">
        <v>14330882</v>
      </c>
    </row>
    <row r="87" spans="1:22">
      <c r="A87" s="90">
        <v>77</v>
      </c>
      <c r="B87" s="22" t="s">
        <v>121</v>
      </c>
      <c r="C87" s="22" t="s">
        <v>22</v>
      </c>
      <c r="D87" s="11">
        <v>1392919743.98</v>
      </c>
      <c r="E87" s="11">
        <v>17385188.48</v>
      </c>
      <c r="F87" s="11">
        <v>72413000</v>
      </c>
      <c r="G87" s="11">
        <v>2109679.66</v>
      </c>
      <c r="H87" s="13">
        <f t="shared" si="34"/>
        <v>87688508.820000008</v>
      </c>
      <c r="I87" s="11">
        <v>1354706297.3900001</v>
      </c>
      <c r="J87" s="14">
        <f t="shared" si="27"/>
        <v>7.2611272549158836E-3</v>
      </c>
      <c r="K87" s="11">
        <v>1369338653.6600001</v>
      </c>
      <c r="L87" s="14">
        <f t="shared" si="35"/>
        <v>7.1760842388932395E-3</v>
      </c>
      <c r="M87" s="14">
        <f t="shared" si="29"/>
        <v>1.08011281103446E-2</v>
      </c>
      <c r="N87" s="24">
        <f t="shared" si="36"/>
        <v>1.5406558884182517E-3</v>
      </c>
      <c r="O87" s="25">
        <f t="shared" si="37"/>
        <v>6.4037123749938793E-2</v>
      </c>
      <c r="P87" s="28">
        <f t="shared" si="38"/>
        <v>346.56460397125755</v>
      </c>
      <c r="Q87" s="28">
        <f t="shared" si="39"/>
        <v>22.193000431855953</v>
      </c>
      <c r="R87" s="11">
        <v>346.56</v>
      </c>
      <c r="S87" s="11">
        <v>346.56</v>
      </c>
      <c r="T87" s="20">
        <v>97</v>
      </c>
      <c r="U87" s="11">
        <v>3820625.72</v>
      </c>
      <c r="V87" s="11">
        <v>3951178.62</v>
      </c>
    </row>
    <row r="88" spans="1:22">
      <c r="A88" s="90">
        <v>78</v>
      </c>
      <c r="B88" s="71" t="s">
        <v>252</v>
      </c>
      <c r="C88" s="73" t="s">
        <v>253</v>
      </c>
      <c r="D88" s="11">
        <v>1307605784.53</v>
      </c>
      <c r="E88" s="11">
        <v>19845282.73</v>
      </c>
      <c r="F88" s="11">
        <v>0</v>
      </c>
      <c r="G88" s="11">
        <v>3320237.25</v>
      </c>
      <c r="H88" s="13">
        <f t="shared" si="34"/>
        <v>16525045.48</v>
      </c>
      <c r="I88" s="11">
        <v>1438219476.8099999</v>
      </c>
      <c r="J88" s="14">
        <f t="shared" si="27"/>
        <v>7.7087518244624642E-3</v>
      </c>
      <c r="K88" s="11">
        <v>1384192675.05</v>
      </c>
      <c r="L88" s="14">
        <f t="shared" si="35"/>
        <v>7.2539274433452974E-3</v>
      </c>
      <c r="M88" s="14">
        <f t="shared" si="29"/>
        <v>-3.7565060570471855E-2</v>
      </c>
      <c r="N88" s="24">
        <f t="shared" si="36"/>
        <v>2.3986814190300972E-3</v>
      </c>
      <c r="O88" s="25">
        <f t="shared" si="37"/>
        <v>1.1938399745832409E-2</v>
      </c>
      <c r="P88" s="28">
        <f t="shared" si="38"/>
        <v>101.96108361958017</v>
      </c>
      <c r="Q88" s="28">
        <f t="shared" si="39"/>
        <v>1.2172521747687928</v>
      </c>
      <c r="R88" s="11">
        <v>101.96</v>
      </c>
      <c r="S88" s="11">
        <v>101.96</v>
      </c>
      <c r="T88" s="20">
        <f>358+16+10</f>
        <v>384</v>
      </c>
      <c r="U88" s="11">
        <v>13787845</v>
      </c>
      <c r="V88" s="11">
        <v>13575696</v>
      </c>
    </row>
    <row r="89" spans="1:22">
      <c r="A89" s="90">
        <v>79</v>
      </c>
      <c r="B89" s="79" t="s">
        <v>122</v>
      </c>
      <c r="C89" s="79" t="s">
        <v>42</v>
      </c>
      <c r="D89" s="11">
        <v>58754404</v>
      </c>
      <c r="E89" s="11">
        <v>3351534.24</v>
      </c>
      <c r="F89" s="11">
        <v>0</v>
      </c>
      <c r="G89" s="11">
        <v>159818.79999999999</v>
      </c>
      <c r="H89" s="13">
        <f t="shared" si="34"/>
        <v>3191715.4400000004</v>
      </c>
      <c r="I89" s="11">
        <v>59883333.700000003</v>
      </c>
      <c r="J89" s="14">
        <f t="shared" si="27"/>
        <v>3.2097031458554914E-4</v>
      </c>
      <c r="K89" s="11">
        <v>60404569.689999998</v>
      </c>
      <c r="L89" s="14">
        <f t="shared" si="35"/>
        <v>3.1655301583063706E-4</v>
      </c>
      <c r="M89" s="14">
        <f t="shared" si="29"/>
        <v>8.704191263152649E-3</v>
      </c>
      <c r="N89" s="24">
        <f t="shared" si="36"/>
        <v>2.6458064484226936E-3</v>
      </c>
      <c r="O89" s="25">
        <f t="shared" si="37"/>
        <v>5.2838973216431842E-2</v>
      </c>
      <c r="P89" s="28">
        <f t="shared" si="38"/>
        <v>12.555243634934063</v>
      </c>
      <c r="Q89" s="28">
        <f t="shared" si="39"/>
        <v>0.66340618215205727</v>
      </c>
      <c r="R89" s="11">
        <v>12.26</v>
      </c>
      <c r="S89" s="11">
        <v>12.59</v>
      </c>
      <c r="T89" s="20">
        <v>56</v>
      </c>
      <c r="U89" s="11">
        <v>4811102.95</v>
      </c>
      <c r="V89" s="11">
        <v>4811102.95</v>
      </c>
    </row>
    <row r="90" spans="1:22">
      <c r="A90" s="90">
        <v>80</v>
      </c>
      <c r="B90" s="71" t="s">
        <v>271</v>
      </c>
      <c r="C90" s="73" t="s">
        <v>272</v>
      </c>
      <c r="D90" s="11">
        <v>425993843.69999999</v>
      </c>
      <c r="E90" s="11">
        <v>7734819.9800000004</v>
      </c>
      <c r="F90" s="11">
        <v>0</v>
      </c>
      <c r="G90" s="11">
        <v>788498.1</v>
      </c>
      <c r="H90" s="13">
        <f t="shared" si="34"/>
        <v>6946321.8800000008</v>
      </c>
      <c r="I90" s="11">
        <v>509988024.37</v>
      </c>
      <c r="J90" s="14">
        <f t="shared" si="27"/>
        <v>2.7334987299964166E-3</v>
      </c>
      <c r="K90" s="11">
        <v>413133642.67000002</v>
      </c>
      <c r="L90" s="14">
        <f t="shared" si="35"/>
        <v>2.1650464724680546E-3</v>
      </c>
      <c r="M90" s="14">
        <f t="shared" si="29"/>
        <v>-0.18991501186649715</v>
      </c>
      <c r="N90" s="24">
        <f t="shared" si="36"/>
        <v>1.9085787710342219E-3</v>
      </c>
      <c r="O90" s="25">
        <f t="shared" si="37"/>
        <v>1.6813740549201737E-2</v>
      </c>
      <c r="P90" s="28">
        <f t="shared" si="38"/>
        <v>133.05505502512159</v>
      </c>
      <c r="Q90" s="28">
        <f t="shared" si="39"/>
        <v>2.2371531739521551</v>
      </c>
      <c r="R90" s="11">
        <v>133.06</v>
      </c>
      <c r="S90" s="11">
        <v>133.06</v>
      </c>
      <c r="T90" s="20">
        <v>116</v>
      </c>
      <c r="U90" s="11">
        <v>3890619.86</v>
      </c>
      <c r="V90" s="11">
        <v>3104982.69</v>
      </c>
    </row>
    <row r="91" spans="1:22">
      <c r="A91" s="90">
        <v>81</v>
      </c>
      <c r="B91" s="22" t="s">
        <v>123</v>
      </c>
      <c r="C91" s="22" t="s">
        <v>124</v>
      </c>
      <c r="D91" s="11">
        <v>7822286739.8699999</v>
      </c>
      <c r="E91" s="11">
        <v>131925379.26000001</v>
      </c>
      <c r="F91" s="11">
        <v>0</v>
      </c>
      <c r="G91" s="11">
        <v>10853247.289999999</v>
      </c>
      <c r="H91" s="13">
        <f t="shared" si="34"/>
        <v>121072131.97</v>
      </c>
      <c r="I91" s="11">
        <v>7670794676</v>
      </c>
      <c r="J91" s="14">
        <f t="shared" si="27"/>
        <v>4.111490172894091E-2</v>
      </c>
      <c r="K91" s="11">
        <v>7736721925</v>
      </c>
      <c r="L91" s="14">
        <f t="shared" si="35"/>
        <v>4.0544658633785591E-2</v>
      </c>
      <c r="M91" s="14">
        <f t="shared" si="29"/>
        <v>8.594578760694754E-3</v>
      </c>
      <c r="N91" s="24">
        <f t="shared" si="36"/>
        <v>1.4028224608835219E-3</v>
      </c>
      <c r="O91" s="25">
        <f t="shared" si="37"/>
        <v>1.5649022046246026E-2</v>
      </c>
      <c r="P91" s="28">
        <f t="shared" si="38"/>
        <v>1.0200000000131839</v>
      </c>
      <c r="Q91" s="28">
        <f t="shared" si="39"/>
        <v>1.5962002487377263E-2</v>
      </c>
      <c r="R91" s="11">
        <v>1.02</v>
      </c>
      <c r="S91" s="11">
        <v>1.02</v>
      </c>
      <c r="T91" s="20">
        <v>4520</v>
      </c>
      <c r="U91" s="11">
        <v>7670794676</v>
      </c>
      <c r="V91" s="11">
        <v>7585021495</v>
      </c>
    </row>
    <row r="92" spans="1:22">
      <c r="A92" s="90">
        <v>82</v>
      </c>
      <c r="B92" s="79" t="s">
        <v>125</v>
      </c>
      <c r="C92" s="22" t="s">
        <v>46</v>
      </c>
      <c r="D92" s="11">
        <v>5141715137.0200005</v>
      </c>
      <c r="E92" s="11">
        <v>134754082.86000001</v>
      </c>
      <c r="F92" s="11">
        <v>0</v>
      </c>
      <c r="G92" s="11">
        <v>12042824.359999999</v>
      </c>
      <c r="H92" s="13">
        <f t="shared" si="34"/>
        <v>122711258.50000001</v>
      </c>
      <c r="I92" s="11">
        <v>9554229805.8799992</v>
      </c>
      <c r="J92" s="14">
        <f t="shared" si="27"/>
        <v>5.1209977082754383E-2</v>
      </c>
      <c r="K92" s="11">
        <v>5368308496.79</v>
      </c>
      <c r="L92" s="14">
        <f t="shared" si="35"/>
        <v>2.8132875596818253E-2</v>
      </c>
      <c r="M92" s="14">
        <f t="shared" si="29"/>
        <v>-0.43812231798253798</v>
      </c>
      <c r="N92" s="24">
        <f t="shared" si="36"/>
        <v>2.243318238361497E-3</v>
      </c>
      <c r="O92" s="25">
        <f t="shared" si="37"/>
        <v>2.2858458781453352E-2</v>
      </c>
      <c r="P92" s="28">
        <f t="shared" si="38"/>
        <v>5168.2617768920481</v>
      </c>
      <c r="Q92" s="28">
        <f t="shared" si="39"/>
        <v>118.13849879884773</v>
      </c>
      <c r="R92" s="11">
        <v>5168.26</v>
      </c>
      <c r="S92" s="11">
        <v>5168.26</v>
      </c>
      <c r="T92" s="20">
        <v>273</v>
      </c>
      <c r="U92" s="11">
        <v>1848952.01</v>
      </c>
      <c r="V92" s="11">
        <v>1038706.77</v>
      </c>
    </row>
    <row r="93" spans="1:22">
      <c r="A93" s="90">
        <v>83</v>
      </c>
      <c r="B93" s="22" t="s">
        <v>126</v>
      </c>
      <c r="C93" s="22" t="s">
        <v>46</v>
      </c>
      <c r="D93" s="11">
        <v>21259368485.740002</v>
      </c>
      <c r="E93" s="11">
        <v>191073116.00999999</v>
      </c>
      <c r="F93" s="11">
        <v>0</v>
      </c>
      <c r="G93" s="11">
        <v>36877447.689999998</v>
      </c>
      <c r="H93" s="13">
        <f t="shared" si="34"/>
        <v>154195668.31999999</v>
      </c>
      <c r="I93" s="11">
        <v>21608683008.189999</v>
      </c>
      <c r="J93" s="14">
        <f t="shared" si="27"/>
        <v>0.11582096978208403</v>
      </c>
      <c r="K93" s="11">
        <v>21122559487.369999</v>
      </c>
      <c r="L93" s="14">
        <f t="shared" si="35"/>
        <v>0.1106937760190012</v>
      </c>
      <c r="M93" s="14">
        <f t="shared" si="29"/>
        <v>-2.2496675092866694E-2</v>
      </c>
      <c r="N93" s="24">
        <f t="shared" si="36"/>
        <v>1.7458796937961263E-3</v>
      </c>
      <c r="O93" s="25">
        <f t="shared" si="37"/>
        <v>7.300046588208195E-3</v>
      </c>
      <c r="P93" s="28">
        <f t="shared" si="38"/>
        <v>258.96878916820259</v>
      </c>
      <c r="Q93" s="28">
        <f t="shared" si="39"/>
        <v>1.8904842258197445</v>
      </c>
      <c r="R93" s="11">
        <v>258.97000000000003</v>
      </c>
      <c r="S93" s="11">
        <v>258.97000000000003</v>
      </c>
      <c r="T93" s="20">
        <v>6323</v>
      </c>
      <c r="U93" s="11">
        <v>83478721.079999998</v>
      </c>
      <c r="V93" s="11">
        <v>81564112.629999995</v>
      </c>
    </row>
    <row r="94" spans="1:22">
      <c r="A94" s="90">
        <v>84</v>
      </c>
      <c r="B94" s="79" t="s">
        <v>127</v>
      </c>
      <c r="C94" s="22" t="s">
        <v>46</v>
      </c>
      <c r="D94" s="11">
        <v>407803552.87</v>
      </c>
      <c r="E94" s="11">
        <v>6296851.8200000003</v>
      </c>
      <c r="F94" s="11">
        <v>8518433.0500000007</v>
      </c>
      <c r="G94" s="11">
        <v>986243.36</v>
      </c>
      <c r="H94" s="13">
        <f t="shared" si="34"/>
        <v>13829041.510000002</v>
      </c>
      <c r="I94" s="11">
        <v>392739521.36000001</v>
      </c>
      <c r="J94" s="14">
        <f t="shared" si="27"/>
        <v>2.1050552788629603E-3</v>
      </c>
      <c r="K94" s="11">
        <v>405566934.62</v>
      </c>
      <c r="L94" s="14">
        <f t="shared" si="35"/>
        <v>2.1253927796194821E-3</v>
      </c>
      <c r="M94" s="14">
        <f t="shared" si="29"/>
        <v>3.2661376210829297E-2</v>
      </c>
      <c r="N94" s="24">
        <f t="shared" si="36"/>
        <v>2.43176471209141E-3</v>
      </c>
      <c r="O94" s="25">
        <f t="shared" si="37"/>
        <v>3.4098049741055098E-2</v>
      </c>
      <c r="P94" s="28">
        <f t="shared" si="38"/>
        <v>7033.609635790257</v>
      </c>
      <c r="Q94" s="28">
        <f t="shared" si="39"/>
        <v>239.8323712203406</v>
      </c>
      <c r="R94" s="11">
        <v>7014.55</v>
      </c>
      <c r="S94" s="11">
        <v>7046.68</v>
      </c>
      <c r="T94" s="20">
        <v>15</v>
      </c>
      <c r="U94" s="11">
        <v>57661.279999999999</v>
      </c>
      <c r="V94" s="11">
        <v>57661.279999999999</v>
      </c>
    </row>
    <row r="95" spans="1:22">
      <c r="A95" s="90">
        <v>85</v>
      </c>
      <c r="B95" s="22" t="s">
        <v>128</v>
      </c>
      <c r="C95" s="22" t="s">
        <v>46</v>
      </c>
      <c r="D95" s="11">
        <v>7710672940.8299999</v>
      </c>
      <c r="E95" s="11">
        <v>121626436.08</v>
      </c>
      <c r="F95" s="11">
        <v>0</v>
      </c>
      <c r="G95" s="11">
        <v>12984733.73</v>
      </c>
      <c r="H95" s="13">
        <f t="shared" si="34"/>
        <v>108641702.34999999</v>
      </c>
      <c r="I95" s="11">
        <v>7904072642.3199997</v>
      </c>
      <c r="J95" s="14">
        <f t="shared" si="27"/>
        <v>4.236525466705076E-2</v>
      </c>
      <c r="K95" s="11">
        <v>7727988668.5900002</v>
      </c>
      <c r="L95" s="14">
        <f t="shared" si="35"/>
        <v>4.0498891588861746E-2</v>
      </c>
      <c r="M95" s="14">
        <f t="shared" si="29"/>
        <v>-2.2277625940228637E-2</v>
      </c>
      <c r="N95" s="24">
        <f t="shared" si="36"/>
        <v>1.6802216316356366E-3</v>
      </c>
      <c r="O95" s="25">
        <f t="shared" si="37"/>
        <v>1.4058211911149459E-2</v>
      </c>
      <c r="P95" s="28">
        <f t="shared" si="38"/>
        <v>139.8117370180841</v>
      </c>
      <c r="Q95" s="28">
        <f t="shared" si="39"/>
        <v>1.9655030266661258</v>
      </c>
      <c r="R95" s="11">
        <v>139.81</v>
      </c>
      <c r="S95" s="11">
        <v>139.81</v>
      </c>
      <c r="T95" s="20">
        <v>4467</v>
      </c>
      <c r="U95" s="11">
        <v>57324858.07</v>
      </c>
      <c r="V95" s="11">
        <v>55274248.310000002</v>
      </c>
    </row>
    <row r="96" spans="1:22">
      <c r="A96" s="90">
        <v>86</v>
      </c>
      <c r="B96" s="22" t="s">
        <v>129</v>
      </c>
      <c r="C96" s="22" t="s">
        <v>46</v>
      </c>
      <c r="D96" s="11">
        <v>7764952435.79</v>
      </c>
      <c r="E96" s="11">
        <v>65466547.140000001</v>
      </c>
      <c r="F96" s="11">
        <v>75864268.900000006</v>
      </c>
      <c r="G96" s="11">
        <v>14954346.6</v>
      </c>
      <c r="H96" s="13">
        <f t="shared" si="34"/>
        <v>126376469.44000003</v>
      </c>
      <c r="I96" s="11">
        <v>7800308716.54</v>
      </c>
      <c r="J96" s="14">
        <f t="shared" si="27"/>
        <v>4.1809087569422421E-2</v>
      </c>
      <c r="K96" s="11">
        <v>7760836087.75</v>
      </c>
      <c r="L96" s="14">
        <f t="shared" si="35"/>
        <v>4.0671030048761617E-2</v>
      </c>
      <c r="M96" s="14">
        <f t="shared" si="29"/>
        <v>-5.0603931490943504E-3</v>
      </c>
      <c r="N96" s="24">
        <f t="shared" si="36"/>
        <v>1.9268989102352659E-3</v>
      </c>
      <c r="O96" s="25">
        <f t="shared" si="37"/>
        <v>1.6283873027479277E-2</v>
      </c>
      <c r="P96" s="28">
        <f t="shared" si="38"/>
        <v>360.17422656390391</v>
      </c>
      <c r="Q96" s="28">
        <f t="shared" si="39"/>
        <v>5.8650313731371657</v>
      </c>
      <c r="R96" s="11">
        <v>359.79</v>
      </c>
      <c r="S96" s="11">
        <v>360.44</v>
      </c>
      <c r="T96" s="20">
        <v>10155</v>
      </c>
      <c r="U96" s="11">
        <v>22017581.120000001</v>
      </c>
      <c r="V96" s="11">
        <v>21547449.859999999</v>
      </c>
    </row>
    <row r="97" spans="1:23">
      <c r="A97" s="90">
        <v>87</v>
      </c>
      <c r="B97" s="22" t="s">
        <v>130</v>
      </c>
      <c r="C97" s="22" t="s">
        <v>50</v>
      </c>
      <c r="D97" s="11">
        <v>81139755400.819061</v>
      </c>
      <c r="E97" s="11">
        <v>730986614</v>
      </c>
      <c r="F97" s="11">
        <v>0</v>
      </c>
      <c r="G97" s="11">
        <v>136068391.40000001</v>
      </c>
      <c r="H97" s="13">
        <f t="shared" si="34"/>
        <v>594918222.60000002</v>
      </c>
      <c r="I97" s="11">
        <v>87904733951.630005</v>
      </c>
      <c r="J97" s="14">
        <f t="shared" si="27"/>
        <v>0.47116298253137645</v>
      </c>
      <c r="K97" s="11">
        <v>87136304457.467133</v>
      </c>
      <c r="L97" s="14">
        <f t="shared" si="35"/>
        <v>0.45664194126217283</v>
      </c>
      <c r="M97" s="14">
        <f t="shared" si="29"/>
        <v>-8.7416167437092095E-3</v>
      </c>
      <c r="N97" s="24">
        <f t="shared" si="36"/>
        <v>1.5615579780115364E-3</v>
      </c>
      <c r="O97" s="25">
        <f t="shared" si="37"/>
        <v>6.8274438112117869E-3</v>
      </c>
      <c r="P97" s="28">
        <f t="shared" si="38"/>
        <v>1.9619623768108434</v>
      </c>
      <c r="Q97" s="28">
        <f t="shared" si="39"/>
        <v>1.339518788738756E-2</v>
      </c>
      <c r="R97" s="11">
        <v>1.96</v>
      </c>
      <c r="S97" s="11">
        <v>1.96</v>
      </c>
      <c r="T97" s="20">
        <v>1387</v>
      </c>
      <c r="U97" s="11">
        <v>44826009951.059998</v>
      </c>
      <c r="V97" s="11">
        <v>44412831503.480003</v>
      </c>
    </row>
    <row r="98" spans="1:23">
      <c r="A98" s="90">
        <v>88</v>
      </c>
      <c r="B98" s="22" t="s">
        <v>269</v>
      </c>
      <c r="C98" s="22" t="s">
        <v>50</v>
      </c>
      <c r="D98" s="11">
        <v>6602299829.0400009</v>
      </c>
      <c r="E98" s="11">
        <v>194972850</v>
      </c>
      <c r="F98" s="11">
        <v>0</v>
      </c>
      <c r="G98" s="11">
        <v>18660575.59</v>
      </c>
      <c r="H98" s="13">
        <f t="shared" si="34"/>
        <v>176312274.41</v>
      </c>
      <c r="I98" s="19">
        <v>0</v>
      </c>
      <c r="J98" s="14">
        <f t="shared" si="27"/>
        <v>0</v>
      </c>
      <c r="K98" s="11">
        <v>10551303971.59</v>
      </c>
      <c r="L98" s="14">
        <f t="shared" si="35"/>
        <v>5.5294609502127438E-2</v>
      </c>
      <c r="M98" s="14" t="e">
        <f t="shared" si="29"/>
        <v>#DIV/0!</v>
      </c>
      <c r="N98" s="24">
        <f t="shared" si="36"/>
        <v>1.7685563452862969E-3</v>
      </c>
      <c r="O98" s="25">
        <f t="shared" si="37"/>
        <v>1.6709998582614155E-2</v>
      </c>
      <c r="P98" s="28">
        <f t="shared" si="38"/>
        <v>110.35211036830816</v>
      </c>
      <c r="Q98" s="28">
        <f t="shared" si="39"/>
        <v>1.8439836078429102</v>
      </c>
      <c r="R98" s="11">
        <v>110.35</v>
      </c>
      <c r="S98" s="11">
        <v>110.35</v>
      </c>
      <c r="T98" s="20">
        <v>52</v>
      </c>
      <c r="U98" s="11">
        <v>81101236.129999995</v>
      </c>
      <c r="V98" s="11">
        <v>95614881.639999986</v>
      </c>
    </row>
    <row r="99" spans="1:23">
      <c r="A99" s="90">
        <v>89</v>
      </c>
      <c r="B99" s="71" t="s">
        <v>246</v>
      </c>
      <c r="C99" s="71" t="s">
        <v>247</v>
      </c>
      <c r="D99" s="11">
        <v>92265199.790000007</v>
      </c>
      <c r="E99" s="11">
        <v>1279023.3799999999</v>
      </c>
      <c r="F99" s="11">
        <v>0</v>
      </c>
      <c r="G99" s="11">
        <v>438321.96</v>
      </c>
      <c r="H99" s="13">
        <f t="shared" si="34"/>
        <v>840701.41999999993</v>
      </c>
      <c r="I99" s="11">
        <v>93570560.290000007</v>
      </c>
      <c r="J99" s="14">
        <f t="shared" si="27"/>
        <v>5.0153139974949983E-4</v>
      </c>
      <c r="K99" s="11">
        <v>96026909.150000006</v>
      </c>
      <c r="L99" s="14">
        <f t="shared" si="35"/>
        <v>5.0323357733246857E-4</v>
      </c>
      <c r="M99" s="14">
        <f t="shared" si="29"/>
        <v>2.6251300113915341E-2</v>
      </c>
      <c r="N99" s="24">
        <f t="shared" si="36"/>
        <v>4.5645742831867458E-3</v>
      </c>
      <c r="O99" s="25">
        <f t="shared" si="37"/>
        <v>8.7548524412753102E-3</v>
      </c>
      <c r="P99" s="28">
        <f t="shared" si="38"/>
        <v>111.36527911051685</v>
      </c>
      <c r="Q99" s="28">
        <f t="shared" si="39"/>
        <v>0.97498658569401475</v>
      </c>
      <c r="R99" s="11">
        <v>111.3653</v>
      </c>
      <c r="S99" s="11">
        <v>111.3653</v>
      </c>
      <c r="T99" s="20">
        <v>56</v>
      </c>
      <c r="U99" s="11">
        <v>847782.39</v>
      </c>
      <c r="V99" s="11">
        <v>862269.73</v>
      </c>
    </row>
    <row r="100" spans="1:23">
      <c r="A100" s="90">
        <v>90</v>
      </c>
      <c r="B100" s="79" t="s">
        <v>131</v>
      </c>
      <c r="C100" s="79" t="s">
        <v>96</v>
      </c>
      <c r="D100" s="11">
        <v>2054816347.47</v>
      </c>
      <c r="E100" s="11">
        <v>7988819.7800000003</v>
      </c>
      <c r="F100" s="11">
        <v>0</v>
      </c>
      <c r="G100" s="11">
        <v>3539968.21</v>
      </c>
      <c r="H100" s="13">
        <f t="shared" si="34"/>
        <v>4448851.57</v>
      </c>
      <c r="I100" s="11">
        <v>2082488345.5</v>
      </c>
      <c r="J100" s="14">
        <f t="shared" si="27"/>
        <v>1.1161986116612522E-2</v>
      </c>
      <c r="K100" s="11">
        <v>2109433730.8199999</v>
      </c>
      <c r="L100" s="14">
        <f t="shared" si="35"/>
        <v>1.1054587634890298E-2</v>
      </c>
      <c r="M100" s="14">
        <f t="shared" si="29"/>
        <v>1.2939032949800455E-2</v>
      </c>
      <c r="N100" s="24">
        <f t="shared" si="36"/>
        <v>1.6781604267908944E-3</v>
      </c>
      <c r="O100" s="25">
        <f t="shared" si="37"/>
        <v>2.1090264676248438E-3</v>
      </c>
      <c r="P100" s="28">
        <f t="shared" si="38"/>
        <v>28.368469432957308</v>
      </c>
      <c r="Q100" s="28">
        <f t="shared" si="39"/>
        <v>5.9829852880113311E-2</v>
      </c>
      <c r="R100" s="11">
        <v>28.366900000000001</v>
      </c>
      <c r="S100" s="11">
        <v>28.366900000000001</v>
      </c>
      <c r="T100" s="20">
        <v>1299</v>
      </c>
      <c r="U100" s="11">
        <v>74642225.650000006</v>
      </c>
      <c r="V100" s="11">
        <v>74358390.599999994</v>
      </c>
    </row>
    <row r="101" spans="1:23">
      <c r="A101" s="117" t="s">
        <v>51</v>
      </c>
      <c r="B101" s="117"/>
      <c r="C101" s="117"/>
      <c r="D101" s="117"/>
      <c r="E101" s="117"/>
      <c r="F101" s="117"/>
      <c r="G101" s="117"/>
      <c r="H101" s="117"/>
      <c r="I101" s="43">
        <f>SUM(I65:I100)</f>
        <v>186569695011.59</v>
      </c>
      <c r="J101" s="41">
        <f>(I101/$I$203)</f>
        <v>4.867758729281034E-2</v>
      </c>
      <c r="K101" s="43">
        <f>SUM(K65:K100)</f>
        <v>190819757415.66711</v>
      </c>
      <c r="L101" s="41">
        <f>(K101/$K$203)</f>
        <v>4.6737632058396539E-2</v>
      </c>
      <c r="M101" s="41">
        <f t="shared" si="29"/>
        <v>2.2780025468836711E-2</v>
      </c>
      <c r="N101" s="24"/>
      <c r="O101" s="24"/>
      <c r="P101" s="44"/>
      <c r="Q101" s="44"/>
      <c r="R101" s="43"/>
      <c r="S101" s="43"/>
      <c r="T101" s="43">
        <f>SUM(T65:T100)</f>
        <v>43952</v>
      </c>
      <c r="U101" s="43"/>
      <c r="V101" s="11"/>
    </row>
    <row r="102" spans="1:23" ht="6.9" customHeight="1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5"/>
    </row>
    <row r="103" spans="1:23">
      <c r="A103" s="120" t="s">
        <v>132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</row>
    <row r="104" spans="1:23">
      <c r="A104" s="125" t="s">
        <v>133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</row>
    <row r="105" spans="1:23">
      <c r="A105" s="74">
        <v>91</v>
      </c>
      <c r="B105" s="22" t="s">
        <v>134</v>
      </c>
      <c r="C105" s="22" t="s">
        <v>22</v>
      </c>
      <c r="D105" s="20">
        <f>1944912.43*1478.22</f>
        <v>2875008452.2746</v>
      </c>
      <c r="E105" s="20">
        <f>12587.46*1478.22</f>
        <v>18607035.121199999</v>
      </c>
      <c r="F105" s="20">
        <f>101540.75*1478.22</f>
        <v>150099567.465</v>
      </c>
      <c r="G105" s="20">
        <f>3605.88*1478.22</f>
        <v>5330283.9336000001</v>
      </c>
      <c r="H105" s="13">
        <f>(E105+F105)-G105</f>
        <v>163376318.65259999</v>
      </c>
      <c r="I105" s="34">
        <v>2802509668.02</v>
      </c>
      <c r="J105" s="14">
        <f t="shared" ref="J105:J119" si="40">(I105/$I$135)</f>
        <v>1.6464702991790721E-3</v>
      </c>
      <c r="K105" s="34">
        <f>1918574.58*1478.22</f>
        <v>2836075315.6476002</v>
      </c>
      <c r="L105" s="14">
        <f t="shared" ref="L105" si="41">(K105/$K$135)</f>
        <v>1.6449220811334737E-3</v>
      </c>
      <c r="M105" s="14">
        <f t="shared" ref="M105" si="42">((K105-I105)/I105)</f>
        <v>1.1976996194027279E-2</v>
      </c>
      <c r="N105" s="24">
        <f t="shared" ref="N105" si="43">(G105/K105)</f>
        <v>1.8794578212330947E-3</v>
      </c>
      <c r="O105" s="25">
        <f t="shared" ref="O105" si="44">H105/K105</f>
        <v>5.7606480953166797E-2</v>
      </c>
      <c r="P105" s="28">
        <f t="shared" ref="P105" si="45">K105/V105</f>
        <v>163486.77098841732</v>
      </c>
      <c r="Q105" s="28">
        <f t="shared" ref="Q105" si="46">H105/V105</f>
        <v>9417.8975590390037</v>
      </c>
      <c r="R105" s="11">
        <f>110.597*1478.22</f>
        <v>163486.69733999998</v>
      </c>
      <c r="S105" s="11">
        <f>110.597*1478.22</f>
        <v>163486.69733999998</v>
      </c>
      <c r="T105" s="11">
        <v>196</v>
      </c>
      <c r="U105" s="11">
        <v>16288.97</v>
      </c>
      <c r="V105" s="11">
        <v>17347.43</v>
      </c>
    </row>
    <row r="106" spans="1:23">
      <c r="A106" s="74">
        <v>92</v>
      </c>
      <c r="B106" s="71" t="s">
        <v>235</v>
      </c>
      <c r="C106" s="73" t="s">
        <v>55</v>
      </c>
      <c r="D106" s="20">
        <f>1546028.82*1478.22</f>
        <v>2285370722.3004003</v>
      </c>
      <c r="E106" s="20">
        <f>11537.92*1478.22</f>
        <v>17055584.102400001</v>
      </c>
      <c r="F106" s="20">
        <v>0</v>
      </c>
      <c r="G106" s="20">
        <f>2989.96*1478.22</f>
        <v>4419818.6711999997</v>
      </c>
      <c r="H106" s="13">
        <f t="shared" ref="H106:H119" si="47">(E106+F106)-G106</f>
        <v>12635765.431200001</v>
      </c>
      <c r="I106" s="34">
        <f>1508275.12*1535.8176</f>
        <v>2316435474.9381123</v>
      </c>
      <c r="J106" s="14">
        <f t="shared" si="40"/>
        <v>1.3609024271966049E-3</v>
      </c>
      <c r="K106" s="34">
        <f>1561013.01*1478.22</f>
        <v>2307520651.6422</v>
      </c>
      <c r="L106" s="14">
        <f t="shared" ref="L106:L119" si="48">(K106/$K$135)</f>
        <v>1.3383606745616466E-3</v>
      </c>
      <c r="M106" s="14">
        <f t="shared" ref="M106:M119" si="49">((K106-I106)/I106)</f>
        <v>-3.8485092256456835E-3</v>
      </c>
      <c r="N106" s="24">
        <f t="shared" ref="N106:N119" si="50">(G106/K106)</f>
        <v>1.9153972329801401E-3</v>
      </c>
      <c r="O106" s="25">
        <f t="shared" ref="O106:O119" si="51">H106/K106</f>
        <v>5.4759056748668617E-3</v>
      </c>
      <c r="P106" s="28">
        <f t="shared" ref="P106:P119" si="52">K106/V106</f>
        <v>148630.36822270587</v>
      </c>
      <c r="Q106" s="28">
        <f t="shared" ref="Q106:Q119" si="53">H106/V106</f>
        <v>813.8858768082664</v>
      </c>
      <c r="R106" s="11">
        <f>100*1478.22</f>
        <v>147822</v>
      </c>
      <c r="S106" s="11">
        <f>100*1478.22</f>
        <v>147822</v>
      </c>
      <c r="T106" s="11">
        <v>39</v>
      </c>
      <c r="U106" s="11">
        <v>14503</v>
      </c>
      <c r="V106" s="11">
        <v>15525.23</v>
      </c>
    </row>
    <row r="107" spans="1:23" ht="12.9" customHeight="1">
      <c r="A107" s="74">
        <v>93</v>
      </c>
      <c r="B107" s="22" t="s">
        <v>135</v>
      </c>
      <c r="C107" s="79" t="s">
        <v>26</v>
      </c>
      <c r="D107" s="20">
        <f>8330026.82*1478.22</f>
        <v>12313612245.860401</v>
      </c>
      <c r="E107" s="20">
        <f>70707.72*1478.22</f>
        <v>104521565.8584</v>
      </c>
      <c r="F107" s="20">
        <v>0</v>
      </c>
      <c r="G107" s="20">
        <f>16635.65*1478.22</f>
        <v>24591150.543000001</v>
      </c>
      <c r="H107" s="13">
        <f t="shared" si="47"/>
        <v>79930415.315400004</v>
      </c>
      <c r="I107" s="34">
        <f>9782419*1535.8176</f>
        <v>15024011270.774401</v>
      </c>
      <c r="J107" s="14">
        <f t="shared" si="40"/>
        <v>8.8265844768122843E-3</v>
      </c>
      <c r="K107" s="34">
        <f>10164596*1478.22</f>
        <v>15025509099.120001</v>
      </c>
      <c r="L107" s="14">
        <f t="shared" si="48"/>
        <v>8.7147867904102966E-3</v>
      </c>
      <c r="M107" s="14">
        <f t="shared" si="49"/>
        <v>9.9695635114025296E-5</v>
      </c>
      <c r="N107" s="24">
        <f t="shared" si="50"/>
        <v>1.6366267778866962E-3</v>
      </c>
      <c r="O107" s="25">
        <f t="shared" si="51"/>
        <v>5.3196477262844486E-3</v>
      </c>
      <c r="P107" s="28">
        <f t="shared" si="52"/>
        <v>1688.6565682379014</v>
      </c>
      <c r="Q107" s="28">
        <f t="shared" si="53"/>
        <v>8.9830580737020522</v>
      </c>
      <c r="R107" s="11">
        <f>1.1424*1478.22</f>
        <v>1688.7185280000001</v>
      </c>
      <c r="S107" s="11">
        <f>1.1424*1478.22</f>
        <v>1688.7185280000001</v>
      </c>
      <c r="T107" s="11">
        <v>310</v>
      </c>
      <c r="U107" s="11">
        <v>8598421</v>
      </c>
      <c r="V107" s="11">
        <v>8897907</v>
      </c>
    </row>
    <row r="108" spans="1:23" ht="12.9" customHeight="1">
      <c r="A108" s="74">
        <v>94</v>
      </c>
      <c r="B108" s="71" t="s">
        <v>240</v>
      </c>
      <c r="C108" s="73" t="s">
        <v>105</v>
      </c>
      <c r="D108" s="20">
        <f>3639827.04*1478.22</f>
        <v>5380465127.0688</v>
      </c>
      <c r="E108" s="20">
        <f>47099.18*1478.22</f>
        <v>69622949.859600008</v>
      </c>
      <c r="F108" s="20">
        <v>0</v>
      </c>
      <c r="G108" s="20">
        <f>4672.53*1478.22</f>
        <v>6907027.2966</v>
      </c>
      <c r="H108" s="13">
        <f t="shared" si="47"/>
        <v>62715922.563000008</v>
      </c>
      <c r="I108" s="34">
        <f>3167512.19*1535.8176</f>
        <v>4864720969.6165438</v>
      </c>
      <c r="J108" s="14">
        <f t="shared" si="40"/>
        <v>2.8580163992533623E-3</v>
      </c>
      <c r="K108" s="34">
        <f>3734379.66*1478.22</f>
        <v>5520234701.0052004</v>
      </c>
      <c r="L108" s="14">
        <f t="shared" si="48"/>
        <v>3.2017330085076568E-3</v>
      </c>
      <c r="M108" s="14">
        <f t="shared" si="49"/>
        <v>0.13474847488330388</v>
      </c>
      <c r="N108" s="24">
        <f t="shared" si="50"/>
        <v>1.2512198612392826E-3</v>
      </c>
      <c r="O108" s="25">
        <f t="shared" si="51"/>
        <v>1.1361097119943075E-2</v>
      </c>
      <c r="P108" s="28">
        <f t="shared" si="52"/>
        <v>1600.0604649330485</v>
      </c>
      <c r="Q108" s="28">
        <f t="shared" si="53"/>
        <v>18.178442339885635</v>
      </c>
      <c r="R108" s="11">
        <f>1.0825*1478.22</f>
        <v>1600.1731500000001</v>
      </c>
      <c r="S108" s="11">
        <f>1.0825*1478.22</f>
        <v>1600.1731500000001</v>
      </c>
      <c r="T108" s="11">
        <v>315</v>
      </c>
      <c r="U108" s="11">
        <v>2960086.63</v>
      </c>
      <c r="V108" s="11">
        <v>3450016.31</v>
      </c>
    </row>
    <row r="109" spans="1:23" ht="12.9" customHeight="1">
      <c r="A109" s="74">
        <v>95</v>
      </c>
      <c r="B109" s="71" t="s">
        <v>241</v>
      </c>
      <c r="C109" s="73" t="s">
        <v>219</v>
      </c>
      <c r="D109" s="20">
        <f>425080.99*1478.22</f>
        <v>628363221.03779995</v>
      </c>
      <c r="E109" s="20">
        <f>9563.11*1478.22</f>
        <v>14136380.464200001</v>
      </c>
      <c r="F109" s="20">
        <v>0</v>
      </c>
      <c r="G109" s="20">
        <f>932.6*1478.22</f>
        <v>1378587.9720000001</v>
      </c>
      <c r="H109" s="13">
        <f t="shared" si="47"/>
        <v>12757792.492200002</v>
      </c>
      <c r="I109" s="34">
        <f>424084.98*1535.8176</f>
        <v>651317176.17964804</v>
      </c>
      <c r="J109" s="14">
        <f t="shared" si="40"/>
        <v>3.8264788099111763E-4</v>
      </c>
      <c r="K109" s="34">
        <f>427207.21*1478.22</f>
        <v>631506241.96619999</v>
      </c>
      <c r="L109" s="14">
        <f t="shared" si="48"/>
        <v>3.6627326363743699E-4</v>
      </c>
      <c r="M109" s="14">
        <f t="shared" si="49"/>
        <v>-3.0416723123518154E-2</v>
      </c>
      <c r="N109" s="24">
        <f t="shared" si="50"/>
        <v>2.1830155909587762E-3</v>
      </c>
      <c r="O109" s="25">
        <f t="shared" si="51"/>
        <v>2.0202163722845411E-2</v>
      </c>
      <c r="P109" s="28">
        <f t="shared" si="52"/>
        <v>1576.2849265124012</v>
      </c>
      <c r="Q109" s="28">
        <f t="shared" si="53"/>
        <v>31.844366159256875</v>
      </c>
      <c r="R109" s="11">
        <f>1*1478.22</f>
        <v>1478.22</v>
      </c>
      <c r="S109" s="11">
        <f>1*1478.22</f>
        <v>1478.22</v>
      </c>
      <c r="T109" s="11">
        <v>21</v>
      </c>
      <c r="U109" s="11">
        <v>400629.5</v>
      </c>
      <c r="V109" s="11">
        <v>400629.5</v>
      </c>
    </row>
    <row r="110" spans="1:23" ht="12.9" customHeight="1">
      <c r="A110" s="74">
        <v>96</v>
      </c>
      <c r="B110" s="71" t="s">
        <v>242</v>
      </c>
      <c r="C110" s="73" t="s">
        <v>48</v>
      </c>
      <c r="D110" s="20">
        <f>430357.29*1478.22</f>
        <v>636162753.22379994</v>
      </c>
      <c r="E110" s="20">
        <f>3385.56*1478.22</f>
        <v>5004602.5032000002</v>
      </c>
      <c r="F110" s="20">
        <v>0</v>
      </c>
      <c r="G110" s="20">
        <f>8931.48*1478.22</f>
        <v>13202692.365599999</v>
      </c>
      <c r="H110" s="13">
        <f t="shared" si="47"/>
        <v>-8198089.8623999991</v>
      </c>
      <c r="I110" s="34">
        <f>224261.96*1535.8176</f>
        <v>344425465.178496</v>
      </c>
      <c r="J110" s="14">
        <f t="shared" si="40"/>
        <v>2.0234945312355739E-4</v>
      </c>
      <c r="K110" s="34">
        <f>245472.95*1478.22</f>
        <v>362863024.14900005</v>
      </c>
      <c r="L110" s="14">
        <f t="shared" si="48"/>
        <v>2.1046034904516101E-4</v>
      </c>
      <c r="M110" s="14">
        <f t="shared" si="49"/>
        <v>5.3531346646941202E-2</v>
      </c>
      <c r="N110" s="24">
        <f t="shared" si="50"/>
        <v>3.6384782926183919E-2</v>
      </c>
      <c r="O110" s="25">
        <f t="shared" si="51"/>
        <v>-2.25927948476604E-2</v>
      </c>
      <c r="P110" s="28">
        <f t="shared" si="52"/>
        <v>1798.4669401450947</v>
      </c>
      <c r="Q110" s="28">
        <f t="shared" si="53"/>
        <v>-40.632394618997658</v>
      </c>
      <c r="R110" s="11">
        <f>1.2166*1478.22</f>
        <v>1798.4024519999998</v>
      </c>
      <c r="S110" s="11">
        <f>1.2166*1478.22</f>
        <v>1798.4024519999998</v>
      </c>
      <c r="T110" s="11">
        <v>36</v>
      </c>
      <c r="U110" s="11">
        <v>30186777.969999999</v>
      </c>
      <c r="V110" s="11">
        <v>201762.41</v>
      </c>
    </row>
    <row r="111" spans="1:23" ht="12.9" customHeight="1">
      <c r="A111" s="74">
        <v>97</v>
      </c>
      <c r="B111" s="71" t="s">
        <v>243</v>
      </c>
      <c r="C111" s="73" t="s">
        <v>172</v>
      </c>
      <c r="D111" s="20">
        <f>331519.23*1478.22</f>
        <v>490058356.1706</v>
      </c>
      <c r="E111" s="20">
        <f>2421.69*1478.22</f>
        <v>3579790.5918000001</v>
      </c>
      <c r="F111" s="20">
        <v>0</v>
      </c>
      <c r="G111" s="20">
        <f>1010.05*1478.22</f>
        <v>1493076.111</v>
      </c>
      <c r="H111" s="13">
        <f t="shared" si="47"/>
        <v>2086714.4808</v>
      </c>
      <c r="I111" s="34">
        <f>423200.95*1535.8176</f>
        <v>649959467.3467201</v>
      </c>
      <c r="J111" s="14">
        <f t="shared" si="40"/>
        <v>3.8185022905297883E-4</v>
      </c>
      <c r="K111" s="34">
        <f>433270.22*1478.22</f>
        <v>640468704.60839999</v>
      </c>
      <c r="L111" s="14">
        <f t="shared" si="48"/>
        <v>3.7147148690751339E-4</v>
      </c>
      <c r="M111" s="14">
        <f t="shared" si="49"/>
        <v>-1.4602083999273876E-2</v>
      </c>
      <c r="N111" s="24">
        <f t="shared" si="50"/>
        <v>2.3312241492157021E-3</v>
      </c>
      <c r="O111" s="25">
        <f t="shared" si="51"/>
        <v>3.2581052997365015E-3</v>
      </c>
      <c r="P111" s="28">
        <f t="shared" si="52"/>
        <v>156097.66137177675</v>
      </c>
      <c r="Q111" s="28">
        <f t="shared" si="53"/>
        <v>508.5826177918596</v>
      </c>
      <c r="R111" s="11">
        <f>105.59*1478.22</f>
        <v>156085.24980000002</v>
      </c>
      <c r="S111" s="11">
        <f>105.9*1478.22</f>
        <v>156543.49800000002</v>
      </c>
      <c r="T111" s="11">
        <v>50</v>
      </c>
      <c r="U111" s="11">
        <v>4016.24</v>
      </c>
      <c r="V111" s="11">
        <v>4103</v>
      </c>
    </row>
    <row r="112" spans="1:23" ht="15" customHeight="1">
      <c r="A112" s="74">
        <v>98</v>
      </c>
      <c r="B112" s="22" t="s">
        <v>136</v>
      </c>
      <c r="C112" s="79" t="s">
        <v>71</v>
      </c>
      <c r="D112" s="20">
        <f>628697.07*1478.22</f>
        <v>929352582.81539989</v>
      </c>
      <c r="E112" s="20">
        <f>22741.78*1478.22</f>
        <v>33617354.031599998</v>
      </c>
      <c r="F112" s="20">
        <v>0</v>
      </c>
      <c r="G112" s="20">
        <f>5586.22*1478.22</f>
        <v>8257662.1284000007</v>
      </c>
      <c r="H112" s="13">
        <f t="shared" si="47"/>
        <v>25359691.903199997</v>
      </c>
      <c r="I112" s="34">
        <f>3243711.42*1535.8176</f>
        <v>4981749088.156992</v>
      </c>
      <c r="J112" s="14">
        <f t="shared" si="40"/>
        <v>2.9267702464012969E-3</v>
      </c>
      <c r="K112" s="34">
        <f>3333883.92*1478.22</f>
        <v>4928213888.2223997</v>
      </c>
      <c r="L112" s="14">
        <f t="shared" si="48"/>
        <v>2.858361271493456E-3</v>
      </c>
      <c r="M112" s="14">
        <f t="shared" si="49"/>
        <v>-1.074626581693172E-2</v>
      </c>
      <c r="N112" s="24">
        <f t="shared" si="50"/>
        <v>1.6755892328728713E-3</v>
      </c>
      <c r="O112" s="25">
        <f t="shared" si="51"/>
        <v>5.1458180343603565E-3</v>
      </c>
      <c r="P112" s="28">
        <f t="shared" si="52"/>
        <v>165452.97966011765</v>
      </c>
      <c r="Q112" s="28">
        <f t="shared" si="53"/>
        <v>851.39092657369065</v>
      </c>
      <c r="R112" s="11">
        <f>111.8*1478.22</f>
        <v>165264.99599999998</v>
      </c>
      <c r="S112" s="11">
        <f>111.8*1478.22</f>
        <v>165264.99599999998</v>
      </c>
      <c r="T112" s="11">
        <v>58</v>
      </c>
      <c r="U112" s="11">
        <v>29131.83</v>
      </c>
      <c r="V112" s="11">
        <v>29786.19</v>
      </c>
    </row>
    <row r="113" spans="1:24" ht="15" customHeight="1">
      <c r="A113" s="74">
        <v>99</v>
      </c>
      <c r="B113" s="22" t="s">
        <v>137</v>
      </c>
      <c r="C113" s="22" t="s">
        <v>138</v>
      </c>
      <c r="D113" s="20">
        <v>51620447545.82</v>
      </c>
      <c r="E113" s="20">
        <v>431861827.08999997</v>
      </c>
      <c r="F113" s="20">
        <v>0</v>
      </c>
      <c r="G113" s="20">
        <v>83354582.810000002</v>
      </c>
      <c r="H113" s="13">
        <f t="shared" si="47"/>
        <v>348507244.27999997</v>
      </c>
      <c r="I113" s="34">
        <v>54054707491.690002</v>
      </c>
      <c r="J113" s="14">
        <f t="shared" si="40"/>
        <v>3.1757060976977489E-2</v>
      </c>
      <c r="K113" s="34">
        <v>51392005517.809998</v>
      </c>
      <c r="L113" s="14">
        <f t="shared" si="48"/>
        <v>2.9807334171827436E-2</v>
      </c>
      <c r="M113" s="14">
        <f t="shared" si="49"/>
        <v>-4.925939103988955E-2</v>
      </c>
      <c r="N113" s="24">
        <f t="shared" si="50"/>
        <v>1.6219367578701187E-3</v>
      </c>
      <c r="O113" s="25">
        <f t="shared" si="51"/>
        <v>6.7813513165821898E-3</v>
      </c>
      <c r="P113" s="28">
        <f t="shared" si="52"/>
        <v>189811.39827743368</v>
      </c>
      <c r="Q113" s="28">
        <f t="shared" si="53"/>
        <v>1287.1777756109811</v>
      </c>
      <c r="R113" s="11">
        <f>127.23*1546.07</f>
        <v>196706.48610000001</v>
      </c>
      <c r="S113" s="11">
        <f>127.23*1546.07</f>
        <v>196706.48610000001</v>
      </c>
      <c r="T113" s="11">
        <v>2313</v>
      </c>
      <c r="U113" s="11">
        <v>273118</v>
      </c>
      <c r="V113" s="11">
        <v>270753</v>
      </c>
    </row>
    <row r="114" spans="1:24">
      <c r="A114" s="74">
        <v>100</v>
      </c>
      <c r="B114" s="22" t="s">
        <v>139</v>
      </c>
      <c r="C114" s="22" t="s">
        <v>138</v>
      </c>
      <c r="D114" s="20">
        <v>115015069229.64999</v>
      </c>
      <c r="E114" s="20">
        <v>1046545321.71</v>
      </c>
      <c r="F114" s="20">
        <v>0</v>
      </c>
      <c r="G114" s="20">
        <v>180400638.65000001</v>
      </c>
      <c r="H114" s="13">
        <f t="shared" si="47"/>
        <v>866144683.06000006</v>
      </c>
      <c r="I114" s="34">
        <v>107662740554.05</v>
      </c>
      <c r="J114" s="14">
        <f t="shared" si="40"/>
        <v>6.3251701385103123E-2</v>
      </c>
      <c r="K114" s="34">
        <v>114639052802.57001</v>
      </c>
      <c r="L114" s="14">
        <f t="shared" si="48"/>
        <v>6.6490585872228267E-2</v>
      </c>
      <c r="M114" s="14">
        <f t="shared" si="49"/>
        <v>6.4797832682121637E-2</v>
      </c>
      <c r="N114" s="24">
        <f t="shared" si="50"/>
        <v>1.5736403454125168E-3</v>
      </c>
      <c r="O114" s="25">
        <f t="shared" si="51"/>
        <v>7.5554068346295918E-3</v>
      </c>
      <c r="P114" s="28">
        <f t="shared" si="52"/>
        <v>184889.76969642282</v>
      </c>
      <c r="Q114" s="28">
        <f t="shared" si="53"/>
        <v>1396.9174296174442</v>
      </c>
      <c r="R114" s="11">
        <f>119.59*1546.07</f>
        <v>184894.51129999998</v>
      </c>
      <c r="S114" s="11">
        <f>119.59*1546.07</f>
        <v>184894.51129999998</v>
      </c>
      <c r="T114" s="11">
        <v>684</v>
      </c>
      <c r="U114" s="11">
        <v>579207</v>
      </c>
      <c r="V114" s="11">
        <v>620040</v>
      </c>
    </row>
    <row r="115" spans="1:24" s="3" customFormat="1">
      <c r="A115" s="74">
        <v>101</v>
      </c>
      <c r="B115" s="71" t="s">
        <v>140</v>
      </c>
      <c r="C115" s="73" t="s">
        <v>141</v>
      </c>
      <c r="D115" s="20">
        <f>143492.52*1478.22</f>
        <v>212113512.91439998</v>
      </c>
      <c r="E115" s="20">
        <f>912.5*1478.22</f>
        <v>1348875.75</v>
      </c>
      <c r="F115" s="20">
        <v>0</v>
      </c>
      <c r="G115" s="20">
        <f>2828.56*1478.22</f>
        <v>4181233.9632000001</v>
      </c>
      <c r="H115" s="13">
        <f t="shared" si="47"/>
        <v>-2832358.2132000001</v>
      </c>
      <c r="I115" s="34">
        <f>137210.27*1535.8176</f>
        <v>210729947.56675199</v>
      </c>
      <c r="J115" s="14">
        <f t="shared" si="40"/>
        <v>1.2380353358828957E-4</v>
      </c>
      <c r="K115" s="34">
        <f>136563.86*1478.22</f>
        <v>201871429.12919998</v>
      </c>
      <c r="L115" s="14">
        <f t="shared" si="48"/>
        <v>1.1708531486892749E-4</v>
      </c>
      <c r="M115" s="14">
        <f t="shared" si="49"/>
        <v>-4.2037301958450547E-2</v>
      </c>
      <c r="N115" s="24">
        <f t="shared" si="50"/>
        <v>2.0712361235249211E-2</v>
      </c>
      <c r="O115" s="25">
        <f t="shared" si="51"/>
        <v>-1.4030505581784231E-2</v>
      </c>
      <c r="P115" s="28">
        <f t="shared" si="52"/>
        <v>174558.2930203118</v>
      </c>
      <c r="Q115" s="28">
        <f t="shared" si="53"/>
        <v>-2449.1411045682121</v>
      </c>
      <c r="R115" s="11">
        <f>112.8502*1478.22</f>
        <v>166817.42264400001</v>
      </c>
      <c r="S115" s="11">
        <f>112.8502*1478.22</f>
        <v>166817.42264400001</v>
      </c>
      <c r="T115" s="11">
        <v>7</v>
      </c>
      <c r="U115" s="11">
        <v>1210.1300000000001</v>
      </c>
      <c r="V115" s="11">
        <v>1156.47</v>
      </c>
      <c r="W115" s="6"/>
      <c r="X115" s="6"/>
    </row>
    <row r="116" spans="1:24">
      <c r="A116" s="74">
        <v>102</v>
      </c>
      <c r="B116" s="22" t="s">
        <v>142</v>
      </c>
      <c r="C116" s="22" t="s">
        <v>143</v>
      </c>
      <c r="D116" s="20">
        <f>10441465.46*1478.22</f>
        <v>15434783072.281202</v>
      </c>
      <c r="E116" s="20">
        <f>60063.17*1478.22</f>
        <v>88786579.157399997</v>
      </c>
      <c r="F116" s="20">
        <v>0</v>
      </c>
      <c r="G116" s="20">
        <f>16981.74*1478.22</f>
        <v>25102747.702800002</v>
      </c>
      <c r="H116" s="13">
        <f t="shared" si="47"/>
        <v>63683831.454599991</v>
      </c>
      <c r="I116" s="34">
        <f>10113173.54*1535.8176</f>
        <v>15531989914.586304</v>
      </c>
      <c r="J116" s="14">
        <f t="shared" si="40"/>
        <v>9.1250211813123858E-3</v>
      </c>
      <c r="K116" s="34">
        <f>10360267.16*1478.22</f>
        <v>15314754121.255201</v>
      </c>
      <c r="L116" s="14">
        <f t="shared" si="48"/>
        <v>8.8825487398701934E-3</v>
      </c>
      <c r="M116" s="14">
        <f t="shared" si="49"/>
        <v>-1.3986346535487592E-2</v>
      </c>
      <c r="N116" s="24">
        <f t="shared" si="50"/>
        <v>1.6391218235727427E-3</v>
      </c>
      <c r="O116" s="25">
        <f t="shared" si="51"/>
        <v>4.1583319556018081E-3</v>
      </c>
      <c r="P116" s="28">
        <f t="shared" si="52"/>
        <v>2056.756667779809</v>
      </c>
      <c r="Q116" s="28">
        <f t="shared" si="53"/>
        <v>8.5526769765258717</v>
      </c>
      <c r="R116" s="11">
        <f>1.39*1478.22</f>
        <v>2054.7257999999997</v>
      </c>
      <c r="S116" s="11">
        <f>1.39*1478.22</f>
        <v>2054.7257999999997</v>
      </c>
      <c r="T116" s="11">
        <v>113</v>
      </c>
      <c r="U116" s="11">
        <v>7297395</v>
      </c>
      <c r="V116" s="11">
        <v>7446070</v>
      </c>
    </row>
    <row r="117" spans="1:24">
      <c r="A117" s="74">
        <v>103</v>
      </c>
      <c r="B117" s="22" t="s">
        <v>144</v>
      </c>
      <c r="C117" s="22" t="s">
        <v>50</v>
      </c>
      <c r="D117" s="20">
        <f>113551674*1478.22</f>
        <v>167854355540.28</v>
      </c>
      <c r="E117" s="20">
        <f>753962*1478.22</f>
        <v>1114521707.6400001</v>
      </c>
      <c r="F117" s="20">
        <v>0</v>
      </c>
      <c r="G117" s="20">
        <f>181714*1478.22</f>
        <v>268613269.07999998</v>
      </c>
      <c r="H117" s="13">
        <f t="shared" si="47"/>
        <v>845908438.56000018</v>
      </c>
      <c r="I117" s="34">
        <f>128056020*1535.8176</f>
        <v>196670689301.952</v>
      </c>
      <c r="J117" s="14">
        <f t="shared" si="40"/>
        <v>0.11554374008048145</v>
      </c>
      <c r="K117" s="34">
        <f>125058056*1478.22</f>
        <v>184863319540.32001</v>
      </c>
      <c r="L117" s="14">
        <f t="shared" si="48"/>
        <v>0.1072206209143178</v>
      </c>
      <c r="M117" s="14">
        <f t="shared" si="49"/>
        <v>-6.0036245378201347E-2</v>
      </c>
      <c r="N117" s="24">
        <f t="shared" si="50"/>
        <v>1.4530371398064909E-3</v>
      </c>
      <c r="O117" s="25">
        <f t="shared" si="51"/>
        <v>4.5758587515545585E-3</v>
      </c>
      <c r="P117" s="28">
        <f t="shared" si="52"/>
        <v>185114.4810170191</v>
      </c>
      <c r="Q117" s="28">
        <f t="shared" si="53"/>
        <v>847.05771800120704</v>
      </c>
      <c r="R117" s="11">
        <f>125*1478.22</f>
        <v>184777.5</v>
      </c>
      <c r="S117" s="11">
        <f>125*1478.22</f>
        <v>184777.5</v>
      </c>
      <c r="T117" s="11">
        <v>1005</v>
      </c>
      <c r="U117" s="11">
        <v>1046497.1</v>
      </c>
      <c r="V117" s="11">
        <v>998643.21</v>
      </c>
    </row>
    <row r="118" spans="1:24" ht="13.95" customHeight="1">
      <c r="A118" s="74">
        <v>104</v>
      </c>
      <c r="B118" s="22" t="s">
        <v>145</v>
      </c>
      <c r="C118" s="22" t="s">
        <v>146</v>
      </c>
      <c r="D118" s="20">
        <v>29000226350.279999</v>
      </c>
      <c r="E118" s="20">
        <v>312441291.49000001</v>
      </c>
      <c r="F118" s="20">
        <v>0</v>
      </c>
      <c r="G118" s="20">
        <v>60636231.719999999</v>
      </c>
      <c r="H118" s="13">
        <f t="shared" si="47"/>
        <v>251805059.77000001</v>
      </c>
      <c r="I118" s="34">
        <f>19727102.6*1535.8176</f>
        <v>30297231370.085766</v>
      </c>
      <c r="J118" s="14">
        <f t="shared" si="40"/>
        <v>1.7799578773066586E-2</v>
      </c>
      <c r="K118" s="34">
        <v>30792254549.200001</v>
      </c>
      <c r="L118" s="14">
        <f t="shared" si="48"/>
        <v>1.7859490245693964E-2</v>
      </c>
      <c r="M118" s="14">
        <f t="shared" si="49"/>
        <v>1.6338891599283239E-2</v>
      </c>
      <c r="N118" s="24">
        <f t="shared" si="50"/>
        <v>1.9692040289909646E-3</v>
      </c>
      <c r="O118" s="25">
        <f t="shared" si="51"/>
        <v>8.1775454073252339E-3</v>
      </c>
      <c r="P118" s="28">
        <f t="shared" si="52"/>
        <v>156031.81493012272</v>
      </c>
      <c r="Q118" s="28">
        <f t="shared" si="53"/>
        <v>1275.9572515784459</v>
      </c>
      <c r="R118" s="11">
        <v>156031.81</v>
      </c>
      <c r="S118" s="11">
        <v>156031.81</v>
      </c>
      <c r="T118" s="11">
        <f>473+29+26</f>
        <v>528</v>
      </c>
      <c r="U118" s="11">
        <v>186996</v>
      </c>
      <c r="V118" s="11">
        <v>197346</v>
      </c>
    </row>
    <row r="119" spans="1:24">
      <c r="A119" s="74">
        <v>105</v>
      </c>
      <c r="B119" s="22" t="s">
        <v>147</v>
      </c>
      <c r="C119" s="22" t="s">
        <v>42</v>
      </c>
      <c r="D119" s="20">
        <f>1718922.31*1478.22</f>
        <v>2540945337.0882001</v>
      </c>
      <c r="E119" s="20">
        <f>32809.54*1478.22</f>
        <v>48499718.218800001</v>
      </c>
      <c r="F119" s="20">
        <v>0</v>
      </c>
      <c r="G119" s="20">
        <f>2112.32*1478.22</f>
        <v>3122473.6704000002</v>
      </c>
      <c r="H119" s="13">
        <f t="shared" si="47"/>
        <v>45377244.5484</v>
      </c>
      <c r="I119" s="34">
        <f>1691453.96*1535.8176</f>
        <v>2597764761.3576961</v>
      </c>
      <c r="J119" s="14">
        <f t="shared" si="40"/>
        <v>1.5261829683004444E-3</v>
      </c>
      <c r="K119" s="34">
        <f>1716809.99*1478.22</f>
        <v>2537822863.4177999</v>
      </c>
      <c r="L119" s="14">
        <f t="shared" si="48"/>
        <v>1.4719358273065091E-3</v>
      </c>
      <c r="M119" s="14">
        <f t="shared" si="49"/>
        <v>-2.3074413369349143E-2</v>
      </c>
      <c r="N119" s="24">
        <f t="shared" si="50"/>
        <v>1.2303749467347869E-3</v>
      </c>
      <c r="O119" s="25">
        <f t="shared" si="51"/>
        <v>1.7880382907138139E-2</v>
      </c>
      <c r="P119" s="28">
        <f t="shared" si="52"/>
        <v>202791.5642583927</v>
      </c>
      <c r="Q119" s="28">
        <f t="shared" si="53"/>
        <v>3625.9908192775706</v>
      </c>
      <c r="R119" s="11">
        <f>137.05*1478.22</f>
        <v>202590.05100000001</v>
      </c>
      <c r="S119" s="11">
        <f>141.02*1478.22</f>
        <v>208458.58440000002</v>
      </c>
      <c r="T119" s="11">
        <v>51</v>
      </c>
      <c r="U119" s="11">
        <v>12436.44</v>
      </c>
      <c r="V119" s="11">
        <v>12514.44</v>
      </c>
    </row>
    <row r="120" spans="1:24" ht="8.1" customHeight="1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</row>
    <row r="121" spans="1:24">
      <c r="A121" s="125" t="s">
        <v>148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</row>
    <row r="122" spans="1:24">
      <c r="A122" s="90">
        <v>106</v>
      </c>
      <c r="B122" s="22" t="s">
        <v>149</v>
      </c>
      <c r="C122" s="79" t="s">
        <v>103</v>
      </c>
      <c r="D122" s="53">
        <f>1018127.6*1478.22</f>
        <v>1505016580.872</v>
      </c>
      <c r="E122" s="11">
        <f>8723.09*1478.22</f>
        <v>12894646.0998</v>
      </c>
      <c r="F122" s="11">
        <v>0</v>
      </c>
      <c r="G122" s="11">
        <f>1973.42*1478.22</f>
        <v>2917148.9124000003</v>
      </c>
      <c r="H122" s="13">
        <f>(E122+F122)-G122</f>
        <v>9977497.1874000002</v>
      </c>
      <c r="I122" s="11">
        <f>1168302.05*1535.8176</f>
        <v>1794298850.5060802</v>
      </c>
      <c r="J122" s="14">
        <f>(I122/$I$135)</f>
        <v>1.0541479299504518E-3</v>
      </c>
      <c r="K122" s="11">
        <f>1232374.08*1478.22</f>
        <v>1821720012.5376</v>
      </c>
      <c r="L122" s="14">
        <f>(K122/$K$135)</f>
        <v>1.0565965782828989E-3</v>
      </c>
      <c r="M122" s="14">
        <f t="shared" ref="M122:M135" si="54">((K122-I122)/I122)</f>
        <v>1.5282382878295763E-2</v>
      </c>
      <c r="N122" s="24">
        <f t="shared" ref="N122" si="55">(G122/K122)</f>
        <v>1.601315730366546E-3</v>
      </c>
      <c r="O122" s="25">
        <f t="shared" ref="O122" si="56">H122/K122</f>
        <v>5.4769652409437236E-3</v>
      </c>
      <c r="P122" s="26">
        <f t="shared" ref="P122" si="57">K122/V122</f>
        <v>162291.31514811583</v>
      </c>
      <c r="Q122" s="26">
        <f t="shared" ref="Q122" si="58">H122/V122</f>
        <v>888.86389197327401</v>
      </c>
      <c r="R122" s="11">
        <f>109.79*1478.22</f>
        <v>162293.77380000002</v>
      </c>
      <c r="S122" s="11">
        <f>109.79*1478.22</f>
        <v>162293.77380000002</v>
      </c>
      <c r="T122" s="11">
        <v>22</v>
      </c>
      <c r="U122" s="20">
        <v>10755</v>
      </c>
      <c r="V122" s="20">
        <v>11225</v>
      </c>
    </row>
    <row r="123" spans="1:24">
      <c r="A123" s="90">
        <v>107</v>
      </c>
      <c r="B123" s="22" t="s">
        <v>150</v>
      </c>
      <c r="C123" s="79" t="s">
        <v>28</v>
      </c>
      <c r="D123" s="53">
        <f>8793542.32*1478.22</f>
        <v>12998790128.270401</v>
      </c>
      <c r="E123" s="11">
        <f>61959.39*1478.22</f>
        <v>91589609.485799998</v>
      </c>
      <c r="F123" s="11">
        <v>0</v>
      </c>
      <c r="G123" s="11">
        <f>10178.47*1478.22</f>
        <v>15046017.9234</v>
      </c>
      <c r="H123" s="13">
        <f t="shared" ref="H123:H134" si="59">(E123+F123)-G123</f>
        <v>76543591.562399998</v>
      </c>
      <c r="I123" s="11">
        <f>10904968.51*1535.8176</f>
        <v>16748042565.103777</v>
      </c>
      <c r="J123" s="14">
        <f t="shared" ref="J123:J134" si="60">(I123/$I$135)</f>
        <v>9.8394503210803771E-3</v>
      </c>
      <c r="K123" s="11">
        <f>11105276.72*1478.22</f>
        <v>16416042153.038401</v>
      </c>
      <c r="L123" s="14">
        <f t="shared" ref="L123:L134" si="61">(K123/$K$135)</f>
        <v>9.5212951762477308E-3</v>
      </c>
      <c r="M123" s="14">
        <f t="shared" ref="M123:M134" si="62">((K123-I123)/I123)</f>
        <v>-1.9823236702128544E-2</v>
      </c>
      <c r="N123" s="24">
        <f t="shared" ref="N123:N134" si="63">(G123/K123)</f>
        <v>9.1654357263057915E-4</v>
      </c>
      <c r="O123" s="25">
        <f t="shared" ref="O123:O134" si="64">H123/K123</f>
        <v>4.6627311777603323E-3</v>
      </c>
      <c r="P123" s="26">
        <f t="shared" ref="P123:P134" si="65">K123/V123</f>
        <v>198633.88917087988</v>
      </c>
      <c r="Q123" s="26">
        <f t="shared" ref="Q123:Q134" si="66">H123/V123</f>
        <v>926.176427996852</v>
      </c>
      <c r="R123" s="11">
        <f>134.3737*1478.22</f>
        <v>198633.89081400001</v>
      </c>
      <c r="S123" s="11">
        <f>134.3737*1478.22</f>
        <v>198633.89081400001</v>
      </c>
      <c r="T123" s="11">
        <v>522</v>
      </c>
      <c r="U123" s="20">
        <v>81535.710000000006</v>
      </c>
      <c r="V123" s="20">
        <v>82644.72</v>
      </c>
    </row>
    <row r="124" spans="1:24" ht="14.1" customHeight="1">
      <c r="A124" s="90">
        <v>108</v>
      </c>
      <c r="B124" s="22" t="s">
        <v>151</v>
      </c>
      <c r="C124" s="22" t="s">
        <v>62</v>
      </c>
      <c r="D124" s="53">
        <f>9817187.28*1478.22</f>
        <v>14511962581.041599</v>
      </c>
      <c r="E124" s="11">
        <f>71525.02*1478.22</f>
        <v>105729715.0644</v>
      </c>
      <c r="F124" s="11">
        <v>0</v>
      </c>
      <c r="G124" s="11">
        <f>19503.48*1478.22</f>
        <v>28830434.205600001</v>
      </c>
      <c r="H124" s="13">
        <f t="shared" si="59"/>
        <v>76899280.858799994</v>
      </c>
      <c r="I124" s="11">
        <f>10339053.89*1535.8176</f>
        <v>15878900931.610466</v>
      </c>
      <c r="J124" s="14">
        <f t="shared" si="60"/>
        <v>9.3288308924816717E-3</v>
      </c>
      <c r="K124" s="11">
        <f>10454038.61*1478.22</f>
        <v>15453368954.0742</v>
      </c>
      <c r="L124" s="14">
        <f t="shared" si="61"/>
        <v>8.9629452646093569E-3</v>
      </c>
      <c r="M124" s="14">
        <f t="shared" si="62"/>
        <v>-2.6798578778783787E-2</v>
      </c>
      <c r="N124" s="24">
        <f t="shared" si="63"/>
        <v>1.8656407085911844E-3</v>
      </c>
      <c r="O124" s="25">
        <f t="shared" si="64"/>
        <v>4.9762146420846247E-3</v>
      </c>
      <c r="P124" s="26">
        <f t="shared" si="65"/>
        <v>173222.68502846285</v>
      </c>
      <c r="Q124" s="26">
        <f t="shared" si="66"/>
        <v>861.9932615798499</v>
      </c>
      <c r="R124" s="11">
        <f>117.13*1478.22</f>
        <v>173143.9086</v>
      </c>
      <c r="S124" s="11">
        <f>117.13*1478.22</f>
        <v>173143.9086</v>
      </c>
      <c r="T124" s="11">
        <f>576+44+28</f>
        <v>648</v>
      </c>
      <c r="U124" s="20">
        <v>88743</v>
      </c>
      <c r="V124" s="20">
        <v>89211</v>
      </c>
    </row>
    <row r="125" spans="1:24" ht="14.1" customHeight="1">
      <c r="A125" s="90">
        <v>109</v>
      </c>
      <c r="B125" s="71" t="s">
        <v>262</v>
      </c>
      <c r="C125" s="73" t="s">
        <v>66</v>
      </c>
      <c r="D125" s="53">
        <v>83321616.549999997</v>
      </c>
      <c r="E125" s="11">
        <v>0</v>
      </c>
      <c r="F125" s="11">
        <v>0</v>
      </c>
      <c r="G125" s="11">
        <v>343221.31</v>
      </c>
      <c r="H125" s="13">
        <f t="shared" si="59"/>
        <v>-343221.31</v>
      </c>
      <c r="I125" s="11">
        <v>92350081.780000001</v>
      </c>
      <c r="J125" s="14">
        <f t="shared" si="60"/>
        <v>5.4255536925570839E-5</v>
      </c>
      <c r="K125" s="11">
        <v>88640424.620000005</v>
      </c>
      <c r="L125" s="14">
        <f t="shared" si="61"/>
        <v>5.1411396211525218E-5</v>
      </c>
      <c r="M125" s="14">
        <f t="shared" si="62"/>
        <v>-4.016950595493015E-2</v>
      </c>
      <c r="N125" s="24">
        <f t="shared" si="63"/>
        <v>3.8720630171999279E-3</v>
      </c>
      <c r="O125" s="25">
        <f t="shared" si="64"/>
        <v>-3.8720630171999279E-3</v>
      </c>
      <c r="P125" s="26">
        <f t="shared" si="65"/>
        <v>1472.046093514781</v>
      </c>
      <c r="Q125" s="26">
        <f t="shared" si="66"/>
        <v>-5.6998552383122103</v>
      </c>
      <c r="R125" s="11">
        <v>1536.66</v>
      </c>
      <c r="S125" s="11">
        <v>1536.66</v>
      </c>
      <c r="T125" s="11">
        <v>2</v>
      </c>
      <c r="U125" s="20">
        <v>60094.66</v>
      </c>
      <c r="V125" s="20">
        <v>60215.794199999997</v>
      </c>
    </row>
    <row r="126" spans="1:24" ht="15" customHeight="1">
      <c r="A126" s="90">
        <v>110</v>
      </c>
      <c r="B126" s="22" t="s">
        <v>152</v>
      </c>
      <c r="C126" s="79" t="s">
        <v>60</v>
      </c>
      <c r="D126" s="53">
        <f>4231115.37*1478.22</f>
        <v>6254519362.2414007</v>
      </c>
      <c r="E126" s="11">
        <f>25100.1*1478.22</f>
        <v>37103469.821999997</v>
      </c>
      <c r="F126" s="11">
        <v>0</v>
      </c>
      <c r="G126" s="11">
        <f>5645.63*1478.22</f>
        <v>8345483.1786000002</v>
      </c>
      <c r="H126" s="13">
        <f t="shared" si="59"/>
        <v>28757986.643399999</v>
      </c>
      <c r="I126" s="11">
        <f>4198897.94*1535.8176</f>
        <v>6448741356.8557453</v>
      </c>
      <c r="J126" s="14">
        <f t="shared" si="60"/>
        <v>3.7886260419762313E-3</v>
      </c>
      <c r="K126" s="11">
        <f>4336519.32*1478.22</f>
        <v>6410329589.2104006</v>
      </c>
      <c r="L126" s="14">
        <f t="shared" si="61"/>
        <v>3.7179875409012854E-3</v>
      </c>
      <c r="M126" s="14">
        <f t="shared" si="62"/>
        <v>-5.9564751506910197E-3</v>
      </c>
      <c r="N126" s="24">
        <f t="shared" si="63"/>
        <v>1.3018805137019428E-3</v>
      </c>
      <c r="O126" s="25">
        <f t="shared" si="64"/>
        <v>4.4861947023448279E-3</v>
      </c>
      <c r="P126" s="26">
        <f t="shared" si="65"/>
        <v>1873.3521618468035</v>
      </c>
      <c r="Q126" s="26">
        <f t="shared" si="66"/>
        <v>8.4042225441033604</v>
      </c>
      <c r="R126" s="11">
        <f>1.27*1478.22</f>
        <v>1877.3394000000001</v>
      </c>
      <c r="S126" s="11">
        <f>1.27*1478.22</f>
        <v>1877.3394000000001</v>
      </c>
      <c r="T126" s="11">
        <v>229</v>
      </c>
      <c r="U126" s="20">
        <v>3328481.32</v>
      </c>
      <c r="V126" s="20">
        <v>3421849.73</v>
      </c>
    </row>
    <row r="127" spans="1:24" ht="15" customHeight="1">
      <c r="A127" s="90">
        <v>111</v>
      </c>
      <c r="B127" s="22" t="s">
        <v>270</v>
      </c>
      <c r="C127" s="79" t="s">
        <v>36</v>
      </c>
      <c r="D127" s="53">
        <f>52453171.29*1478.22</f>
        <v>77537326864.303802</v>
      </c>
      <c r="E127" s="11">
        <f>271615.03*1478.22</f>
        <v>401506769.64660007</v>
      </c>
      <c r="F127" s="11">
        <v>0</v>
      </c>
      <c r="G127" s="11">
        <f>65442.23*1478.22</f>
        <v>96738013.230599999</v>
      </c>
      <c r="H127" s="13">
        <f t="shared" si="59"/>
        <v>304768756.41600007</v>
      </c>
      <c r="I127" s="11">
        <f>49620612*1535.8176</f>
        <v>76208209232.371201</v>
      </c>
      <c r="J127" s="14">
        <f t="shared" si="60"/>
        <v>4.4772210596287616E-2</v>
      </c>
      <c r="K127" s="11">
        <f>52058708*1478.22</f>
        <v>76954223339.759995</v>
      </c>
      <c r="L127" s="14">
        <f t="shared" si="61"/>
        <v>4.4633406069874967E-2</v>
      </c>
      <c r="M127" s="14">
        <f t="shared" si="62"/>
        <v>9.7891567706843222E-3</v>
      </c>
      <c r="N127" s="24">
        <f t="shared" si="63"/>
        <v>1.2570851739155725E-3</v>
      </c>
      <c r="O127" s="25">
        <f t="shared" si="64"/>
        <v>3.9603902578604156E-3</v>
      </c>
      <c r="P127" s="26">
        <f t="shared" si="65"/>
        <v>147821.99999999997</v>
      </c>
      <c r="Q127" s="26">
        <f t="shared" si="66"/>
        <v>585.43280869744228</v>
      </c>
      <c r="R127" s="11">
        <f>100*1478.22</f>
        <v>147822</v>
      </c>
      <c r="S127" s="11">
        <f>100*1478.22</f>
        <v>147822</v>
      </c>
      <c r="T127" s="11">
        <v>1815</v>
      </c>
      <c r="U127" s="20">
        <v>496206.12</v>
      </c>
      <c r="V127" s="20">
        <v>520587.08</v>
      </c>
    </row>
    <row r="128" spans="1:24" ht="15" customHeight="1">
      <c r="A128" s="90">
        <v>112</v>
      </c>
      <c r="B128" s="71" t="s">
        <v>237</v>
      </c>
      <c r="C128" s="73" t="s">
        <v>238</v>
      </c>
      <c r="D128" s="53">
        <f>1098081.41*1478.22</f>
        <v>1623205901.8901999</v>
      </c>
      <c r="E128" s="11">
        <f>64225.86*1478.22</f>
        <v>94939950.769199997</v>
      </c>
      <c r="F128" s="11">
        <v>0</v>
      </c>
      <c r="G128" s="11">
        <f>3105.9*1478.22</f>
        <v>4591203.4980000006</v>
      </c>
      <c r="H128" s="13">
        <f t="shared" si="59"/>
        <v>90348747.271200001</v>
      </c>
      <c r="I128" s="11">
        <f>1042661.25*1535.8176</f>
        <v>1601337498.5880001</v>
      </c>
      <c r="J128" s="14">
        <f t="shared" si="60"/>
        <v>9.4078342011558614E-4</v>
      </c>
      <c r="K128" s="11">
        <f>1065961.8*1478.22</f>
        <v>1575726051.9960001</v>
      </c>
      <c r="L128" s="14">
        <f t="shared" si="61"/>
        <v>9.1392022011715782E-4</v>
      </c>
      <c r="M128" s="14">
        <f t="shared" si="62"/>
        <v>-1.5993784330026139E-2</v>
      </c>
      <c r="N128" s="24">
        <f t="shared" si="63"/>
        <v>2.9137066637847627E-3</v>
      </c>
      <c r="O128" s="25">
        <f t="shared" si="64"/>
        <v>5.7337852069370587E-2</v>
      </c>
      <c r="P128" s="26">
        <f t="shared" si="65"/>
        <v>1602.7926682312482</v>
      </c>
      <c r="Q128" s="26">
        <f t="shared" si="66"/>
        <v>91.900688908915072</v>
      </c>
      <c r="R128" s="11">
        <v>1.0843</v>
      </c>
      <c r="S128" s="11">
        <v>1.1169</v>
      </c>
      <c r="T128" s="11">
        <v>36</v>
      </c>
      <c r="U128" s="20">
        <v>952027.95</v>
      </c>
      <c r="V128" s="20">
        <v>983112.84</v>
      </c>
    </row>
    <row r="129" spans="1:22" ht="15" customHeight="1">
      <c r="A129" s="90">
        <v>113</v>
      </c>
      <c r="B129" s="71" t="s">
        <v>239</v>
      </c>
      <c r="C129" s="73" t="s">
        <v>40</v>
      </c>
      <c r="D129" s="53">
        <f>1913294.57*1478.22</f>
        <v>2828270299.2653999</v>
      </c>
      <c r="E129" s="11">
        <f>22207.63*1478.22</f>
        <v>32827762.818600003</v>
      </c>
      <c r="F129" s="11">
        <f>310.47*1478.22</f>
        <v>458942.96340000007</v>
      </c>
      <c r="G129" s="11">
        <f>4785.64*1478.22</f>
        <v>7074228.7608000003</v>
      </c>
      <c r="H129" s="13">
        <f t="shared" si="59"/>
        <v>26212477.021200001</v>
      </c>
      <c r="I129" s="11">
        <f>2655695.85*1535.8176</f>
        <v>4078664426.6769605</v>
      </c>
      <c r="J129" s="14">
        <f t="shared" si="60"/>
        <v>2.3962093388910049E-3</v>
      </c>
      <c r="K129" s="11">
        <f>2720824.76*1478.22</f>
        <v>4021977576.7271996</v>
      </c>
      <c r="L129" s="14">
        <f t="shared" si="61"/>
        <v>2.3327447227090249E-3</v>
      </c>
      <c r="M129" s="14">
        <f t="shared" si="62"/>
        <v>-1.3898385358450732E-2</v>
      </c>
      <c r="N129" s="24">
        <f t="shared" si="63"/>
        <v>1.7588931379762954E-3</v>
      </c>
      <c r="O129" s="25">
        <f t="shared" si="64"/>
        <v>6.5173105819575101E-3</v>
      </c>
      <c r="P129" s="26">
        <f t="shared" si="65"/>
        <v>15397.428633179636</v>
      </c>
      <c r="Q129" s="26">
        <f t="shared" si="66"/>
        <v>100.34982456595721</v>
      </c>
      <c r="R129" s="11">
        <f>10.42*1478.22</f>
        <v>15403.0524</v>
      </c>
      <c r="S129" s="11">
        <f>10.42*1478.22</f>
        <v>15403.0524</v>
      </c>
      <c r="T129" s="11">
        <v>95</v>
      </c>
      <c r="U129" s="20">
        <v>247866.99</v>
      </c>
      <c r="V129" s="20">
        <v>261210.99</v>
      </c>
    </row>
    <row r="130" spans="1:22">
      <c r="A130" s="90">
        <v>114</v>
      </c>
      <c r="B130" s="79" t="s">
        <v>153</v>
      </c>
      <c r="C130" s="79" t="s">
        <v>44</v>
      </c>
      <c r="D130" s="53">
        <f>16239086.88*1478.22</f>
        <v>24004943007.753601</v>
      </c>
      <c r="E130" s="11">
        <f>204893.9*1478.22</f>
        <v>302878260.85799998</v>
      </c>
      <c r="F130" s="11">
        <f>-64276.82*1478.22</f>
        <v>-95015280.860400006</v>
      </c>
      <c r="G130" s="11">
        <f>28064*1478.22</f>
        <v>41484766.079999998</v>
      </c>
      <c r="H130" s="13">
        <f t="shared" si="59"/>
        <v>166378213.91759998</v>
      </c>
      <c r="I130" s="11">
        <f>15691823.99*1535.8176</f>
        <v>24099779459.944225</v>
      </c>
      <c r="J130" s="14">
        <f t="shared" si="60"/>
        <v>1.4158584910644759E-2</v>
      </c>
      <c r="K130" s="11">
        <f>16373607.28*1478.22</f>
        <v>24203793753.441601</v>
      </c>
      <c r="L130" s="14">
        <f t="shared" si="61"/>
        <v>1.4038186705611307E-2</v>
      </c>
      <c r="M130" s="14">
        <f t="shared" si="62"/>
        <v>4.3159852840253419E-3</v>
      </c>
      <c r="N130" s="24">
        <f t="shared" si="63"/>
        <v>1.7139778376313907E-3</v>
      </c>
      <c r="O130" s="25">
        <f t="shared" si="64"/>
        <v>6.874055183764001E-3</v>
      </c>
      <c r="P130" s="26">
        <f t="shared" si="65"/>
        <v>1564.0467381161322</v>
      </c>
      <c r="Q130" s="26">
        <f t="shared" si="66"/>
        <v>10.751343587796375</v>
      </c>
      <c r="R130" s="11">
        <f>1.06*1478.22</f>
        <v>1566.9132000000002</v>
      </c>
      <c r="S130" s="11">
        <f>1.06*1478.22</f>
        <v>1566.9132000000002</v>
      </c>
      <c r="T130" s="11">
        <v>483</v>
      </c>
      <c r="U130" s="20">
        <v>14611296</v>
      </c>
      <c r="V130" s="20">
        <v>15475109</v>
      </c>
    </row>
    <row r="131" spans="1:22">
      <c r="A131" s="90">
        <v>115</v>
      </c>
      <c r="B131" s="22" t="s">
        <v>154</v>
      </c>
      <c r="C131" s="79" t="s">
        <v>85</v>
      </c>
      <c r="D131" s="53">
        <f>340728.29*1478.22</f>
        <v>503671372.84379995</v>
      </c>
      <c r="E131" s="11">
        <f>2086.11*1478.22</f>
        <v>3083729.5242000003</v>
      </c>
      <c r="F131" s="11">
        <f>11107.26*1478.22</f>
        <v>16418973.8772</v>
      </c>
      <c r="G131" s="11">
        <f>118.3*1478.22</f>
        <v>174873.42600000001</v>
      </c>
      <c r="H131" s="13">
        <f t="shared" si="59"/>
        <v>19327829.975400001</v>
      </c>
      <c r="I131" s="11">
        <f>337269.47*1535.8176</f>
        <v>517984387.96867198</v>
      </c>
      <c r="J131" s="14">
        <f t="shared" si="60"/>
        <v>3.0431506444415291E-4</v>
      </c>
      <c r="K131" s="11">
        <f>331747.45*1478.22</f>
        <v>490395715.53900003</v>
      </c>
      <c r="L131" s="14">
        <f t="shared" si="61"/>
        <v>2.8442923801519512E-4</v>
      </c>
      <c r="M131" s="14">
        <f t="shared" si="62"/>
        <v>-5.3261590639562914E-2</v>
      </c>
      <c r="N131" s="24">
        <f t="shared" si="63"/>
        <v>3.5659656163144582E-4</v>
      </c>
      <c r="O131" s="25">
        <f t="shared" si="64"/>
        <v>3.9412721936521289E-2</v>
      </c>
      <c r="P131" s="26">
        <f t="shared" si="65"/>
        <v>1614.2429731396051</v>
      </c>
      <c r="Q131" s="26">
        <f t="shared" si="66"/>
        <v>63.621709438334655</v>
      </c>
      <c r="R131" s="11">
        <f>1.1304*1478.22</f>
        <v>1670.9798880000001</v>
      </c>
      <c r="S131" s="11">
        <f>1.1304*1478.22</f>
        <v>1670.9798880000001</v>
      </c>
      <c r="T131" s="11">
        <v>3</v>
      </c>
      <c r="U131" s="20">
        <v>303793</v>
      </c>
      <c r="V131" s="20">
        <v>303793</v>
      </c>
    </row>
    <row r="132" spans="1:22">
      <c r="A132" s="90">
        <v>116</v>
      </c>
      <c r="B132" s="22" t="s">
        <v>155</v>
      </c>
      <c r="C132" s="22" t="s">
        <v>46</v>
      </c>
      <c r="D132" s="53">
        <f>638369011.74*1478.22</f>
        <v>943649840534.30286</v>
      </c>
      <c r="E132" s="11">
        <f>4702233.89*1478.22</f>
        <v>6950936180.8757992</v>
      </c>
      <c r="F132" s="11">
        <v>0</v>
      </c>
      <c r="G132" s="11">
        <f>1121382.04*1478.22</f>
        <v>1657649359.1688001</v>
      </c>
      <c r="H132" s="13">
        <f t="shared" si="59"/>
        <v>5293286821.7069988</v>
      </c>
      <c r="I132" s="11">
        <f>627139018.95*1535.8176</f>
        <v>963171142950.14368</v>
      </c>
      <c r="J132" s="14">
        <f t="shared" si="60"/>
        <v>0.56586162680900864</v>
      </c>
      <c r="K132" s="11">
        <f>641748329.95*1478.22</f>
        <v>948645216298.68909</v>
      </c>
      <c r="L132" s="14">
        <f t="shared" si="61"/>
        <v>0.55021368961600925</v>
      </c>
      <c r="M132" s="14">
        <f t="shared" si="62"/>
        <v>-1.5081355746355132E-2</v>
      </c>
      <c r="N132" s="24">
        <f t="shared" si="63"/>
        <v>1.747385988659089E-3</v>
      </c>
      <c r="O132" s="25">
        <f t="shared" si="64"/>
        <v>5.5798382058571006E-3</v>
      </c>
      <c r="P132" s="26">
        <f t="shared" si="65"/>
        <v>2341.0571059572108</v>
      </c>
      <c r="Q132" s="26">
        <f t="shared" si="66"/>
        <v>13.062719881913299</v>
      </c>
      <c r="R132" s="11">
        <f>1.5837*1478.22</f>
        <v>2341.057014</v>
      </c>
      <c r="S132" s="11">
        <f>1.5837*1478.22</f>
        <v>2341.057014</v>
      </c>
      <c r="T132" s="11">
        <v>9663</v>
      </c>
      <c r="U132" s="20">
        <v>398284801.64999998</v>
      </c>
      <c r="V132" s="20">
        <v>405220878.16000003</v>
      </c>
    </row>
    <row r="133" spans="1:22">
      <c r="A133" s="90">
        <v>117</v>
      </c>
      <c r="B133" s="22" t="s">
        <v>156</v>
      </c>
      <c r="C133" s="22" t="s">
        <v>50</v>
      </c>
      <c r="D133" s="53">
        <f>65056030*1478.22</f>
        <v>96167124666.600006</v>
      </c>
      <c r="E133" s="11">
        <f>815965*1478.22</f>
        <v>1206175782.3</v>
      </c>
      <c r="F133" s="11">
        <v>0</v>
      </c>
      <c r="G133" s="11">
        <f>218758*1478.22</f>
        <v>323372450.75999999</v>
      </c>
      <c r="H133" s="13">
        <f t="shared" si="59"/>
        <v>882803331.53999996</v>
      </c>
      <c r="I133" s="11">
        <f>99053708*1535.8176</f>
        <v>152128428091.6608</v>
      </c>
      <c r="J133" s="14">
        <f t="shared" si="60"/>
        <v>8.9375227272875626E-2</v>
      </c>
      <c r="K133" s="11">
        <f>132095304*1478.22</f>
        <v>195265920278.88</v>
      </c>
      <c r="L133" s="14">
        <f t="shared" si="61"/>
        <v>0.11325412346682863</v>
      </c>
      <c r="M133" s="14">
        <f t="shared" si="62"/>
        <v>0.28355970496998695</v>
      </c>
      <c r="N133" s="24">
        <f t="shared" si="63"/>
        <v>1.6560618990664497E-3</v>
      </c>
      <c r="O133" s="25">
        <f t="shared" si="64"/>
        <v>4.5210312699685371E-3</v>
      </c>
      <c r="P133" s="26">
        <f t="shared" si="65"/>
        <v>1736.4500216581914</v>
      </c>
      <c r="Q133" s="26">
        <f t="shared" si="66"/>
        <v>7.850544846654226</v>
      </c>
      <c r="R133" s="11">
        <f>1.17*1478.22</f>
        <v>1729.5174</v>
      </c>
      <c r="S133" s="11">
        <f>1.17*1478.22</f>
        <v>1729.5174</v>
      </c>
      <c r="T133" s="11">
        <v>306</v>
      </c>
      <c r="U133" s="20">
        <v>86435452.109999999</v>
      </c>
      <c r="V133" s="20">
        <v>112451218.2</v>
      </c>
    </row>
    <row r="134" spans="1:22">
      <c r="A134" s="90">
        <v>118</v>
      </c>
      <c r="B134" s="22" t="s">
        <v>236</v>
      </c>
      <c r="C134" s="79" t="s">
        <v>216</v>
      </c>
      <c r="D134" s="53">
        <f>540096.34*1478.22</f>
        <v>798381211.7148</v>
      </c>
      <c r="E134" s="11">
        <f>3463.96*1478.22</f>
        <v>5120494.9512</v>
      </c>
      <c r="F134" s="11">
        <v>0</v>
      </c>
      <c r="G134" s="11">
        <f>957.22*1478.22</f>
        <v>1414981.7484000002</v>
      </c>
      <c r="H134" s="13">
        <f t="shared" si="59"/>
        <v>3705513.2028000001</v>
      </c>
      <c r="I134" s="11">
        <f>457781.08 *1535.8176</f>
        <v>703068239.61100805</v>
      </c>
      <c r="J134" s="14">
        <f t="shared" si="60"/>
        <v>4.1305155447812677E-4</v>
      </c>
      <c r="K134" s="11">
        <f>540368.5*1478.22</f>
        <v>798783524.07000005</v>
      </c>
      <c r="L134" s="14">
        <f t="shared" si="61"/>
        <v>4.6329399277195339E-4</v>
      </c>
      <c r="M134" s="14">
        <f t="shared" si="62"/>
        <v>0.13613939453722035</v>
      </c>
      <c r="N134" s="24">
        <f t="shared" si="63"/>
        <v>1.7714207989547874E-3</v>
      </c>
      <c r="O134" s="25">
        <f t="shared" si="64"/>
        <v>4.638945460366398E-3</v>
      </c>
      <c r="P134" s="26">
        <f t="shared" si="65"/>
        <v>40378.412575496252</v>
      </c>
      <c r="Q134" s="26">
        <f t="shared" si="66"/>
        <v>187.31325371389983</v>
      </c>
      <c r="R134" s="11">
        <f>103.59*1478.22</f>
        <v>153128.80980000002</v>
      </c>
      <c r="S134" s="11">
        <f>103.59*1478.22</f>
        <v>153128.80980000002</v>
      </c>
      <c r="T134" s="11">
        <v>22</v>
      </c>
      <c r="U134" s="20">
        <v>25000</v>
      </c>
      <c r="V134" s="20">
        <v>19782.439999999999</v>
      </c>
    </row>
    <row r="135" spans="1:22" ht="15" customHeight="1">
      <c r="A135" s="117" t="s">
        <v>51</v>
      </c>
      <c r="B135" s="117"/>
      <c r="C135" s="117"/>
      <c r="D135" s="117"/>
      <c r="E135" s="117"/>
      <c r="F135" s="117"/>
      <c r="G135" s="117"/>
      <c r="H135" s="117"/>
      <c r="I135" s="29">
        <f>SUM(I105:I134)</f>
        <v>1702131929994.3203</v>
      </c>
      <c r="J135" s="41">
        <f>(I135/$I$203)</f>
        <v>0.44410039691082276</v>
      </c>
      <c r="K135" s="43">
        <f>SUM(K105:K134)</f>
        <v>1724139610122.6467</v>
      </c>
      <c r="L135" s="41">
        <f>(K135/$K$203)</f>
        <v>0.42229485985397958</v>
      </c>
      <c r="M135" s="41">
        <f t="shared" si="54"/>
        <v>1.2929479636986688E-2</v>
      </c>
      <c r="N135" s="24"/>
      <c r="O135" s="24"/>
      <c r="P135" s="42"/>
      <c r="Q135" s="42"/>
      <c r="R135" s="43"/>
      <c r="S135" s="43"/>
      <c r="T135" s="45">
        <f>SUM(T105:T134)</f>
        <v>19572</v>
      </c>
      <c r="U135" s="45"/>
      <c r="V135" s="43"/>
    </row>
    <row r="136" spans="1:22" ht="6.9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</row>
    <row r="137" spans="1:22">
      <c r="A137" s="120" t="s">
        <v>157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</row>
    <row r="138" spans="1:22">
      <c r="A138" s="81">
        <v>119</v>
      </c>
      <c r="B138" s="82" t="s">
        <v>232</v>
      </c>
      <c r="C138" s="82" t="s">
        <v>233</v>
      </c>
      <c r="D138" s="30">
        <v>2306855903.8499999</v>
      </c>
      <c r="E138" s="30">
        <v>38157275.759999998</v>
      </c>
      <c r="F138" s="30">
        <v>0</v>
      </c>
      <c r="G138" s="30">
        <v>4301224.95</v>
      </c>
      <c r="H138" s="13">
        <f>(E138+F138)-G138</f>
        <v>33856050.809999995</v>
      </c>
      <c r="I138" s="31">
        <v>2236894951.1999998</v>
      </c>
      <c r="J138" s="14">
        <f>(I138/$I$143)</f>
        <v>2.2421402285638516E-2</v>
      </c>
      <c r="K138" s="31">
        <v>2270758655.1599998</v>
      </c>
      <c r="L138" s="14">
        <f>(K138/$K$143)</f>
        <v>2.2523125962492754E-2</v>
      </c>
      <c r="M138" s="14">
        <f t="shared" ref="M138:M143" si="67">((K138-I138)/I138)</f>
        <v>1.5138709997013311E-2</v>
      </c>
      <c r="N138" s="24">
        <f t="shared" ref="N138" si="68">(G138/K138)</f>
        <v>1.8941797007912017E-3</v>
      </c>
      <c r="O138" s="25">
        <f t="shared" ref="O138" si="69">H138/K138</f>
        <v>1.4909576908610072E-2</v>
      </c>
      <c r="P138" s="26">
        <f t="shared" ref="P138" si="70">K138/V138</f>
        <v>107.0103042016965</v>
      </c>
      <c r="Q138" s="26">
        <f t="shared" ref="Q138" si="71">H138/V138</f>
        <v>1.5954783605089535</v>
      </c>
      <c r="R138" s="30">
        <v>107.01</v>
      </c>
      <c r="S138" s="30">
        <v>107.01</v>
      </c>
      <c r="T138" s="32">
        <v>8</v>
      </c>
      <c r="U138" s="30">
        <v>21220000</v>
      </c>
      <c r="V138" s="30">
        <v>21220000</v>
      </c>
    </row>
    <row r="139" spans="1:22">
      <c r="A139" s="90">
        <v>120</v>
      </c>
      <c r="B139" s="22" t="s">
        <v>158</v>
      </c>
      <c r="C139" s="22" t="s">
        <v>44</v>
      </c>
      <c r="D139" s="30">
        <v>36489770794</v>
      </c>
      <c r="E139" s="30">
        <v>239675511</v>
      </c>
      <c r="F139" s="30">
        <v>0</v>
      </c>
      <c r="G139" s="30">
        <v>94830534</v>
      </c>
      <c r="H139" s="13">
        <f>(E139+F139)-G139</f>
        <v>144844977</v>
      </c>
      <c r="I139" s="31">
        <v>53830606967</v>
      </c>
      <c r="J139" s="14">
        <f t="shared" ref="J139" si="72">(I139/$I$143)</f>
        <v>0.53956833933561366</v>
      </c>
      <c r="K139" s="31">
        <v>54036996643</v>
      </c>
      <c r="L139" s="14">
        <f t="shared" ref="L139" si="73">(K139/$K$143)</f>
        <v>0.53598037786156993</v>
      </c>
      <c r="M139" s="14">
        <f t="shared" si="67"/>
        <v>3.8340581247119118E-3</v>
      </c>
      <c r="N139" s="24">
        <f t="shared" ref="N139:N142" si="74">(G139/K139)</f>
        <v>1.7549186648270992E-3</v>
      </c>
      <c r="O139" s="25">
        <f t="shared" ref="O139:O142" si="75">H139/K139</f>
        <v>2.680477931757211E-3</v>
      </c>
      <c r="P139" s="26">
        <f t="shared" ref="P139:P142" si="76">K139/V139</f>
        <v>101.83209329536717</v>
      </c>
      <c r="Q139" s="26">
        <f t="shared" ref="Q139:Q142" si="77">H139/V139</f>
        <v>0.27295867882287317</v>
      </c>
      <c r="R139" s="30">
        <v>101.83</v>
      </c>
      <c r="S139" s="30">
        <v>101.83</v>
      </c>
      <c r="T139" s="32">
        <v>644</v>
      </c>
      <c r="U139" s="30">
        <v>530648000</v>
      </c>
      <c r="V139" s="30">
        <v>530648000</v>
      </c>
    </row>
    <row r="140" spans="1:22">
      <c r="A140" s="90">
        <v>121</v>
      </c>
      <c r="B140" s="22" t="s">
        <v>159</v>
      </c>
      <c r="C140" s="22" t="s">
        <v>124</v>
      </c>
      <c r="D140" s="30">
        <v>3074667595.6799998</v>
      </c>
      <c r="E140" s="30">
        <v>34369915.380000003</v>
      </c>
      <c r="F140" s="30">
        <v>0</v>
      </c>
      <c r="G140" s="30">
        <v>7535407.3399999999</v>
      </c>
      <c r="H140" s="13">
        <f t="shared" ref="H140:H141" si="78">(E140+F140)-G140</f>
        <v>26834508.040000003</v>
      </c>
      <c r="I140" s="31">
        <v>2783880583.25</v>
      </c>
      <c r="J140" s="14">
        <f t="shared" ref="J140:J142" si="79">(I140/$I$143)</f>
        <v>2.7904084829169711E-2</v>
      </c>
      <c r="K140" s="31">
        <v>2810715091.2800002</v>
      </c>
      <c r="L140" s="14">
        <f t="shared" ref="L140:L142" si="80">(K140/$K$143)</f>
        <v>2.7878828030325466E-2</v>
      </c>
      <c r="M140" s="14">
        <f t="shared" si="67"/>
        <v>9.6392453726131689E-3</v>
      </c>
      <c r="N140" s="24">
        <f t="shared" si="74"/>
        <v>2.6809573703780749E-3</v>
      </c>
      <c r="O140" s="25">
        <f t="shared" si="75"/>
        <v>9.5472174050126018E-3</v>
      </c>
      <c r="P140" s="26">
        <f t="shared" si="76"/>
        <v>140.535754564</v>
      </c>
      <c r="Q140" s="26">
        <f t="shared" si="77"/>
        <v>1.3417254020000002</v>
      </c>
      <c r="R140" s="30">
        <v>197.35</v>
      </c>
      <c r="S140" s="30">
        <v>197.35</v>
      </c>
      <c r="T140" s="32">
        <v>3040</v>
      </c>
      <c r="U140" s="30">
        <v>20000000</v>
      </c>
      <c r="V140" s="30">
        <v>20000000</v>
      </c>
    </row>
    <row r="141" spans="1:22">
      <c r="A141" s="90">
        <v>122</v>
      </c>
      <c r="B141" s="22" t="s">
        <v>160</v>
      </c>
      <c r="C141" s="22" t="s">
        <v>124</v>
      </c>
      <c r="D141" s="30">
        <v>12156896049.51</v>
      </c>
      <c r="E141" s="30">
        <v>87282233.810000002</v>
      </c>
      <c r="F141" s="30">
        <v>0</v>
      </c>
      <c r="G141" s="30">
        <v>17532113.460000001</v>
      </c>
      <c r="H141" s="13">
        <f t="shared" si="78"/>
        <v>69750120.349999994</v>
      </c>
      <c r="I141" s="31">
        <v>10690875264</v>
      </c>
      <c r="J141" s="14">
        <f t="shared" si="79"/>
        <v>0.10715944213255726</v>
      </c>
      <c r="K141" s="31">
        <v>10760188453</v>
      </c>
      <c r="L141" s="14">
        <f t="shared" si="80"/>
        <v>0.10672780189843759</v>
      </c>
      <c r="M141" s="14">
        <f t="shared" si="67"/>
        <v>6.4833970361063229E-3</v>
      </c>
      <c r="N141" s="24">
        <f t="shared" si="74"/>
        <v>1.6293500375555181E-3</v>
      </c>
      <c r="O141" s="25">
        <f t="shared" si="75"/>
        <v>6.4822396610120037E-3</v>
      </c>
      <c r="P141" s="26">
        <f t="shared" si="76"/>
        <v>57.19638689841684</v>
      </c>
      <c r="Q141" s="26">
        <f t="shared" si="77"/>
        <v>0.37076068761950498</v>
      </c>
      <c r="R141" s="30">
        <v>36.6</v>
      </c>
      <c r="S141" s="30">
        <v>36.6</v>
      </c>
      <c r="T141" s="32">
        <v>5264</v>
      </c>
      <c r="U141" s="30">
        <v>188127066</v>
      </c>
      <c r="V141" s="30">
        <v>188127066</v>
      </c>
    </row>
    <row r="142" spans="1:22" ht="15.9" customHeight="1">
      <c r="A142" s="90">
        <v>123</v>
      </c>
      <c r="B142" s="22" t="s">
        <v>161</v>
      </c>
      <c r="C142" s="79" t="s">
        <v>162</v>
      </c>
      <c r="D142" s="30">
        <v>31115055095.439999</v>
      </c>
      <c r="E142" s="30">
        <v>212969679.28</v>
      </c>
      <c r="F142" s="30">
        <v>0</v>
      </c>
      <c r="G142" s="30">
        <v>29336973.370000001</v>
      </c>
      <c r="H142" s="13">
        <f>(E142+F142)-G142</f>
        <v>183632705.91</v>
      </c>
      <c r="I142" s="31">
        <v>30223801587.259998</v>
      </c>
      <c r="J142" s="14">
        <f t="shared" si="79"/>
        <v>0.30294673141702089</v>
      </c>
      <c r="K142" s="31">
        <v>30940324230.400002</v>
      </c>
      <c r="L142" s="14">
        <f t="shared" si="80"/>
        <v>0.30688986624717435</v>
      </c>
      <c r="M142" s="14">
        <f t="shared" si="67"/>
        <v>2.3707230907776784E-2</v>
      </c>
      <c r="N142" s="24">
        <f t="shared" si="74"/>
        <v>9.4817924826965294E-4</v>
      </c>
      <c r="O142" s="25">
        <f t="shared" si="75"/>
        <v>5.9350608139256064E-3</v>
      </c>
      <c r="P142" s="26">
        <f t="shared" si="76"/>
        <v>11.595651874894946</v>
      </c>
      <c r="Q142" s="26">
        <f t="shared" si="77"/>
        <v>6.8820899054611986E-2</v>
      </c>
      <c r="R142" s="30">
        <v>11.6</v>
      </c>
      <c r="S142" s="30">
        <v>11.6</v>
      </c>
      <c r="T142" s="32">
        <v>208048</v>
      </c>
      <c r="U142" s="30">
        <v>2668269500</v>
      </c>
      <c r="V142" s="30">
        <v>2668269500</v>
      </c>
    </row>
    <row r="143" spans="1:22" ht="15" customHeight="1">
      <c r="A143" s="117" t="s">
        <v>51</v>
      </c>
      <c r="B143" s="117"/>
      <c r="C143" s="117"/>
      <c r="D143" s="117"/>
      <c r="E143" s="117"/>
      <c r="F143" s="117"/>
      <c r="G143" s="117"/>
      <c r="H143" s="117"/>
      <c r="I143" s="43">
        <f>SUM(I138:I142)</f>
        <v>99766059352.709991</v>
      </c>
      <c r="J143" s="41">
        <f>(I143/$I$203)</f>
        <v>2.6029795796683661E-2</v>
      </c>
      <c r="K143" s="43">
        <f>SUM(K138:K142)</f>
        <v>100818983072.84</v>
      </c>
      <c r="L143" s="41">
        <f>(K143/$K$203)</f>
        <v>2.4693672181417551E-2</v>
      </c>
      <c r="M143" s="41">
        <f t="shared" si="67"/>
        <v>1.0553927126734848E-2</v>
      </c>
      <c r="N143" s="24"/>
      <c r="O143" s="24"/>
      <c r="P143" s="44"/>
      <c r="Q143" s="44"/>
      <c r="R143" s="29"/>
      <c r="S143" s="29"/>
      <c r="T143" s="43">
        <f>SUM(T138:T142)</f>
        <v>217004</v>
      </c>
      <c r="U143" s="43"/>
      <c r="V143" s="43"/>
    </row>
    <row r="144" spans="1:22" ht="8.1" customHeigh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</row>
    <row r="145" spans="1:22">
      <c r="A145" s="120" t="s">
        <v>163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</row>
    <row r="146" spans="1:22">
      <c r="A146" s="90">
        <v>124</v>
      </c>
      <c r="B146" s="22" t="s">
        <v>164</v>
      </c>
      <c r="C146" s="22" t="s">
        <v>55</v>
      </c>
      <c r="D146" s="34">
        <v>262193142.03</v>
      </c>
      <c r="E146" s="34">
        <v>3092827.45</v>
      </c>
      <c r="F146" s="34">
        <v>1328687.05</v>
      </c>
      <c r="G146" s="11">
        <v>680873.17</v>
      </c>
      <c r="H146" s="13">
        <f>(E146+F146)-G146</f>
        <v>3740641.33</v>
      </c>
      <c r="I146" s="11">
        <v>255282927.09</v>
      </c>
      <c r="J146" s="14">
        <f t="shared" ref="J146:J172" si="81">(I146/$I$173)</f>
        <v>4.7368168880066999E-3</v>
      </c>
      <c r="K146" s="11">
        <v>262615400.15000001</v>
      </c>
      <c r="L146" s="14">
        <f t="shared" ref="L146" si="82">(K146/$K$173)</f>
        <v>4.7044596490319023E-3</v>
      </c>
      <c r="M146" s="14">
        <f t="shared" ref="M146:M173" si="83">((K146-I146)/I146)</f>
        <v>2.8722927708420307E-2</v>
      </c>
      <c r="N146" s="24">
        <f t="shared" ref="N146" si="84">(G146/K146)</f>
        <v>2.5926627669630212E-3</v>
      </c>
      <c r="O146" s="25">
        <f t="shared" ref="O146" si="85">H146/K146</f>
        <v>1.4243800355437762E-2</v>
      </c>
      <c r="P146" s="26">
        <f t="shared" ref="P146" si="86">K146/V146</f>
        <v>5.9479844929382786</v>
      </c>
      <c r="Q146" s="26">
        <f t="shared" ref="Q146" si="87">H146/V146</f>
        <v>8.472190363465254E-2</v>
      </c>
      <c r="R146" s="11">
        <v>5.8745000000000003</v>
      </c>
      <c r="S146" s="11">
        <v>5.9599000000000002</v>
      </c>
      <c r="T146" s="11">
        <v>11835</v>
      </c>
      <c r="U146" s="11">
        <v>44322117.619999997</v>
      </c>
      <c r="V146" s="11">
        <v>44151998.119999997</v>
      </c>
    </row>
    <row r="147" spans="1:22">
      <c r="A147" s="90">
        <v>125</v>
      </c>
      <c r="B147" s="71" t="s">
        <v>226</v>
      </c>
      <c r="C147" s="71" t="s">
        <v>227</v>
      </c>
      <c r="D147" s="34">
        <v>676662596.36000001</v>
      </c>
      <c r="E147" s="34">
        <v>2102917.81</v>
      </c>
      <c r="F147" s="34">
        <v>29800605</v>
      </c>
      <c r="G147" s="11">
        <v>1164990.8400000001</v>
      </c>
      <c r="H147" s="13">
        <f t="shared" ref="H147:H172" si="88">(E147+F147)-G147</f>
        <v>30738531.969999999</v>
      </c>
      <c r="I147" s="11">
        <v>632220698.87</v>
      </c>
      <c r="J147" s="14">
        <f t="shared" si="81"/>
        <v>1.1730959518099807E-2</v>
      </c>
      <c r="K147" s="11">
        <v>686894396.49000001</v>
      </c>
      <c r="L147" s="14">
        <f t="shared" ref="L147:L172" si="89">(K147/$K$173)</f>
        <v>1.2304940873945642E-2</v>
      </c>
      <c r="M147" s="14">
        <f t="shared" ref="M147:M172" si="90">((K147-I147)/I147)</f>
        <v>8.6478816207253367E-2</v>
      </c>
      <c r="N147" s="24">
        <f t="shared" ref="N147:N172" si="91">(G147/K147)</f>
        <v>1.6960261227243253E-3</v>
      </c>
      <c r="O147" s="25">
        <f t="shared" ref="O147:O172" si="92">H147/K147</f>
        <v>4.475001124928743E-2</v>
      </c>
      <c r="P147" s="26">
        <f t="shared" ref="P147:P172" si="93">K147/V147</f>
        <v>1615.279546264768</v>
      </c>
      <c r="Q147" s="26">
        <f t="shared" ref="Q147:Q172" si="94">H147/V147</f>
        <v>72.283777866092251</v>
      </c>
      <c r="R147" s="11">
        <v>1603.3880999999999</v>
      </c>
      <c r="S147" s="11">
        <v>1623.0413000000001</v>
      </c>
      <c r="T147" s="11">
        <v>173</v>
      </c>
      <c r="U147" s="11">
        <v>423922</v>
      </c>
      <c r="V147" s="11">
        <v>425248</v>
      </c>
    </row>
    <row r="148" spans="1:22">
      <c r="A148" s="90">
        <v>126</v>
      </c>
      <c r="B148" s="22" t="s">
        <v>165</v>
      </c>
      <c r="C148" s="79" t="s">
        <v>58</v>
      </c>
      <c r="D148" s="34">
        <v>5690823659.0100002</v>
      </c>
      <c r="E148" s="34">
        <v>66443272.469999999</v>
      </c>
      <c r="F148" s="34">
        <v>27692753.640000001</v>
      </c>
      <c r="G148" s="11">
        <v>20094570.379999999</v>
      </c>
      <c r="H148" s="13">
        <f t="shared" si="88"/>
        <v>74041455.730000004</v>
      </c>
      <c r="I148" s="11">
        <v>6805056743</v>
      </c>
      <c r="J148" s="14">
        <f t="shared" si="81"/>
        <v>0.12626895214470046</v>
      </c>
      <c r="K148" s="11">
        <v>6888153892</v>
      </c>
      <c r="L148" s="14">
        <f t="shared" si="89"/>
        <v>0.12339353298674419</v>
      </c>
      <c r="M148" s="14">
        <f t="shared" si="90"/>
        <v>1.2211088333022001E-2</v>
      </c>
      <c r="N148" s="24">
        <f t="shared" si="91"/>
        <v>2.9172650168774713E-3</v>
      </c>
      <c r="O148" s="25">
        <f t="shared" si="92"/>
        <v>1.0749100105906868E-2</v>
      </c>
      <c r="P148" s="26">
        <f t="shared" si="93"/>
        <v>810.27943687778361</v>
      </c>
      <c r="Q148" s="26">
        <f t="shared" si="94"/>
        <v>8.7097747807571402</v>
      </c>
      <c r="R148" s="11">
        <v>806.22799999999995</v>
      </c>
      <c r="S148" s="11">
        <v>830.53639999999996</v>
      </c>
      <c r="T148" s="11">
        <v>21372</v>
      </c>
      <c r="U148" s="11">
        <v>8500951</v>
      </c>
      <c r="V148" s="11">
        <v>8500961</v>
      </c>
    </row>
    <row r="149" spans="1:22">
      <c r="A149" s="90">
        <v>127</v>
      </c>
      <c r="B149" s="22" t="s">
        <v>166</v>
      </c>
      <c r="C149" s="22" t="s">
        <v>107</v>
      </c>
      <c r="D149" s="34">
        <v>1987813018.9400001</v>
      </c>
      <c r="E149" s="34">
        <v>14258663.859999999</v>
      </c>
      <c r="F149" s="34">
        <v>27483291.550000001</v>
      </c>
      <c r="G149" s="11">
        <v>2950350.32</v>
      </c>
      <c r="H149" s="13">
        <f t="shared" si="88"/>
        <v>38791605.089999996</v>
      </c>
      <c r="I149" s="11">
        <v>1930490719.8099999</v>
      </c>
      <c r="J149" s="14">
        <f t="shared" si="81"/>
        <v>3.5820574246676382E-2</v>
      </c>
      <c r="K149" s="11">
        <v>1968922464.9000001</v>
      </c>
      <c r="L149" s="14">
        <f t="shared" si="89"/>
        <v>3.5271032402912503E-2</v>
      </c>
      <c r="M149" s="14">
        <f t="shared" si="90"/>
        <v>1.99077595637355E-2</v>
      </c>
      <c r="N149" s="24">
        <f t="shared" si="91"/>
        <v>1.4984593718624902E-3</v>
      </c>
      <c r="O149" s="25">
        <f t="shared" si="92"/>
        <v>1.970194651213459E-2</v>
      </c>
      <c r="P149" s="26">
        <f t="shared" si="93"/>
        <v>4.6879999924771898</v>
      </c>
      <c r="Q149" s="26">
        <f t="shared" si="94"/>
        <v>9.2362725100672949E-2</v>
      </c>
      <c r="R149" s="11">
        <v>4.6558999999999999</v>
      </c>
      <c r="S149" s="11">
        <v>4.7584999999999997</v>
      </c>
      <c r="T149" s="11">
        <v>2741</v>
      </c>
      <c r="U149" s="11">
        <v>420070764.42000002</v>
      </c>
      <c r="V149" s="11">
        <v>419991994.04000002</v>
      </c>
    </row>
    <row r="150" spans="1:22">
      <c r="A150" s="90">
        <v>128</v>
      </c>
      <c r="B150" s="22" t="s">
        <v>167</v>
      </c>
      <c r="C150" s="22" t="s">
        <v>60</v>
      </c>
      <c r="D150" s="34">
        <v>3569049968.1799998</v>
      </c>
      <c r="E150" s="34">
        <v>26018848.59</v>
      </c>
      <c r="F150" s="34">
        <v>865450794.11000001</v>
      </c>
      <c r="G150" s="11">
        <v>9521981.8499999996</v>
      </c>
      <c r="H150" s="13">
        <f t="shared" si="88"/>
        <v>881947660.85000002</v>
      </c>
      <c r="I150" s="11">
        <v>3407154816.02</v>
      </c>
      <c r="J150" s="14">
        <f t="shared" si="81"/>
        <v>6.3220320514763867E-2</v>
      </c>
      <c r="K150" s="11">
        <v>3689439093.0700002</v>
      </c>
      <c r="L150" s="14">
        <f t="shared" si="89"/>
        <v>6.6092153510399043E-2</v>
      </c>
      <c r="M150" s="14">
        <f t="shared" si="90"/>
        <v>8.2850440409322212E-2</v>
      </c>
      <c r="N150" s="24">
        <f t="shared" si="91"/>
        <v>2.5808751980444574E-3</v>
      </c>
      <c r="O150" s="25">
        <f t="shared" si="92"/>
        <v>0.23904654301153597</v>
      </c>
      <c r="P150" s="26">
        <f t="shared" si="93"/>
        <v>8059.5233049567323</v>
      </c>
      <c r="Q150" s="26">
        <f t="shared" si="94"/>
        <v>1926.6011843708159</v>
      </c>
      <c r="R150" s="11">
        <v>8059.52</v>
      </c>
      <c r="S150" s="11">
        <v>8125.03</v>
      </c>
      <c r="T150" s="11">
        <v>969</v>
      </c>
      <c r="U150" s="11">
        <v>445876.93</v>
      </c>
      <c r="V150" s="11">
        <v>457773.86</v>
      </c>
    </row>
    <row r="151" spans="1:22" ht="14.1" customHeight="1">
      <c r="A151" s="90">
        <v>129</v>
      </c>
      <c r="B151" s="22" t="s">
        <v>168</v>
      </c>
      <c r="C151" s="79" t="s">
        <v>62</v>
      </c>
      <c r="D151" s="34">
        <v>772957284.66999996</v>
      </c>
      <c r="E151" s="34">
        <v>6680601.5999999996</v>
      </c>
      <c r="F151" s="34">
        <v>50664735.579999998</v>
      </c>
      <c r="G151" s="11">
        <v>1571330.79</v>
      </c>
      <c r="H151" s="13">
        <f t="shared" si="88"/>
        <v>55774006.390000001</v>
      </c>
      <c r="I151" s="11">
        <v>770502586.97000003</v>
      </c>
      <c r="J151" s="14">
        <f t="shared" si="81"/>
        <v>1.4296802797649038E-2</v>
      </c>
      <c r="K151" s="11">
        <v>825232129.02999997</v>
      </c>
      <c r="L151" s="14">
        <f t="shared" si="89"/>
        <v>1.4783105826577029E-2</v>
      </c>
      <c r="M151" s="14">
        <f t="shared" si="90"/>
        <v>7.1030964704769856E-2</v>
      </c>
      <c r="N151" s="24">
        <f t="shared" si="91"/>
        <v>1.9041076258712619E-3</v>
      </c>
      <c r="O151" s="25">
        <f t="shared" si="92"/>
        <v>6.7585839702531056E-2</v>
      </c>
      <c r="P151" s="26">
        <f t="shared" si="93"/>
        <v>217.82205144116722</v>
      </c>
      <c r="Q151" s="26">
        <f t="shared" si="94"/>
        <v>14.721686252379202</v>
      </c>
      <c r="R151" s="11">
        <v>214.98</v>
      </c>
      <c r="S151" s="11">
        <v>216.89</v>
      </c>
      <c r="T151" s="11">
        <f>663+12+6</f>
        <v>681</v>
      </c>
      <c r="U151" s="11">
        <v>3789153</v>
      </c>
      <c r="V151" s="11">
        <v>3788561</v>
      </c>
    </row>
    <row r="152" spans="1:22" ht="15" customHeight="1">
      <c r="A152" s="90">
        <v>130</v>
      </c>
      <c r="B152" s="22" t="s">
        <v>169</v>
      </c>
      <c r="C152" s="79" t="s">
        <v>64</v>
      </c>
      <c r="D152" s="34">
        <v>248331135.28999999</v>
      </c>
      <c r="E152" s="34">
        <v>1956454.75</v>
      </c>
      <c r="F152" s="34"/>
      <c r="G152" s="11">
        <v>691169.45</v>
      </c>
      <c r="H152" s="13">
        <f t="shared" si="88"/>
        <v>1265285.3</v>
      </c>
      <c r="I152" s="11">
        <v>331444396.5</v>
      </c>
      <c r="J152" s="14">
        <f t="shared" si="81"/>
        <v>6.1500055357124927E-3</v>
      </c>
      <c r="K152" s="11">
        <v>331444396.5</v>
      </c>
      <c r="L152" s="14">
        <f t="shared" si="89"/>
        <v>5.9374537378286364E-3</v>
      </c>
      <c r="M152" s="14">
        <f t="shared" si="90"/>
        <v>0</v>
      </c>
      <c r="N152" s="24">
        <f t="shared" si="91"/>
        <v>2.0853254944076267E-3</v>
      </c>
      <c r="O152" s="25">
        <f t="shared" si="92"/>
        <v>3.8174888861034042E-3</v>
      </c>
      <c r="P152" s="26">
        <f t="shared" si="93"/>
        <v>137.41595449214111</v>
      </c>
      <c r="Q152" s="26">
        <f t="shared" si="94"/>
        <v>0.52458387904703985</v>
      </c>
      <c r="R152" s="11">
        <v>141.68</v>
      </c>
      <c r="S152" s="11">
        <v>142.58000000000001</v>
      </c>
      <c r="T152" s="11">
        <f>549+27+3</f>
        <v>579</v>
      </c>
      <c r="U152" s="11">
        <v>2411979</v>
      </c>
      <c r="V152" s="11">
        <v>2411979</v>
      </c>
    </row>
    <row r="153" spans="1:22">
      <c r="A153" s="90">
        <v>131</v>
      </c>
      <c r="B153" s="22" t="s">
        <v>170</v>
      </c>
      <c r="C153" s="79" t="s">
        <v>66</v>
      </c>
      <c r="D153" s="34">
        <v>213640620.38999999</v>
      </c>
      <c r="E153" s="34">
        <v>1111426.8999999999</v>
      </c>
      <c r="F153" s="34">
        <v>5431382.1200000001</v>
      </c>
      <c r="G153" s="11">
        <v>506278.17</v>
      </c>
      <c r="H153" s="13">
        <f t="shared" si="88"/>
        <v>6036530.8499999996</v>
      </c>
      <c r="I153" s="11">
        <v>207189340.12</v>
      </c>
      <c r="J153" s="14">
        <f t="shared" si="81"/>
        <v>3.8444324361314661E-3</v>
      </c>
      <c r="K153" s="11">
        <v>221838912.69999999</v>
      </c>
      <c r="L153" s="14">
        <f t="shared" si="89"/>
        <v>3.9739947192211937E-3</v>
      </c>
      <c r="M153" s="14">
        <f t="shared" si="90"/>
        <v>7.0706208010099539E-2</v>
      </c>
      <c r="N153" s="24">
        <f t="shared" si="91"/>
        <v>2.2821882952728701E-3</v>
      </c>
      <c r="O153" s="25">
        <f t="shared" si="92"/>
        <v>2.7211325445700311E-2</v>
      </c>
      <c r="P153" s="26">
        <f t="shared" si="93"/>
        <v>1.5793418854208119</v>
      </c>
      <c r="Q153" s="26">
        <f t="shared" si="94"/>
        <v>4.2975986034211641E-2</v>
      </c>
      <c r="R153" s="11">
        <v>1.5719000000000001</v>
      </c>
      <c r="S153" s="11">
        <v>1.5862000000000001</v>
      </c>
      <c r="T153" s="11">
        <v>261</v>
      </c>
      <c r="U153" s="11">
        <v>124833779.38</v>
      </c>
      <c r="V153" s="11">
        <v>140462881.88</v>
      </c>
    </row>
    <row r="154" spans="1:22">
      <c r="A154" s="90">
        <v>132</v>
      </c>
      <c r="B154" s="71" t="s">
        <v>228</v>
      </c>
      <c r="C154" s="73" t="s">
        <v>48</v>
      </c>
      <c r="D154" s="34">
        <v>130233591.44</v>
      </c>
      <c r="E154" s="34">
        <v>3222226.72</v>
      </c>
      <c r="F154" s="34">
        <v>0</v>
      </c>
      <c r="G154" s="11">
        <v>3792106.38</v>
      </c>
      <c r="H154" s="13">
        <f t="shared" si="88"/>
        <v>-569879.65999999968</v>
      </c>
      <c r="I154" s="11">
        <v>135258178.37</v>
      </c>
      <c r="J154" s="14">
        <f t="shared" si="81"/>
        <v>2.5097378459553706E-3</v>
      </c>
      <c r="K154" s="11">
        <v>137427125.40000001</v>
      </c>
      <c r="L154" s="14">
        <f t="shared" si="89"/>
        <v>2.4618524494659086E-3</v>
      </c>
      <c r="M154" s="14">
        <f t="shared" si="90"/>
        <v>1.6035607281851945E-2</v>
      </c>
      <c r="N154" s="24">
        <f t="shared" si="91"/>
        <v>2.7593580008041119E-2</v>
      </c>
      <c r="O154" s="25">
        <f t="shared" si="92"/>
        <v>-4.1467771252675836E-3</v>
      </c>
      <c r="P154" s="26">
        <f t="shared" si="93"/>
        <v>162.11068516370619</v>
      </c>
      <c r="Q154" s="26">
        <f t="shared" si="94"/>
        <v>-0.6722368809983118</v>
      </c>
      <c r="R154" s="11">
        <v>161.74010000000001</v>
      </c>
      <c r="S154" s="11">
        <v>162.47200000000001</v>
      </c>
      <c r="T154" s="11">
        <v>123</v>
      </c>
      <c r="U154" s="11">
        <v>844504.74</v>
      </c>
      <c r="V154" s="11">
        <v>847736.38</v>
      </c>
    </row>
    <row r="155" spans="1:22">
      <c r="A155" s="90">
        <v>133</v>
      </c>
      <c r="B155" s="71" t="s">
        <v>171</v>
      </c>
      <c r="C155" s="73" t="s">
        <v>172</v>
      </c>
      <c r="D155" s="34">
        <v>169695673.59999999</v>
      </c>
      <c r="E155" s="34">
        <v>2324834.83</v>
      </c>
      <c r="F155" s="34">
        <v>0</v>
      </c>
      <c r="G155" s="11">
        <v>718288.46</v>
      </c>
      <c r="H155" s="13">
        <f t="shared" si="88"/>
        <v>1606546.37</v>
      </c>
      <c r="I155" s="11">
        <v>232144382.78999999</v>
      </c>
      <c r="J155" s="14">
        <f t="shared" si="81"/>
        <v>4.3074773757505961E-3</v>
      </c>
      <c r="K155" s="11">
        <v>242717561.77000001</v>
      </c>
      <c r="L155" s="14">
        <f t="shared" si="89"/>
        <v>4.3480122445453372E-3</v>
      </c>
      <c r="M155" s="14">
        <f t="shared" si="90"/>
        <v>4.554570243280285E-2</v>
      </c>
      <c r="N155" s="24">
        <f t="shared" si="91"/>
        <v>2.9593592435666134E-3</v>
      </c>
      <c r="O155" s="25">
        <f t="shared" si="92"/>
        <v>6.6189951739972115E-3</v>
      </c>
      <c r="P155" s="26">
        <f t="shared" si="93"/>
        <v>123.32601582645572</v>
      </c>
      <c r="Q155" s="26">
        <f t="shared" si="94"/>
        <v>0.8162943035836141</v>
      </c>
      <c r="R155" s="11">
        <v>123.33</v>
      </c>
      <c r="S155" s="11">
        <v>123.67</v>
      </c>
      <c r="T155" s="11">
        <v>67</v>
      </c>
      <c r="U155" s="11">
        <v>1963377</v>
      </c>
      <c r="V155" s="11">
        <v>1968097</v>
      </c>
    </row>
    <row r="156" spans="1:22">
      <c r="A156" s="90">
        <v>134</v>
      </c>
      <c r="B156" s="22" t="s">
        <v>173</v>
      </c>
      <c r="C156" s="79" t="s">
        <v>71</v>
      </c>
      <c r="D156" s="34">
        <v>326834621.32999998</v>
      </c>
      <c r="E156" s="34">
        <v>18903153.969999999</v>
      </c>
      <c r="F156" s="34">
        <v>-2036658.38</v>
      </c>
      <c r="G156" s="11">
        <v>732648.42</v>
      </c>
      <c r="H156" s="13">
        <f t="shared" si="88"/>
        <v>16133847.17</v>
      </c>
      <c r="I156" s="11">
        <v>322948263.77999997</v>
      </c>
      <c r="J156" s="14">
        <f t="shared" si="81"/>
        <v>5.9923583894281891E-3</v>
      </c>
      <c r="K156" s="11">
        <v>328671877.91000003</v>
      </c>
      <c r="L156" s="14">
        <f t="shared" si="89"/>
        <v>5.8877871842853346E-3</v>
      </c>
      <c r="M156" s="14">
        <f t="shared" si="90"/>
        <v>1.7723006350946407E-2</v>
      </c>
      <c r="N156" s="24">
        <f t="shared" si="91"/>
        <v>2.2291180634584763E-3</v>
      </c>
      <c r="O156" s="25">
        <f t="shared" si="92"/>
        <v>4.9088006167713319E-2</v>
      </c>
      <c r="P156" s="26">
        <f t="shared" si="93"/>
        <v>1.3174792403482525</v>
      </c>
      <c r="Q156" s="26">
        <f t="shared" si="94"/>
        <v>6.4672429076049268E-2</v>
      </c>
      <c r="R156" s="11">
        <v>1.3008999999999999</v>
      </c>
      <c r="S156" s="11">
        <v>1.3115000000000001</v>
      </c>
      <c r="T156" s="11">
        <v>99</v>
      </c>
      <c r="U156" s="11">
        <v>249922301.66999999</v>
      </c>
      <c r="V156" s="11">
        <v>249470251.86000001</v>
      </c>
    </row>
    <row r="157" spans="1:22">
      <c r="A157" s="90">
        <v>135</v>
      </c>
      <c r="B157" s="79" t="s">
        <v>174</v>
      </c>
      <c r="C157" s="79" t="s">
        <v>75</v>
      </c>
      <c r="D157" s="34">
        <v>10123855896.16</v>
      </c>
      <c r="E157" s="34">
        <v>93537451.579999998</v>
      </c>
      <c r="F157" s="34">
        <v>212340874</v>
      </c>
      <c r="G157" s="11">
        <v>16558954.6</v>
      </c>
      <c r="H157" s="13">
        <f t="shared" si="88"/>
        <v>289319370.97999996</v>
      </c>
      <c r="I157" s="11">
        <v>9722722811.5799999</v>
      </c>
      <c r="J157" s="14">
        <f t="shared" si="81"/>
        <v>0.18040672808120664</v>
      </c>
      <c r="K157" s="11">
        <v>9942644854.9799995</v>
      </c>
      <c r="L157" s="14">
        <f t="shared" si="89"/>
        <v>0.17811130458530369</v>
      </c>
      <c r="M157" s="14">
        <f t="shared" si="90"/>
        <v>2.2619388381417919E-2</v>
      </c>
      <c r="N157" s="24">
        <f t="shared" si="91"/>
        <v>1.6654476592016731E-3</v>
      </c>
      <c r="O157" s="25">
        <f t="shared" si="92"/>
        <v>2.9098833881719889E-2</v>
      </c>
      <c r="P157" s="26">
        <f t="shared" si="93"/>
        <v>333.63527643691776</v>
      </c>
      <c r="Q157" s="26">
        <f t="shared" si="94"/>
        <v>9.7083974861195639</v>
      </c>
      <c r="R157" s="11">
        <v>333.64</v>
      </c>
      <c r="S157" s="11">
        <v>336.09</v>
      </c>
      <c r="T157" s="11">
        <v>5471</v>
      </c>
      <c r="U157" s="11">
        <v>29979045</v>
      </c>
      <c r="V157" s="11">
        <v>29800940</v>
      </c>
    </row>
    <row r="158" spans="1:22" ht="15.6" customHeight="1">
      <c r="A158" s="90">
        <v>136</v>
      </c>
      <c r="B158" s="72" t="s">
        <v>175</v>
      </c>
      <c r="C158" s="22" t="s">
        <v>255</v>
      </c>
      <c r="D158" s="34">
        <v>3434391817.8200002</v>
      </c>
      <c r="E158" s="34">
        <v>25110343.280000001</v>
      </c>
      <c r="F158" s="34">
        <v>85603383.5</v>
      </c>
      <c r="G158" s="11">
        <v>10456948.140000001</v>
      </c>
      <c r="H158" s="13">
        <f t="shared" si="88"/>
        <v>100256778.64</v>
      </c>
      <c r="I158" s="11">
        <v>3308273220.8000002</v>
      </c>
      <c r="J158" s="14">
        <f t="shared" si="81"/>
        <v>6.1385556179011765E-2</v>
      </c>
      <c r="K158" s="11">
        <v>3419106129.04</v>
      </c>
      <c r="L158" s="14">
        <f t="shared" si="89"/>
        <v>6.1249442380907314E-2</v>
      </c>
      <c r="M158" s="14">
        <f t="shared" si="90"/>
        <v>3.3501739681947543E-2</v>
      </c>
      <c r="N158" s="24">
        <f t="shared" si="91"/>
        <v>3.0583865330135428E-3</v>
      </c>
      <c r="O158" s="25">
        <f t="shared" si="92"/>
        <v>2.9322511456568799E-2</v>
      </c>
      <c r="P158" s="26">
        <f t="shared" si="93"/>
        <v>2.4199646275897169</v>
      </c>
      <c r="Q158" s="26">
        <f t="shared" si="94"/>
        <v>7.0959440516990727E-2</v>
      </c>
      <c r="R158" s="11">
        <v>2.3961999999999999</v>
      </c>
      <c r="S158" s="11">
        <v>2.4399000000000002</v>
      </c>
      <c r="T158" s="11">
        <v>10305</v>
      </c>
      <c r="U158" s="11">
        <v>1413357024.6700001</v>
      </c>
      <c r="V158" s="11">
        <v>1412874423.8900001</v>
      </c>
    </row>
    <row r="159" spans="1:22">
      <c r="A159" s="90">
        <v>137</v>
      </c>
      <c r="B159" s="22" t="s">
        <v>176</v>
      </c>
      <c r="C159" s="79" t="s">
        <v>79</v>
      </c>
      <c r="D159" s="34">
        <v>190398741.61000001</v>
      </c>
      <c r="E159" s="34">
        <v>7070608.6200000001</v>
      </c>
      <c r="F159" s="34">
        <v>0</v>
      </c>
      <c r="G159" s="11">
        <v>552951.9</v>
      </c>
      <c r="H159" s="13">
        <f t="shared" si="88"/>
        <v>6517656.7199999997</v>
      </c>
      <c r="I159" s="11">
        <v>258518132.44999999</v>
      </c>
      <c r="J159" s="14">
        <f t="shared" si="81"/>
        <v>4.7968466579568665E-3</v>
      </c>
      <c r="K159" s="11">
        <v>264315718.5</v>
      </c>
      <c r="L159" s="14">
        <f t="shared" si="89"/>
        <v>4.734918940693833E-3</v>
      </c>
      <c r="M159" s="14">
        <f t="shared" si="90"/>
        <v>2.2426225948082475E-2</v>
      </c>
      <c r="N159" s="24">
        <f t="shared" si="91"/>
        <v>2.0920129273356101E-3</v>
      </c>
      <c r="O159" s="25">
        <f t="shared" si="92"/>
        <v>2.4658604327385092E-2</v>
      </c>
      <c r="P159" s="26">
        <f t="shared" si="93"/>
        <v>343.9125254366935</v>
      </c>
      <c r="Q159" s="26">
        <f t="shared" si="94"/>
        <v>8.4804028879751865</v>
      </c>
      <c r="R159" s="11">
        <v>343.91</v>
      </c>
      <c r="S159" s="11">
        <v>344.63</v>
      </c>
      <c r="T159" s="11">
        <v>40</v>
      </c>
      <c r="U159" s="11">
        <v>768555</v>
      </c>
      <c r="V159" s="11">
        <v>768555.08</v>
      </c>
    </row>
    <row r="160" spans="1:22">
      <c r="A160" s="90">
        <v>138</v>
      </c>
      <c r="B160" s="71" t="s">
        <v>231</v>
      </c>
      <c r="C160" s="71" t="s">
        <v>230</v>
      </c>
      <c r="D160" s="34">
        <v>48424839.439999998</v>
      </c>
      <c r="E160" s="34">
        <v>1260104.8500000001</v>
      </c>
      <c r="F160" s="34">
        <v>0</v>
      </c>
      <c r="G160" s="11">
        <v>65042.61</v>
      </c>
      <c r="H160" s="13">
        <f t="shared" si="88"/>
        <v>1195062.24</v>
      </c>
      <c r="I160" s="11">
        <v>57862420.810000002</v>
      </c>
      <c r="J160" s="14">
        <f t="shared" si="81"/>
        <v>1.0736467777068778E-3</v>
      </c>
      <c r="K160" s="11">
        <v>60161203.689999998</v>
      </c>
      <c r="L160" s="14">
        <f t="shared" si="89"/>
        <v>1.0777203280353555E-3</v>
      </c>
      <c r="M160" s="14">
        <f t="shared" si="90"/>
        <v>3.9728425596785799E-2</v>
      </c>
      <c r="N160" s="24">
        <f t="shared" si="91"/>
        <v>1.0811387740038085E-3</v>
      </c>
      <c r="O160" s="25">
        <f t="shared" si="92"/>
        <v>1.9864333934506092E-2</v>
      </c>
      <c r="P160" s="26">
        <f t="shared" si="93"/>
        <v>1.1851388548746133</v>
      </c>
      <c r="Q160" s="26">
        <f t="shared" si="94"/>
        <v>2.354199397198747E-2</v>
      </c>
      <c r="R160" s="11">
        <v>1.1950000000000001</v>
      </c>
      <c r="S160" s="11">
        <v>1.2090000000000001</v>
      </c>
      <c r="T160" s="11">
        <v>27</v>
      </c>
      <c r="U160" s="11">
        <v>50823000</v>
      </c>
      <c r="V160" s="11">
        <v>50763000</v>
      </c>
    </row>
    <row r="161" spans="1:22">
      <c r="A161" s="90">
        <v>139</v>
      </c>
      <c r="B161" s="79" t="s">
        <v>177</v>
      </c>
      <c r="C161" s="79" t="s">
        <v>36</v>
      </c>
      <c r="D161" s="34">
        <v>3291642403.0599999</v>
      </c>
      <c r="E161" s="34">
        <v>27584838.309999999</v>
      </c>
      <c r="F161" s="34">
        <v>198789453.49000001</v>
      </c>
      <c r="G161" s="11">
        <v>6971237.1299999999</v>
      </c>
      <c r="H161" s="13">
        <f t="shared" si="88"/>
        <v>219403054.67000002</v>
      </c>
      <c r="I161" s="11">
        <v>3002724184.98</v>
      </c>
      <c r="J161" s="14">
        <f t="shared" si="81"/>
        <v>5.5716043338945948E-2</v>
      </c>
      <c r="K161" s="11">
        <v>3142439409.8699999</v>
      </c>
      <c r="L161" s="14">
        <f t="shared" si="89"/>
        <v>5.6293269148789626E-2</v>
      </c>
      <c r="M161" s="14">
        <f t="shared" si="90"/>
        <v>4.6529489984086056E-2</v>
      </c>
      <c r="N161" s="24">
        <f t="shared" si="91"/>
        <v>2.2184157658232764E-3</v>
      </c>
      <c r="O161" s="25">
        <f t="shared" si="92"/>
        <v>6.9819342890393724E-2</v>
      </c>
      <c r="P161" s="26">
        <f t="shared" si="93"/>
        <v>4.4380152539057089</v>
      </c>
      <c r="Q161" s="26">
        <f t="shared" si="94"/>
        <v>0.30985930876524048</v>
      </c>
      <c r="R161" s="11">
        <v>4.4400000000000004</v>
      </c>
      <c r="S161" s="11">
        <v>4.58</v>
      </c>
      <c r="T161" s="11">
        <v>2357</v>
      </c>
      <c r="U161" s="11">
        <v>708380273.28999996</v>
      </c>
      <c r="V161" s="11">
        <v>708073143.08000004</v>
      </c>
    </row>
    <row r="162" spans="1:22">
      <c r="A162" s="90">
        <v>140</v>
      </c>
      <c r="B162" s="71" t="s">
        <v>260</v>
      </c>
      <c r="C162" s="73" t="s">
        <v>261</v>
      </c>
      <c r="D162" s="34">
        <v>75633275.069999993</v>
      </c>
      <c r="E162" s="34">
        <v>836894.47</v>
      </c>
      <c r="F162" s="34">
        <v>3516065.5</v>
      </c>
      <c r="G162" s="11">
        <v>324091.23</v>
      </c>
      <c r="H162" s="13">
        <f t="shared" si="88"/>
        <v>4028868.7399999998</v>
      </c>
      <c r="I162" s="13">
        <v>67181903.640000001</v>
      </c>
      <c r="J162" s="14">
        <f t="shared" si="81"/>
        <v>1.2465713213097066E-3</v>
      </c>
      <c r="K162" s="11">
        <v>74633784.469999999</v>
      </c>
      <c r="L162" s="14">
        <f t="shared" si="89"/>
        <v>1.3369803419491461E-3</v>
      </c>
      <c r="M162" s="14">
        <f t="shared" si="90"/>
        <v>0.11092095380225517</v>
      </c>
      <c r="N162" s="24">
        <f t="shared" si="91"/>
        <v>4.3424198880102696E-3</v>
      </c>
      <c r="O162" s="25">
        <f t="shared" si="92"/>
        <v>5.3981836357493769E-2</v>
      </c>
      <c r="P162" s="26">
        <f t="shared" si="93"/>
        <v>2.2215640400788299</v>
      </c>
      <c r="Q162" s="26">
        <f t="shared" si="94"/>
        <v>0.11992410646922813</v>
      </c>
      <c r="R162" s="11">
        <v>2.21</v>
      </c>
      <c r="S162" s="11">
        <v>2.23</v>
      </c>
      <c r="T162" s="11">
        <v>78</v>
      </c>
      <c r="U162" s="11">
        <v>31724406.039999999</v>
      </c>
      <c r="V162" s="11">
        <v>33595153.289999999</v>
      </c>
    </row>
    <row r="163" spans="1:22">
      <c r="A163" s="90">
        <v>141</v>
      </c>
      <c r="B163" s="79" t="s">
        <v>178</v>
      </c>
      <c r="C163" s="79" t="s">
        <v>117</v>
      </c>
      <c r="D163" s="34">
        <v>461346784.16000003</v>
      </c>
      <c r="E163" s="34">
        <v>7145569.8899999997</v>
      </c>
      <c r="F163" s="34">
        <v>59485980.840000004</v>
      </c>
      <c r="G163" s="11">
        <v>815547.61</v>
      </c>
      <c r="H163" s="13">
        <f t="shared" si="88"/>
        <v>65816003.120000005</v>
      </c>
      <c r="I163" s="11">
        <v>501505258.31999999</v>
      </c>
      <c r="J163" s="14">
        <f t="shared" si="81"/>
        <v>9.305512922910205E-3</v>
      </c>
      <c r="K163" s="11">
        <v>456722883.57999998</v>
      </c>
      <c r="L163" s="14">
        <f t="shared" si="89"/>
        <v>8.1816769898656119E-3</v>
      </c>
      <c r="M163" s="14">
        <f t="shared" si="90"/>
        <v>-8.9295922619071155E-2</v>
      </c>
      <c r="N163" s="24">
        <f t="shared" si="91"/>
        <v>1.7856508603365129E-3</v>
      </c>
      <c r="O163" s="25">
        <f t="shared" si="92"/>
        <v>0.14410489486338957</v>
      </c>
      <c r="P163" s="26">
        <f t="shared" si="93"/>
        <v>250.43750401210443</v>
      </c>
      <c r="Q163" s="26">
        <f t="shared" si="94"/>
        <v>36.08927018551401</v>
      </c>
      <c r="R163" s="11">
        <v>250.4375</v>
      </c>
      <c r="S163" s="11">
        <v>252.97300000000001</v>
      </c>
      <c r="T163" s="11">
        <v>139</v>
      </c>
      <c r="U163" s="11">
        <v>2087739.94</v>
      </c>
      <c r="V163" s="11">
        <v>1823700.03</v>
      </c>
    </row>
    <row r="164" spans="1:22">
      <c r="A164" s="90">
        <v>142</v>
      </c>
      <c r="B164" s="22" t="s">
        <v>179</v>
      </c>
      <c r="C164" s="79" t="s">
        <v>32</v>
      </c>
      <c r="D164" s="34">
        <v>2266706531.5300002</v>
      </c>
      <c r="E164" s="34">
        <v>48382277.729999997</v>
      </c>
      <c r="F164" s="34">
        <v>353115663.98000002</v>
      </c>
      <c r="G164" s="11">
        <v>5540022.3399999999</v>
      </c>
      <c r="H164" s="13">
        <f t="shared" si="88"/>
        <v>395957919.37000006</v>
      </c>
      <c r="I164" s="11">
        <v>2195082144.1999998</v>
      </c>
      <c r="J164" s="14">
        <f t="shared" si="81"/>
        <v>4.0730111839961815E-2</v>
      </c>
      <c r="K164" s="11">
        <v>2218944017.1199999</v>
      </c>
      <c r="L164" s="14">
        <f t="shared" si="89"/>
        <v>3.9749887424878019E-2</v>
      </c>
      <c r="M164" s="14">
        <f t="shared" si="90"/>
        <v>1.0870605905592004E-2</v>
      </c>
      <c r="N164" s="24">
        <f t="shared" si="91"/>
        <v>2.4966931555084823E-3</v>
      </c>
      <c r="O164" s="25">
        <f t="shared" si="92"/>
        <v>0.17844430337810852</v>
      </c>
      <c r="P164" s="26">
        <f t="shared" si="93"/>
        <v>2974.6551606944163</v>
      </c>
      <c r="Q164" s="26">
        <f t="shared" si="94"/>
        <v>530.81026794021057</v>
      </c>
      <c r="R164" s="11">
        <v>552.22</v>
      </c>
      <c r="S164" s="11">
        <v>552.22</v>
      </c>
      <c r="T164" s="11">
        <v>823</v>
      </c>
      <c r="U164" s="11">
        <v>745950</v>
      </c>
      <c r="V164" s="11">
        <v>745950</v>
      </c>
    </row>
    <row r="165" spans="1:22">
      <c r="A165" s="90">
        <v>143</v>
      </c>
      <c r="B165" s="22" t="s">
        <v>180</v>
      </c>
      <c r="C165" s="79" t="s">
        <v>85</v>
      </c>
      <c r="D165" s="34">
        <v>33852431.109999999</v>
      </c>
      <c r="E165" s="34">
        <v>208674.14</v>
      </c>
      <c r="F165" s="34">
        <v>1095605</v>
      </c>
      <c r="G165" s="11">
        <v>11352.38</v>
      </c>
      <c r="H165" s="13">
        <f t="shared" si="88"/>
        <v>1292926.7600000002</v>
      </c>
      <c r="I165" s="11">
        <v>31570601.879999999</v>
      </c>
      <c r="J165" s="14">
        <f t="shared" si="81"/>
        <v>5.8579773373171275E-4</v>
      </c>
      <c r="K165" s="11">
        <v>32876005.809999999</v>
      </c>
      <c r="L165" s="14">
        <f t="shared" si="89"/>
        <v>5.8893668332528435E-4</v>
      </c>
      <c r="M165" s="14">
        <f t="shared" si="90"/>
        <v>4.1348718499629684E-2</v>
      </c>
      <c r="N165" s="24">
        <f t="shared" si="91"/>
        <v>3.4530897900458791E-4</v>
      </c>
      <c r="O165" s="25">
        <f t="shared" si="92"/>
        <v>3.9327367426329099E-2</v>
      </c>
      <c r="P165" s="26">
        <f t="shared" si="93"/>
        <v>1.9475948219732861</v>
      </c>
      <c r="Q165" s="26">
        <f t="shared" si="94"/>
        <v>7.6593777161359441E-2</v>
      </c>
      <c r="R165" s="11">
        <v>1.9476</v>
      </c>
      <c r="S165" s="11">
        <v>1.9476</v>
      </c>
      <c r="T165" s="11">
        <v>8</v>
      </c>
      <c r="U165" s="11">
        <v>16854886.27</v>
      </c>
      <c r="V165" s="11">
        <v>16880310.75</v>
      </c>
    </row>
    <row r="166" spans="1:22">
      <c r="A166" s="90">
        <v>144</v>
      </c>
      <c r="B166" s="79" t="s">
        <v>181</v>
      </c>
      <c r="C166" s="79" t="s">
        <v>42</v>
      </c>
      <c r="D166" s="34">
        <v>270586624.07999998</v>
      </c>
      <c r="E166" s="34">
        <v>7452039.3600000003</v>
      </c>
      <c r="F166" s="34">
        <v>89273012.829999998</v>
      </c>
      <c r="G166" s="11">
        <v>417387.42</v>
      </c>
      <c r="H166" s="13">
        <f t="shared" si="88"/>
        <v>96307664.769999996</v>
      </c>
      <c r="I166" s="11">
        <v>253452003.66</v>
      </c>
      <c r="J166" s="14">
        <f t="shared" si="81"/>
        <v>4.7028438012721779E-3</v>
      </c>
      <c r="K166" s="11">
        <v>271370215.17000002</v>
      </c>
      <c r="L166" s="14">
        <f t="shared" si="89"/>
        <v>4.8612923175380277E-3</v>
      </c>
      <c r="M166" s="14">
        <f t="shared" si="90"/>
        <v>7.0696665448488169E-2</v>
      </c>
      <c r="N166" s="24">
        <f t="shared" si="91"/>
        <v>1.538073807173449E-3</v>
      </c>
      <c r="O166" s="25">
        <f t="shared" si="92"/>
        <v>0.3548940133671929</v>
      </c>
      <c r="P166" s="26">
        <f t="shared" si="93"/>
        <v>2.7326602857577362</v>
      </c>
      <c r="Q166" s="26">
        <f t="shared" si="94"/>
        <v>0.96980477598170312</v>
      </c>
      <c r="R166" s="11">
        <v>2.7</v>
      </c>
      <c r="S166" s="11">
        <v>2.75</v>
      </c>
      <c r="T166" s="11">
        <v>121</v>
      </c>
      <c r="U166" s="11">
        <v>99124759.900000006</v>
      </c>
      <c r="V166" s="11">
        <v>99306238.900000006</v>
      </c>
    </row>
    <row r="167" spans="1:22">
      <c r="A167" s="90">
        <v>145</v>
      </c>
      <c r="B167" s="22" t="s">
        <v>182</v>
      </c>
      <c r="C167" s="22" t="s">
        <v>46</v>
      </c>
      <c r="D167" s="34">
        <v>2476349945.29</v>
      </c>
      <c r="E167" s="34">
        <v>17414275.449999999</v>
      </c>
      <c r="F167" s="34">
        <v>68052074</v>
      </c>
      <c r="G167" s="11">
        <v>3930940.03</v>
      </c>
      <c r="H167" s="13">
        <f t="shared" si="88"/>
        <v>81535409.420000002</v>
      </c>
      <c r="I167" s="11">
        <v>2340327182.0999999</v>
      </c>
      <c r="J167" s="14">
        <f t="shared" si="81"/>
        <v>4.3425157514447282E-2</v>
      </c>
      <c r="K167" s="11">
        <v>2486368648.2199998</v>
      </c>
      <c r="L167" s="14">
        <f t="shared" si="89"/>
        <v>4.454049903961424E-2</v>
      </c>
      <c r="M167" s="14">
        <f t="shared" si="90"/>
        <v>6.2402157799558336E-2</v>
      </c>
      <c r="N167" s="24">
        <f t="shared" si="91"/>
        <v>1.5809964595612858E-3</v>
      </c>
      <c r="O167" s="25">
        <f t="shared" si="92"/>
        <v>3.2792968765259931E-2</v>
      </c>
      <c r="P167" s="26">
        <f t="shared" si="93"/>
        <v>6608.6908203398734</v>
      </c>
      <c r="Q167" s="26">
        <f t="shared" si="94"/>
        <v>216.71859165066547</v>
      </c>
      <c r="R167" s="11">
        <v>6572.84</v>
      </c>
      <c r="S167" s="11">
        <v>6633.26</v>
      </c>
      <c r="T167" s="11">
        <v>2261</v>
      </c>
      <c r="U167" s="11">
        <v>364956.56</v>
      </c>
      <c r="V167" s="11">
        <v>376227.11</v>
      </c>
    </row>
    <row r="168" spans="1:22">
      <c r="A168" s="90">
        <v>146</v>
      </c>
      <c r="B168" s="71" t="s">
        <v>229</v>
      </c>
      <c r="C168" s="71" t="s">
        <v>230</v>
      </c>
      <c r="D168" s="34">
        <v>725649728.51543403</v>
      </c>
      <c r="E168" s="34">
        <v>75202351.060000002</v>
      </c>
      <c r="F168" s="34">
        <v>0</v>
      </c>
      <c r="G168" s="11">
        <v>775777.83295098797</v>
      </c>
      <c r="H168" s="13">
        <f t="shared" si="88"/>
        <v>74426573.227049008</v>
      </c>
      <c r="I168" s="11">
        <v>648351979.36000001</v>
      </c>
      <c r="J168" s="14">
        <f t="shared" si="81"/>
        <v>1.2030278092675952E-2</v>
      </c>
      <c r="K168" s="11">
        <v>725093769.43543398</v>
      </c>
      <c r="L168" s="14">
        <f t="shared" si="89"/>
        <v>1.2989239694721082E-2</v>
      </c>
      <c r="M168" s="14">
        <f t="shared" si="90"/>
        <v>0.11836439544950134</v>
      </c>
      <c r="N168" s="24">
        <f t="shared" si="91"/>
        <v>1.0699000124563436E-3</v>
      </c>
      <c r="O168" s="25">
        <f t="shared" si="92"/>
        <v>0.10264406669084794</v>
      </c>
      <c r="P168" s="26">
        <f t="shared" si="93"/>
        <v>1.3843122206241616</v>
      </c>
      <c r="Q168" s="26">
        <f t="shared" si="94"/>
        <v>0.14209143589470224</v>
      </c>
      <c r="R168" s="11">
        <v>1.3759999999999999</v>
      </c>
      <c r="S168" s="11">
        <v>1.3759999999999999</v>
      </c>
      <c r="T168" s="11">
        <v>42</v>
      </c>
      <c r="U168" s="11">
        <v>523993519</v>
      </c>
      <c r="V168" s="11">
        <v>523793519</v>
      </c>
    </row>
    <row r="169" spans="1:22">
      <c r="A169" s="90">
        <v>147</v>
      </c>
      <c r="B169" s="22" t="s">
        <v>183</v>
      </c>
      <c r="C169" s="22" t="s">
        <v>50</v>
      </c>
      <c r="D169" s="34">
        <v>1569760193.7261643</v>
      </c>
      <c r="E169" s="34">
        <v>17982806</v>
      </c>
      <c r="F169" s="34">
        <v>0</v>
      </c>
      <c r="G169" s="11">
        <v>3800044.37</v>
      </c>
      <c r="H169" s="13">
        <f t="shared" si="88"/>
        <v>14182761.629999999</v>
      </c>
      <c r="I169" s="80">
        <v>2120868621.03</v>
      </c>
      <c r="J169" s="14">
        <f t="shared" si="81"/>
        <v>3.9353067656563691E-2</v>
      </c>
      <c r="K169" s="11">
        <v>2254613440.1738358</v>
      </c>
      <c r="L169" s="14">
        <f t="shared" si="89"/>
        <v>4.0388865037634822E-2</v>
      </c>
      <c r="M169" s="14">
        <f t="shared" si="90"/>
        <v>6.3061340913650094E-2</v>
      </c>
      <c r="N169" s="24">
        <f t="shared" si="91"/>
        <v>1.6854527265246003E-3</v>
      </c>
      <c r="O169" s="25">
        <f t="shared" si="92"/>
        <v>6.290551354517995E-3</v>
      </c>
      <c r="P169" s="26">
        <f t="shared" si="93"/>
        <v>2.049797367971661</v>
      </c>
      <c r="Q169" s="26">
        <f t="shared" si="94"/>
        <v>1.2894355609581553E-2</v>
      </c>
      <c r="R169" s="11">
        <v>2.0499999999999998</v>
      </c>
      <c r="S169" s="11">
        <v>2.06</v>
      </c>
      <c r="T169" s="11">
        <v>1415</v>
      </c>
      <c r="U169" s="11">
        <v>1075314605.25</v>
      </c>
      <c r="V169" s="11">
        <v>1099920155.72</v>
      </c>
    </row>
    <row r="170" spans="1:22">
      <c r="A170" s="90">
        <v>148</v>
      </c>
      <c r="B170" s="84" t="s">
        <v>184</v>
      </c>
      <c r="C170" s="22" t="s">
        <v>92</v>
      </c>
      <c r="D170" s="34">
        <v>8779140768.2900009</v>
      </c>
      <c r="E170" s="34">
        <v>26813054.09</v>
      </c>
      <c r="F170" s="34">
        <v>356894175.97000003</v>
      </c>
      <c r="G170" s="11">
        <v>12335871.449999999</v>
      </c>
      <c r="H170" s="13">
        <f t="shared" si="88"/>
        <v>371371358.61000001</v>
      </c>
      <c r="I170" s="11">
        <v>9539944368.2999992</v>
      </c>
      <c r="J170" s="14">
        <f t="shared" si="81"/>
        <v>0.17701524386891909</v>
      </c>
      <c r="K170" s="11">
        <v>9921315627.6299992</v>
      </c>
      <c r="L170" s="14">
        <f t="shared" si="89"/>
        <v>0.17772921545665474</v>
      </c>
      <c r="M170" s="14">
        <f t="shared" si="90"/>
        <v>3.9976256108709321E-2</v>
      </c>
      <c r="N170" s="24">
        <f t="shared" si="91"/>
        <v>1.2433705279616015E-3</v>
      </c>
      <c r="O170" s="25">
        <f t="shared" si="92"/>
        <v>3.7431664564300644E-2</v>
      </c>
      <c r="P170" s="26">
        <f t="shared" si="93"/>
        <v>544.18757493060923</v>
      </c>
      <c r="Q170" s="26">
        <f t="shared" si="94"/>
        <v>20.369846764862785</v>
      </c>
      <c r="R170" s="11">
        <v>539.70000000000005</v>
      </c>
      <c r="S170" s="11">
        <v>546.49</v>
      </c>
      <c r="T170" s="11">
        <v>38</v>
      </c>
      <c r="U170" s="11">
        <v>18212717.16</v>
      </c>
      <c r="V170" s="11">
        <v>18231426.23</v>
      </c>
    </row>
    <row r="171" spans="1:22">
      <c r="A171" s="90">
        <v>149</v>
      </c>
      <c r="B171" s="22" t="s">
        <v>185</v>
      </c>
      <c r="C171" s="22" t="s">
        <v>50</v>
      </c>
      <c r="D171" s="34">
        <v>626086052.59986305</v>
      </c>
      <c r="E171" s="34">
        <v>13933696</v>
      </c>
      <c r="F171" s="34">
        <v>26813687.869999975</v>
      </c>
      <c r="G171" s="11">
        <v>2087282.08</v>
      </c>
      <c r="H171" s="13">
        <f t="shared" si="88"/>
        <v>38660101.789999977</v>
      </c>
      <c r="I171" s="11">
        <v>1219941700.0899999</v>
      </c>
      <c r="J171" s="14">
        <f t="shared" si="81"/>
        <v>2.2636219794411307E-2</v>
      </c>
      <c r="K171" s="11">
        <v>1272817956.9168494</v>
      </c>
      <c r="L171" s="14">
        <f t="shared" si="89"/>
        <v>2.2801102736010069E-2</v>
      </c>
      <c r="M171" s="14">
        <f t="shared" si="90"/>
        <v>4.3343265356818747E-2</v>
      </c>
      <c r="N171" s="24">
        <f t="shared" si="91"/>
        <v>1.6398905033175597E-3</v>
      </c>
      <c r="O171" s="25">
        <f t="shared" si="92"/>
        <v>3.037363008583447E-2</v>
      </c>
      <c r="P171" s="26">
        <f t="shared" si="93"/>
        <v>1.5720046271685886</v>
      </c>
      <c r="Q171" s="26">
        <f t="shared" si="94"/>
        <v>4.774748703883884E-2</v>
      </c>
      <c r="R171" s="11">
        <v>1.57</v>
      </c>
      <c r="S171" s="11">
        <v>1.58</v>
      </c>
      <c r="T171" s="11">
        <v>198</v>
      </c>
      <c r="U171" s="11">
        <v>800462686.23000002</v>
      </c>
      <c r="V171" s="11">
        <v>809678250.88999999</v>
      </c>
    </row>
    <row r="172" spans="1:22">
      <c r="A172" s="90">
        <v>150</v>
      </c>
      <c r="B172" s="22" t="s">
        <v>186</v>
      </c>
      <c r="C172" s="22" t="s">
        <v>96</v>
      </c>
      <c r="D172" s="34">
        <v>3665759355.6599998</v>
      </c>
      <c r="E172" s="34">
        <v>15146656.949999999</v>
      </c>
      <c r="F172" s="34">
        <v>382325928</v>
      </c>
      <c r="G172" s="11">
        <v>32954219.440000001</v>
      </c>
      <c r="H172" s="13">
        <f t="shared" si="88"/>
        <v>364518365.50999999</v>
      </c>
      <c r="I172" s="11">
        <v>3595329708.0999999</v>
      </c>
      <c r="J172" s="14">
        <f t="shared" si="81"/>
        <v>6.6711936726094517E-2</v>
      </c>
      <c r="K172" s="11">
        <v>3695868176.3299999</v>
      </c>
      <c r="L172" s="14">
        <f t="shared" si="89"/>
        <v>6.6207323309122421E-2</v>
      </c>
      <c r="M172" s="14">
        <f t="shared" si="90"/>
        <v>2.7963629595220328E-2</v>
      </c>
      <c r="N172" s="24">
        <f t="shared" si="91"/>
        <v>8.9165029345617975E-3</v>
      </c>
      <c r="O172" s="25">
        <f t="shared" si="92"/>
        <v>9.8628616638585589E-2</v>
      </c>
      <c r="P172" s="26">
        <f t="shared" si="93"/>
        <v>20.713985791431082</v>
      </c>
      <c r="Q172" s="26">
        <f t="shared" si="94"/>
        <v>2.0429917636801647</v>
      </c>
      <c r="R172" s="11">
        <v>20.713999999999999</v>
      </c>
      <c r="S172" s="11">
        <v>20.973299999999998</v>
      </c>
      <c r="T172" s="11">
        <v>6270</v>
      </c>
      <c r="U172" s="11">
        <v>177821483.19999999</v>
      </c>
      <c r="V172" s="11">
        <v>178423805.71000001</v>
      </c>
    </row>
    <row r="173" spans="1:22" ht="15" customHeight="1">
      <c r="A173" s="117" t="s">
        <v>51</v>
      </c>
      <c r="B173" s="117"/>
      <c r="C173" s="117"/>
      <c r="D173" s="117"/>
      <c r="E173" s="117"/>
      <c r="F173" s="117"/>
      <c r="G173" s="117"/>
      <c r="H173" s="117"/>
      <c r="I173" s="43">
        <f>SUM(I146:I172)</f>
        <v>53893349294.620003</v>
      </c>
      <c r="J173" s="41">
        <f>(I173/$I$203)</f>
        <v>1.4061223687093524E-2</v>
      </c>
      <c r="K173" s="43">
        <f>SUM(K146:K172)</f>
        <v>55822649090.856117</v>
      </c>
      <c r="L173" s="41">
        <f>(K173/$K$203)</f>
        <v>1.3672684993777304E-2</v>
      </c>
      <c r="M173" s="41">
        <f t="shared" si="83"/>
        <v>3.5798476463007843E-2</v>
      </c>
      <c r="N173" s="24"/>
      <c r="O173" s="24"/>
      <c r="P173" s="42"/>
      <c r="Q173" s="42"/>
      <c r="R173" s="29"/>
      <c r="S173" s="29"/>
      <c r="T173" s="43">
        <f>SUM(T146:T172)</f>
        <v>68493</v>
      </c>
      <c r="U173" s="43"/>
      <c r="V173" s="46"/>
    </row>
    <row r="174" spans="1:22" ht="6" customHeight="1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</row>
    <row r="175" spans="1:22">
      <c r="A175" s="120" t="s">
        <v>187</v>
      </c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</row>
    <row r="176" spans="1:22">
      <c r="A176" s="90">
        <v>151</v>
      </c>
      <c r="B176" s="79" t="s">
        <v>188</v>
      </c>
      <c r="C176" s="79" t="s">
        <v>26</v>
      </c>
      <c r="D176" s="11">
        <v>687791556.55999994</v>
      </c>
      <c r="E176" s="11">
        <v>13468344.75</v>
      </c>
      <c r="F176" s="11">
        <v>14530925.35</v>
      </c>
      <c r="G176" s="11">
        <v>4198005.3</v>
      </c>
      <c r="H176" s="13">
        <f>(E176+F176)-G176</f>
        <v>23801264.800000001</v>
      </c>
      <c r="I176" s="11">
        <v>986934759</v>
      </c>
      <c r="J176" s="14">
        <f>(I176/$I$179)</f>
        <v>0.16708443448506771</v>
      </c>
      <c r="K176" s="11">
        <v>1028864066</v>
      </c>
      <c r="L176" s="14">
        <f>(K176/$K$179)</f>
        <v>0.16868757729929157</v>
      </c>
      <c r="M176" s="14">
        <f>((K176-I176)/I176)</f>
        <v>4.2484375606027268E-2</v>
      </c>
      <c r="N176" s="24">
        <f>(G176/K176)</f>
        <v>4.0802331801915604E-3</v>
      </c>
      <c r="O176" s="25">
        <f>H176/K176</f>
        <v>2.3133536865111975E-2</v>
      </c>
      <c r="P176" s="26">
        <f>K176/V176</f>
        <v>70.733974386518256</v>
      </c>
      <c r="Q176" s="26">
        <f>H176/V176</f>
        <v>1.6363270040864064</v>
      </c>
      <c r="R176" s="11">
        <v>70.380300000000005</v>
      </c>
      <c r="S176" s="11">
        <v>72.502399999999994</v>
      </c>
      <c r="T176" s="11">
        <v>1673</v>
      </c>
      <c r="U176" s="11">
        <v>14308244</v>
      </c>
      <c r="V176" s="11">
        <v>14545543</v>
      </c>
    </row>
    <row r="177" spans="1:22">
      <c r="A177" s="90">
        <v>152</v>
      </c>
      <c r="B177" s="79" t="s">
        <v>189</v>
      </c>
      <c r="C177" s="22" t="s">
        <v>46</v>
      </c>
      <c r="D177" s="11">
        <v>4215723261.1500001</v>
      </c>
      <c r="E177" s="11">
        <f>772904.39+18143396.6</f>
        <v>18916300.990000002</v>
      </c>
      <c r="F177" s="80">
        <v>214176423.30000001</v>
      </c>
      <c r="G177" s="11">
        <v>12126840.5</v>
      </c>
      <c r="H177" s="13">
        <f>(E177+F177)-G177</f>
        <v>220965883.79000002</v>
      </c>
      <c r="I177" s="11">
        <v>3978253641.29</v>
      </c>
      <c r="J177" s="14">
        <f t="shared" ref="J177" si="95">(I177/$I$179)</f>
        <v>0.67350374868406182</v>
      </c>
      <c r="K177" s="11">
        <v>4229855291.7600002</v>
      </c>
      <c r="L177" s="14">
        <f t="shared" ref="L177" si="96">(K177/$K$179)</f>
        <v>0.69350662062444179</v>
      </c>
      <c r="M177" s="14">
        <f t="shared" ref="M177" si="97">((K177-I177)/I177)</f>
        <v>6.3244245630455873E-2</v>
      </c>
      <c r="N177" s="24">
        <f t="shared" ref="N177:N178" si="98">(G177/K177)</f>
        <v>2.8669634452090542E-3</v>
      </c>
      <c r="O177" s="25">
        <f t="shared" ref="O177:O178" si="99">H177/K177</f>
        <v>5.2239584701740074E-2</v>
      </c>
      <c r="P177" s="26">
        <f t="shared" ref="P177:P178" si="100">K177/V177</f>
        <v>3.0428125827450536</v>
      </c>
      <c r="Q177" s="26">
        <f t="shared" ref="Q177:Q178" si="101">H177/V177</f>
        <v>0.15895526564783072</v>
      </c>
      <c r="R177" s="11">
        <v>3.02</v>
      </c>
      <c r="S177" s="11">
        <v>3.06</v>
      </c>
      <c r="T177" s="11">
        <v>10236</v>
      </c>
      <c r="U177" s="11">
        <v>1380036237.4300001</v>
      </c>
      <c r="V177" s="11">
        <v>1390113645.4300001</v>
      </c>
    </row>
    <row r="178" spans="1:22">
      <c r="A178" s="90">
        <v>153</v>
      </c>
      <c r="B178" s="79" t="s">
        <v>190</v>
      </c>
      <c r="C178" s="22" t="s">
        <v>96</v>
      </c>
      <c r="D178" s="11">
        <v>817389380.00999999</v>
      </c>
      <c r="E178" s="11">
        <v>4149392.87</v>
      </c>
      <c r="F178" s="11">
        <v>39003963.5</v>
      </c>
      <c r="G178" s="11">
        <v>6498958.8099999996</v>
      </c>
      <c r="H178" s="13">
        <f t="shared" ref="H178" si="102">(E178+F178)-G178</f>
        <v>36654397.559999995</v>
      </c>
      <c r="I178" s="11">
        <v>941614121.69000006</v>
      </c>
      <c r="J178" s="14">
        <f t="shared" ref="J178" si="103">(I178/$I$179)</f>
        <v>0.15941181683087058</v>
      </c>
      <c r="K178" s="11">
        <v>840509064.82000005</v>
      </c>
      <c r="L178" s="14">
        <f t="shared" ref="L178" si="104">(K178/$K$179)</f>
        <v>0.13780580207626675</v>
      </c>
      <c r="M178" s="14">
        <f t="shared" ref="M178:M179" si="105">((K178-I178)/I178)</f>
        <v>-0.10737419346317535</v>
      </c>
      <c r="N178" s="24">
        <f t="shared" si="98"/>
        <v>7.7321698028227567E-3</v>
      </c>
      <c r="O178" s="25">
        <f t="shared" si="99"/>
        <v>4.3609758769049982E-2</v>
      </c>
      <c r="P178" s="26">
        <f t="shared" si="100"/>
        <v>22.993604348821769</v>
      </c>
      <c r="Q178" s="26">
        <f t="shared" si="101"/>
        <v>1.0027455388830959</v>
      </c>
      <c r="R178" s="11">
        <v>22.993600000000001</v>
      </c>
      <c r="S178" s="11">
        <v>23.195399999999999</v>
      </c>
      <c r="T178" s="11">
        <v>1503</v>
      </c>
      <c r="U178" s="11">
        <v>36216040.899999999</v>
      </c>
      <c r="V178" s="11">
        <v>36554037.030000001</v>
      </c>
    </row>
    <row r="179" spans="1:22" ht="15" customHeight="1">
      <c r="A179" s="117" t="s">
        <v>51</v>
      </c>
      <c r="B179" s="117"/>
      <c r="C179" s="117"/>
      <c r="D179" s="117"/>
      <c r="E179" s="117"/>
      <c r="F179" s="117"/>
      <c r="G179" s="117"/>
      <c r="H179" s="117"/>
      <c r="I179" s="43">
        <f>SUM(I176:I178)</f>
        <v>5906802521.9799995</v>
      </c>
      <c r="J179" s="41">
        <f>(I179/$I$203)</f>
        <v>1.5411339733776804E-3</v>
      </c>
      <c r="K179" s="43">
        <f>SUM(K176:K178)</f>
        <v>6099228422.5799999</v>
      </c>
      <c r="L179" s="41">
        <f>(K179/$K$203)</f>
        <v>1.4938887760647234E-3</v>
      </c>
      <c r="M179" s="41">
        <f t="shared" si="105"/>
        <v>3.2576999126677754E-2</v>
      </c>
      <c r="N179" s="24"/>
      <c r="O179" s="47"/>
      <c r="P179" s="42"/>
      <c r="Q179" s="42"/>
      <c r="R179" s="43"/>
      <c r="S179" s="43"/>
      <c r="T179" s="43">
        <f>SUM(T176:T178)</f>
        <v>13412</v>
      </c>
      <c r="U179" s="43"/>
      <c r="V179" s="46"/>
    </row>
    <row r="180" spans="1:22" ht="8.1" customHeight="1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</row>
    <row r="181" spans="1:22">
      <c r="A181" s="120" t="s">
        <v>191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</row>
    <row r="182" spans="1:22" ht="12.9" customHeight="1">
      <c r="A182" s="121" t="s">
        <v>192</v>
      </c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</row>
    <row r="183" spans="1:22" ht="15" customHeight="1">
      <c r="A183" s="90">
        <v>154</v>
      </c>
      <c r="B183" s="79" t="s">
        <v>193</v>
      </c>
      <c r="C183" s="22" t="s">
        <v>120</v>
      </c>
      <c r="D183" s="33">
        <v>3880853095.96</v>
      </c>
      <c r="E183" s="23">
        <v>38656794.520000003</v>
      </c>
      <c r="F183" s="23">
        <v>70493770.140000001</v>
      </c>
      <c r="G183" s="36">
        <v>2423293.9</v>
      </c>
      <c r="H183" s="13">
        <f>(E183+F183)-G183</f>
        <v>106727270.75999999</v>
      </c>
      <c r="I183" s="19">
        <v>4922404049.3500004</v>
      </c>
      <c r="J183" s="14">
        <f>(I183/$I$202)</f>
        <v>9.3784982134900066E-2</v>
      </c>
      <c r="K183" s="34">
        <v>5168062103.1000004</v>
      </c>
      <c r="L183" s="14">
        <f>(K183/$K$202)</f>
        <v>9.4872338964410149E-2</v>
      </c>
      <c r="M183" s="14">
        <f>((K183-I183)/I183)</f>
        <v>4.9906113209548283E-2</v>
      </c>
      <c r="N183" s="24">
        <f>(G183/K183)</f>
        <v>4.6889798374257462E-4</v>
      </c>
      <c r="O183" s="25">
        <f>H183/K183</f>
        <v>2.0651313515753014E-2</v>
      </c>
      <c r="P183" s="26">
        <f>K183/V183</f>
        <v>2.3384339233137261</v>
      </c>
      <c r="Q183" s="26">
        <f>H183/V183</f>
        <v>4.8291732086224101E-2</v>
      </c>
      <c r="R183" s="34">
        <v>2.3199999999999998</v>
      </c>
      <c r="S183" s="34">
        <v>2.36</v>
      </c>
      <c r="T183" s="34">
        <v>15004</v>
      </c>
      <c r="U183" s="11">
        <v>2150147536.8000002</v>
      </c>
      <c r="V183" s="11">
        <v>2210052656</v>
      </c>
    </row>
    <row r="184" spans="1:22">
      <c r="A184" s="90">
        <v>155</v>
      </c>
      <c r="B184" s="22" t="s">
        <v>194</v>
      </c>
      <c r="C184" s="22" t="s">
        <v>46</v>
      </c>
      <c r="D184" s="36">
        <v>753841959.61000001</v>
      </c>
      <c r="E184" s="36">
        <v>2427041.75</v>
      </c>
      <c r="F184" s="36">
        <v>32338712.899999999</v>
      </c>
      <c r="G184" s="36">
        <v>1729530.02</v>
      </c>
      <c r="H184" s="13">
        <f>(E184+F184)-G184</f>
        <v>33036224.629999999</v>
      </c>
      <c r="I184" s="20">
        <v>738052101.77999997</v>
      </c>
      <c r="J184" s="14">
        <f>(I184/$I$202)</f>
        <v>1.4061869461773043E-2</v>
      </c>
      <c r="K184" s="20">
        <v>781117322.89999998</v>
      </c>
      <c r="L184" s="14">
        <f>(K184/$K$202)</f>
        <v>1.4339306678356197E-2</v>
      </c>
      <c r="M184" s="14">
        <f>((K184-I184)/I184)</f>
        <v>5.8349838739212713E-2</v>
      </c>
      <c r="N184" s="24">
        <f>(G184/K184)</f>
        <v>2.2141744515137549E-3</v>
      </c>
      <c r="O184" s="25">
        <f>H184/K184</f>
        <v>4.2293550099937231E-2</v>
      </c>
      <c r="P184" s="26">
        <f>K184/V184</f>
        <v>524.36529569787524</v>
      </c>
      <c r="Q184" s="26">
        <f>H184/V184</f>
        <v>22.177269904266488</v>
      </c>
      <c r="R184" s="20">
        <v>520.29999999999995</v>
      </c>
      <c r="S184" s="20">
        <v>527.15</v>
      </c>
      <c r="T184" s="20">
        <v>866</v>
      </c>
      <c r="U184" s="20">
        <v>1470162.11</v>
      </c>
      <c r="V184" s="20">
        <v>1489643.44</v>
      </c>
    </row>
    <row r="185" spans="1:22" ht="6.9" customHeight="1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</row>
    <row r="186" spans="1:22">
      <c r="A186" s="122" t="s">
        <v>148</v>
      </c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</row>
    <row r="187" spans="1:22">
      <c r="A187" s="75">
        <v>156</v>
      </c>
      <c r="B187" s="76" t="s">
        <v>195</v>
      </c>
      <c r="C187" s="77" t="s">
        <v>196</v>
      </c>
      <c r="D187" s="69">
        <v>279260513.39244235</v>
      </c>
      <c r="E187" s="69">
        <v>3429087.1891103084</v>
      </c>
      <c r="F187" s="11">
        <v>0</v>
      </c>
      <c r="G187" s="69">
        <v>790478.500601226</v>
      </c>
      <c r="H187" s="69">
        <f>(E187+F187)-G187</f>
        <v>2638608.6885090824</v>
      </c>
      <c r="I187" s="69">
        <v>348829378</v>
      </c>
      <c r="J187" s="14">
        <f>(I187/$I$202)</f>
        <v>6.6461340141669772E-3</v>
      </c>
      <c r="K187" s="69">
        <v>338714486.50849915</v>
      </c>
      <c r="L187" s="14">
        <f>(K187/$K$202)</f>
        <v>6.2179275200495137E-3</v>
      </c>
      <c r="M187" s="14">
        <f t="shared" ref="M187:M202" si="106">((K187-I187)/I187)</f>
        <v>-2.8996673243217648E-2</v>
      </c>
      <c r="N187" s="24">
        <f>(G187/K187)</f>
        <v>2.3337605330954483E-3</v>
      </c>
      <c r="O187" s="25">
        <f>H187/K187</f>
        <v>7.7900674273135156E-3</v>
      </c>
      <c r="P187" s="26">
        <f>K187/V187</f>
        <v>1027.3290095691605</v>
      </c>
      <c r="Q187" s="26">
        <f>H187/V187</f>
        <v>8.0029622545789731</v>
      </c>
      <c r="R187" s="69">
        <v>1027.3290095691605</v>
      </c>
      <c r="S187" s="69">
        <v>1027.3290095691605</v>
      </c>
      <c r="T187" s="69">
        <v>20</v>
      </c>
      <c r="U187" s="69">
        <v>329609.00266468542</v>
      </c>
      <c r="V187" s="69">
        <v>329704.00266468542</v>
      </c>
    </row>
    <row r="188" spans="1:22" ht="15" customHeight="1">
      <c r="A188" s="75">
        <v>157</v>
      </c>
      <c r="B188" s="76" t="s">
        <v>197</v>
      </c>
      <c r="C188" s="77" t="s">
        <v>62</v>
      </c>
      <c r="D188" s="69">
        <v>68693348.140000001</v>
      </c>
      <c r="E188" s="69">
        <v>1759746.28</v>
      </c>
      <c r="F188" s="11">
        <v>0</v>
      </c>
      <c r="G188" s="69">
        <v>237543.11</v>
      </c>
      <c r="H188" s="69">
        <f t="shared" ref="H188:H198" si="107">(E188+F188)-G188</f>
        <v>1522203.17</v>
      </c>
      <c r="I188" s="69">
        <v>130084681.48</v>
      </c>
      <c r="J188" s="14">
        <f t="shared" ref="J188:J198" si="108">(I188/$I$202)</f>
        <v>2.4784616228805852E-3</v>
      </c>
      <c r="K188" s="69">
        <v>131403237.90000001</v>
      </c>
      <c r="L188" s="14">
        <f t="shared" ref="L188:L198" si="109">(K188/$K$202)</f>
        <v>2.4122257585859749E-3</v>
      </c>
      <c r="M188" s="14">
        <f t="shared" ref="M188:M198" si="110">((K188-I188)/I188)</f>
        <v>1.0136139051873872E-2</v>
      </c>
      <c r="N188" s="24">
        <f t="shared" ref="N188:N198" si="111">(G188/K188)</f>
        <v>1.8077416797048346E-3</v>
      </c>
      <c r="O188" s="25">
        <f t="shared" ref="O188:O198" si="112">H188/K188</f>
        <v>1.1584213557647804E-2</v>
      </c>
      <c r="P188" s="26">
        <f t="shared" ref="P188:P198" si="113">K188/V188</f>
        <v>117.33793913579255</v>
      </c>
      <c r="Q188" s="26">
        <f t="shared" ref="Q188:Q198" si="114">H188/V188</f>
        <v>1.3592677453633011</v>
      </c>
      <c r="R188" s="69">
        <v>117.21</v>
      </c>
      <c r="S188" s="69">
        <v>117.21</v>
      </c>
      <c r="T188" s="69">
        <v>81</v>
      </c>
      <c r="U188" s="69">
        <v>1127326</v>
      </c>
      <c r="V188" s="69">
        <v>1119870</v>
      </c>
    </row>
    <row r="189" spans="1:22" ht="15" customHeight="1">
      <c r="A189" s="75">
        <v>158</v>
      </c>
      <c r="B189" s="76" t="s">
        <v>198</v>
      </c>
      <c r="C189" s="77" t="s">
        <v>172</v>
      </c>
      <c r="D189" s="69">
        <v>32523712.699999999</v>
      </c>
      <c r="E189" s="69">
        <v>654983.61</v>
      </c>
      <c r="F189" s="11">
        <v>0</v>
      </c>
      <c r="G189" s="69">
        <v>324230.81</v>
      </c>
      <c r="H189" s="69">
        <f t="shared" si="107"/>
        <v>330752.8</v>
      </c>
      <c r="I189" s="69">
        <v>59467961.82</v>
      </c>
      <c r="J189" s="14">
        <f t="shared" si="108"/>
        <v>1.1330239616603769E-3</v>
      </c>
      <c r="K189" s="69">
        <v>62125663.43</v>
      </c>
      <c r="L189" s="14">
        <f t="shared" si="109"/>
        <v>1.1404675256871178E-3</v>
      </c>
      <c r="M189" s="14">
        <f t="shared" si="110"/>
        <v>4.4691318294116697E-2</v>
      </c>
      <c r="N189" s="24">
        <f t="shared" si="111"/>
        <v>5.2189512690729908E-3</v>
      </c>
      <c r="O189" s="25">
        <f t="shared" si="112"/>
        <v>5.3239318783722157E-3</v>
      </c>
      <c r="P189" s="26">
        <f t="shared" si="113"/>
        <v>102.49104345903784</v>
      </c>
      <c r="Q189" s="26">
        <f t="shared" si="114"/>
        <v>0.5456553335192037</v>
      </c>
      <c r="R189" s="69">
        <v>102.49</v>
      </c>
      <c r="S189" s="69">
        <v>102.95</v>
      </c>
      <c r="T189" s="69">
        <v>17</v>
      </c>
      <c r="U189" s="69">
        <v>605232</v>
      </c>
      <c r="V189" s="69">
        <v>606157</v>
      </c>
    </row>
    <row r="190" spans="1:22" ht="15" customHeight="1">
      <c r="A190" s="75">
        <v>159</v>
      </c>
      <c r="B190" s="22" t="s">
        <v>264</v>
      </c>
      <c r="C190" s="79" t="s">
        <v>71</v>
      </c>
      <c r="D190" s="69">
        <v>103353422.64</v>
      </c>
      <c r="E190" s="69">
        <v>1526103.81</v>
      </c>
      <c r="F190" s="11">
        <v>0</v>
      </c>
      <c r="G190" s="69">
        <v>458851.65</v>
      </c>
      <c r="H190" s="69">
        <f t="shared" si="107"/>
        <v>1067252.1600000001</v>
      </c>
      <c r="I190" s="69">
        <v>107874946.18000001</v>
      </c>
      <c r="J190" s="14">
        <f t="shared" si="108"/>
        <v>2.0553066751256544E-3</v>
      </c>
      <c r="K190" s="69">
        <v>103994080.45999999</v>
      </c>
      <c r="L190" s="14">
        <f t="shared" si="109"/>
        <v>1.9090640659629771E-3</v>
      </c>
      <c r="M190" s="14">
        <f t="shared" si="110"/>
        <v>-3.5975598203538434E-2</v>
      </c>
      <c r="N190" s="24">
        <f t="shared" si="111"/>
        <v>4.4122862375468716E-3</v>
      </c>
      <c r="O190" s="25">
        <f t="shared" si="112"/>
        <v>1.0262624134750681E-2</v>
      </c>
      <c r="P190" s="26">
        <f t="shared" si="113"/>
        <v>0.97535766789325462</v>
      </c>
      <c r="Q190" s="26">
        <f t="shared" si="114"/>
        <v>1.0009729142535454E-2</v>
      </c>
      <c r="R190" s="69">
        <v>1.0526</v>
      </c>
      <c r="S190" s="69">
        <v>1.0526</v>
      </c>
      <c r="T190" s="69">
        <v>24</v>
      </c>
      <c r="U190" s="69">
        <v>103471108.90000001</v>
      </c>
      <c r="V190" s="69">
        <v>106621482.44</v>
      </c>
    </row>
    <row r="191" spans="1:22" ht="15" customHeight="1">
      <c r="A191" s="75">
        <v>160</v>
      </c>
      <c r="B191" s="77" t="s">
        <v>199</v>
      </c>
      <c r="C191" s="77" t="s">
        <v>75</v>
      </c>
      <c r="D191" s="69">
        <v>7864843614.3900003</v>
      </c>
      <c r="E191" s="69">
        <v>156065659.33000001</v>
      </c>
      <c r="F191" s="11">
        <v>0</v>
      </c>
      <c r="G191" s="69">
        <v>12803478.24</v>
      </c>
      <c r="H191" s="69">
        <f t="shared" si="107"/>
        <v>143262181.09</v>
      </c>
      <c r="I191" s="69">
        <v>8010441931.2700005</v>
      </c>
      <c r="J191" s="14">
        <f t="shared" si="108"/>
        <v>0.15262037530543932</v>
      </c>
      <c r="K191" s="69">
        <v>7738767432.5600004</v>
      </c>
      <c r="L191" s="14">
        <f t="shared" si="109"/>
        <v>0.14206388243441817</v>
      </c>
      <c r="M191" s="14">
        <f t="shared" si="110"/>
        <v>-3.3915045017613395E-2</v>
      </c>
      <c r="N191" s="24">
        <f t="shared" si="111"/>
        <v>1.6544596218424647E-3</v>
      </c>
      <c r="O191" s="25">
        <f t="shared" si="112"/>
        <v>1.8512273735897575E-2</v>
      </c>
      <c r="P191" s="26">
        <f t="shared" si="113"/>
        <v>145.35413055942962</v>
      </c>
      <c r="Q191" s="26">
        <f t="shared" si="114"/>
        <v>2.6908354535595564</v>
      </c>
      <c r="R191" s="69">
        <v>145.35</v>
      </c>
      <c r="S191" s="69">
        <v>145.35</v>
      </c>
      <c r="T191" s="69">
        <v>692</v>
      </c>
      <c r="U191" s="69">
        <v>55829850</v>
      </c>
      <c r="V191" s="69">
        <v>53240781</v>
      </c>
    </row>
    <row r="192" spans="1:22" ht="15" customHeight="1">
      <c r="A192" s="75">
        <v>161</v>
      </c>
      <c r="B192" s="77" t="s">
        <v>225</v>
      </c>
      <c r="C192" s="77" t="s">
        <v>60</v>
      </c>
      <c r="D192" s="69">
        <v>556289211.20000005</v>
      </c>
      <c r="E192" s="69">
        <v>9668671.0500000007</v>
      </c>
      <c r="F192" s="11">
        <v>0</v>
      </c>
      <c r="G192" s="69">
        <v>1285054.1299999999</v>
      </c>
      <c r="H192" s="69">
        <f t="shared" si="107"/>
        <v>8383616.9200000009</v>
      </c>
      <c r="I192" s="69">
        <v>526152648.48000002</v>
      </c>
      <c r="J192" s="14">
        <f t="shared" si="108"/>
        <v>1.0024617289278224E-2</v>
      </c>
      <c r="K192" s="69">
        <v>557193049.51999998</v>
      </c>
      <c r="L192" s="14">
        <f t="shared" si="109"/>
        <v>1.022863247540428E-2</v>
      </c>
      <c r="M192" s="14">
        <f t="shared" si="110"/>
        <v>5.899504854660037E-2</v>
      </c>
      <c r="N192" s="24">
        <f t="shared" si="111"/>
        <v>2.3062996408641919E-3</v>
      </c>
      <c r="O192" s="25">
        <f t="shared" si="112"/>
        <v>1.5046162056799092E-2</v>
      </c>
      <c r="P192" s="26">
        <f t="shared" si="113"/>
        <v>1205.4529068111403</v>
      </c>
      <c r="Q192" s="26">
        <f t="shared" si="114"/>
        <v>18.137439787719952</v>
      </c>
      <c r="R192" s="69">
        <v>1205.45</v>
      </c>
      <c r="S192" s="69">
        <v>1205.45</v>
      </c>
      <c r="T192" s="69">
        <v>109</v>
      </c>
      <c r="U192" s="69">
        <v>443263.97</v>
      </c>
      <c r="V192" s="69">
        <v>462227.14</v>
      </c>
    </row>
    <row r="193" spans="1:22" ht="15" customHeight="1">
      <c r="A193" s="75">
        <v>162</v>
      </c>
      <c r="B193" s="76" t="s">
        <v>119</v>
      </c>
      <c r="C193" s="77" t="s">
        <v>120</v>
      </c>
      <c r="D193" s="69">
        <v>14042897519.57</v>
      </c>
      <c r="E193" s="69">
        <v>326667481.81</v>
      </c>
      <c r="F193" s="11">
        <v>0</v>
      </c>
      <c r="G193" s="69">
        <v>42762510.039999999</v>
      </c>
      <c r="H193" s="69">
        <f t="shared" si="107"/>
        <v>283904971.76999998</v>
      </c>
      <c r="I193" s="69">
        <v>25279129785.880001</v>
      </c>
      <c r="J193" s="14">
        <f t="shared" si="108"/>
        <v>0.48163513429330096</v>
      </c>
      <c r="K193" s="69">
        <v>26974485281.93</v>
      </c>
      <c r="L193" s="14">
        <f t="shared" si="109"/>
        <v>0.49518222885183416</v>
      </c>
      <c r="M193" s="14">
        <f t="shared" si="110"/>
        <v>6.7065421571472092E-2</v>
      </c>
      <c r="N193" s="24">
        <f t="shared" si="111"/>
        <v>1.5852947551383409E-3</v>
      </c>
      <c r="O193" s="25">
        <f t="shared" si="112"/>
        <v>1.0524944917491558E-2</v>
      </c>
      <c r="P193" s="26">
        <f t="shared" si="113"/>
        <v>1235.3895083013708</v>
      </c>
      <c r="Q193" s="26">
        <f t="shared" si="114"/>
        <v>13.002406526518907</v>
      </c>
      <c r="R193" s="69">
        <v>1235.3900000000001</v>
      </c>
      <c r="S193" s="69">
        <v>1235.3900000000001</v>
      </c>
      <c r="T193" s="69">
        <v>9657</v>
      </c>
      <c r="U193" s="69">
        <v>19987304.190000001</v>
      </c>
      <c r="V193" s="69">
        <v>21834801.98</v>
      </c>
    </row>
    <row r="194" spans="1:22" ht="15" customHeight="1">
      <c r="A194" s="75">
        <v>163</v>
      </c>
      <c r="B194" s="78" t="s">
        <v>222</v>
      </c>
      <c r="C194" s="78" t="s">
        <v>223</v>
      </c>
      <c r="D194" s="69">
        <v>455552151.27999997</v>
      </c>
      <c r="E194" s="69">
        <v>0</v>
      </c>
      <c r="F194" s="11">
        <v>13692438.6</v>
      </c>
      <c r="G194" s="69">
        <v>765406.64</v>
      </c>
      <c r="H194" s="69">
        <f t="shared" si="107"/>
        <v>12927031.959999999</v>
      </c>
      <c r="I194" s="69">
        <v>403075996.13</v>
      </c>
      <c r="J194" s="14">
        <f t="shared" si="108"/>
        <v>7.6796773928078663E-3</v>
      </c>
      <c r="K194" s="69">
        <v>464668628.79000002</v>
      </c>
      <c r="L194" s="14">
        <f t="shared" si="109"/>
        <v>8.5301218865479912E-3</v>
      </c>
      <c r="M194" s="14">
        <f t="shared" si="110"/>
        <v>0.15280650113467731</v>
      </c>
      <c r="N194" s="24">
        <f t="shared" si="111"/>
        <v>1.6472096297809552E-3</v>
      </c>
      <c r="O194" s="25">
        <f t="shared" si="112"/>
        <v>2.7819893918085391E-2</v>
      </c>
      <c r="P194" s="26">
        <f t="shared" si="113"/>
        <v>124.45047869920003</v>
      </c>
      <c r="Q194" s="26">
        <f t="shared" si="114"/>
        <v>3.46219911546669</v>
      </c>
      <c r="R194" s="69">
        <v>123.78</v>
      </c>
      <c r="S194" s="69">
        <v>124.89</v>
      </c>
      <c r="T194" s="69">
        <v>143</v>
      </c>
      <c r="U194" s="69">
        <v>3232992.15</v>
      </c>
      <c r="V194" s="69">
        <v>3733763.29</v>
      </c>
    </row>
    <row r="195" spans="1:22" ht="15" customHeight="1">
      <c r="A195" s="75">
        <v>164</v>
      </c>
      <c r="B195" s="78" t="s">
        <v>224</v>
      </c>
      <c r="C195" s="78" t="s">
        <v>223</v>
      </c>
      <c r="D195" s="69">
        <v>121031768.22</v>
      </c>
      <c r="E195" s="69">
        <v>0</v>
      </c>
      <c r="F195" s="11">
        <v>4031343.04</v>
      </c>
      <c r="G195" s="69">
        <v>207389.19</v>
      </c>
      <c r="H195" s="69">
        <f t="shared" si="107"/>
        <v>3823953.85</v>
      </c>
      <c r="I195" s="69">
        <v>110822495.51000001</v>
      </c>
      <c r="J195" s="14">
        <f t="shared" si="108"/>
        <v>2.1114653850739548E-3</v>
      </c>
      <c r="K195" s="69">
        <v>123884041.3</v>
      </c>
      <c r="L195" s="14">
        <f t="shared" si="109"/>
        <v>2.2741926323688309E-3</v>
      </c>
      <c r="M195" s="14">
        <f t="shared" si="110"/>
        <v>0.11786005837435226</v>
      </c>
      <c r="N195" s="24">
        <f t="shared" si="111"/>
        <v>1.6740589653334147E-3</v>
      </c>
      <c r="O195" s="25">
        <f t="shared" si="112"/>
        <v>3.0867202989768791E-2</v>
      </c>
      <c r="P195" s="26">
        <f t="shared" si="113"/>
        <v>114.17938396996784</v>
      </c>
      <c r="Q195" s="26">
        <f t="shared" si="114"/>
        <v>3.5243982222477501</v>
      </c>
      <c r="R195" s="69">
        <v>114.18</v>
      </c>
      <c r="S195" s="69">
        <v>114.18</v>
      </c>
      <c r="T195" s="69">
        <v>68</v>
      </c>
      <c r="U195" s="69">
        <v>984074.98</v>
      </c>
      <c r="V195" s="69">
        <v>1084994.83</v>
      </c>
    </row>
    <row r="196" spans="1:22" ht="16.2" customHeight="1">
      <c r="A196" s="75">
        <v>165</v>
      </c>
      <c r="B196" s="77" t="s">
        <v>200</v>
      </c>
      <c r="C196" s="77" t="s">
        <v>146</v>
      </c>
      <c r="D196" s="69">
        <v>1001300995.3099999</v>
      </c>
      <c r="E196" s="69">
        <v>20037913.370000001</v>
      </c>
      <c r="F196" s="11">
        <v>0</v>
      </c>
      <c r="G196" s="69">
        <v>2619927.5099999998</v>
      </c>
      <c r="H196" s="69">
        <f t="shared" si="107"/>
        <v>17417985.859999999</v>
      </c>
      <c r="I196" s="69">
        <v>1377707782.6199999</v>
      </c>
      <c r="J196" s="14">
        <f t="shared" si="108"/>
        <v>2.624902354311839E-2</v>
      </c>
      <c r="K196" s="69">
        <v>1530007703.74</v>
      </c>
      <c r="L196" s="14">
        <f t="shared" si="109"/>
        <v>2.8087009519547058E-2</v>
      </c>
      <c r="M196" s="14">
        <f t="shared" si="110"/>
        <v>0.11054588138449065</v>
      </c>
      <c r="N196" s="24">
        <f t="shared" si="111"/>
        <v>1.7123622996118024E-3</v>
      </c>
      <c r="O196" s="25">
        <f t="shared" si="112"/>
        <v>1.1384247162561936E-2</v>
      </c>
      <c r="P196" s="26">
        <f t="shared" si="113"/>
        <v>104.10786498570735</v>
      </c>
      <c r="Q196" s="26">
        <f t="shared" si="114"/>
        <v>1.1851896665639201</v>
      </c>
      <c r="R196" s="69">
        <v>104.11</v>
      </c>
      <c r="S196" s="69">
        <v>104.11</v>
      </c>
      <c r="T196" s="69">
        <f>589+13</f>
        <v>602</v>
      </c>
      <c r="U196" s="69">
        <v>12977069</v>
      </c>
      <c r="V196" s="69">
        <v>14696370</v>
      </c>
    </row>
    <row r="197" spans="1:22">
      <c r="A197" s="75">
        <v>166</v>
      </c>
      <c r="B197" s="76" t="s">
        <v>201</v>
      </c>
      <c r="C197" s="76" t="s">
        <v>46</v>
      </c>
      <c r="D197" s="69">
        <v>6398522449.3400002</v>
      </c>
      <c r="E197" s="69">
        <v>60553697.369999997</v>
      </c>
      <c r="F197" s="11">
        <v>0</v>
      </c>
      <c r="G197" s="69">
        <v>10883137.58</v>
      </c>
      <c r="H197" s="69">
        <f t="shared" si="107"/>
        <v>49670559.789999999</v>
      </c>
      <c r="I197" s="69">
        <v>6404147660.4399996</v>
      </c>
      <c r="J197" s="14">
        <f t="shared" si="108"/>
        <v>0.12201616687743011</v>
      </c>
      <c r="K197" s="69">
        <v>6405069056.6000004</v>
      </c>
      <c r="L197" s="14">
        <f t="shared" si="109"/>
        <v>0.11758060768343129</v>
      </c>
      <c r="M197" s="14">
        <f t="shared" si="110"/>
        <v>1.4387490870838168E-4</v>
      </c>
      <c r="N197" s="24">
        <f t="shared" si="111"/>
        <v>1.6991444563405052E-3</v>
      </c>
      <c r="O197" s="25">
        <f t="shared" si="112"/>
        <v>7.7548827890962036E-3</v>
      </c>
      <c r="P197" s="26">
        <f t="shared" si="113"/>
        <v>135.34194848891448</v>
      </c>
      <c r="Q197" s="26">
        <f t="shared" si="114"/>
        <v>1.0495609469794278</v>
      </c>
      <c r="R197" s="69">
        <v>135.34</v>
      </c>
      <c r="S197" s="69">
        <v>135.34</v>
      </c>
      <c r="T197" s="69">
        <v>1264</v>
      </c>
      <c r="U197" s="69">
        <v>47685771.049999997</v>
      </c>
      <c r="V197" s="69">
        <v>47325083.82</v>
      </c>
    </row>
    <row r="198" spans="1:22" ht="15" customHeight="1">
      <c r="A198" s="75">
        <v>167</v>
      </c>
      <c r="B198" s="77" t="s">
        <v>202</v>
      </c>
      <c r="C198" s="77" t="s">
        <v>50</v>
      </c>
      <c r="D198" s="69">
        <v>3057136011.8499999</v>
      </c>
      <c r="E198" s="69">
        <v>42857852</v>
      </c>
      <c r="F198" s="11">
        <v>0</v>
      </c>
      <c r="G198" s="69">
        <v>6168548.9100000001</v>
      </c>
      <c r="H198" s="69">
        <f t="shared" si="107"/>
        <v>36689303.090000004</v>
      </c>
      <c r="I198" s="69">
        <v>3839662550.4400001</v>
      </c>
      <c r="J198" s="14">
        <f t="shared" si="108"/>
        <v>7.3155856383754492E-2</v>
      </c>
      <c r="K198" s="69">
        <v>3865449288.6769176</v>
      </c>
      <c r="L198" s="14">
        <f t="shared" si="109"/>
        <v>7.0959715237384521E-2</v>
      </c>
      <c r="M198" s="14">
        <f t="shared" si="110"/>
        <v>6.7158865911178846E-3</v>
      </c>
      <c r="N198" s="24">
        <f t="shared" si="111"/>
        <v>1.5958167988568794E-3</v>
      </c>
      <c r="O198" s="25">
        <f t="shared" si="112"/>
        <v>9.4916011956162998E-3</v>
      </c>
      <c r="P198" s="26">
        <f t="shared" si="113"/>
        <v>1.222901984893485</v>
      </c>
      <c r="Q198" s="26">
        <f t="shared" si="114"/>
        <v>1.1607297941936549E-2</v>
      </c>
      <c r="R198" s="69">
        <v>1.2</v>
      </c>
      <c r="S198" s="69">
        <v>1.2</v>
      </c>
      <c r="T198" s="69">
        <v>151</v>
      </c>
      <c r="U198" s="69">
        <v>3175340483.75</v>
      </c>
      <c r="V198" s="69">
        <v>3160882340.8800001</v>
      </c>
    </row>
    <row r="199" spans="1:22" ht="4.95" customHeight="1">
      <c r="A199" s="90"/>
      <c r="B199" s="22"/>
      <c r="C199" s="22"/>
      <c r="D199" s="12"/>
      <c r="E199" s="12"/>
      <c r="F199" s="12"/>
      <c r="G199" s="37"/>
      <c r="H199" s="13"/>
      <c r="I199" s="27"/>
      <c r="J199" s="14"/>
      <c r="K199" s="38"/>
      <c r="L199" s="14"/>
      <c r="M199" s="14"/>
      <c r="N199" s="24"/>
      <c r="O199" s="25"/>
      <c r="P199" s="26"/>
      <c r="Q199" s="26"/>
      <c r="R199" s="13"/>
      <c r="S199" s="13"/>
      <c r="T199" s="48"/>
      <c r="U199" s="37"/>
      <c r="V199" s="48"/>
    </row>
    <row r="200" spans="1:22" ht="15" customHeight="1">
      <c r="A200" s="121" t="s">
        <v>220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</row>
    <row r="201" spans="1:22" ht="15" customHeight="1">
      <c r="A201" s="90">
        <v>168</v>
      </c>
      <c r="B201" s="79" t="s">
        <v>221</v>
      </c>
      <c r="C201" s="22" t="s">
        <v>120</v>
      </c>
      <c r="D201" s="19">
        <v>75546192.400000006</v>
      </c>
      <c r="E201" s="36">
        <v>3058031.09</v>
      </c>
      <c r="F201" s="19">
        <v>-2296000</v>
      </c>
      <c r="G201" s="11">
        <v>573702.15</v>
      </c>
      <c r="H201" s="13">
        <f>(E201+F201)-G201</f>
        <v>188328.93999999983</v>
      </c>
      <c r="I201" s="20">
        <v>228204430.34999999</v>
      </c>
      <c r="J201" s="14">
        <f t="shared" ref="J201" si="115">(I201/$I$202)</f>
        <v>4.3479056592897799E-3</v>
      </c>
      <c r="K201" s="20">
        <v>228914327.13</v>
      </c>
      <c r="L201" s="14">
        <f t="shared" ref="L201" si="116">(K201/$K$202)</f>
        <v>4.2022787660117638E-3</v>
      </c>
      <c r="M201" s="14">
        <f>((K201-I201)/I201)</f>
        <v>3.1107931555545334E-3</v>
      </c>
      <c r="N201" s="24">
        <f t="shared" ref="N201" si="117">(G201/K201)</f>
        <v>2.5061871713874672E-3</v>
      </c>
      <c r="O201" s="25">
        <f t="shared" ref="O201" si="118">H201/K201</f>
        <v>8.227049060719043E-4</v>
      </c>
      <c r="P201" s="26">
        <f t="shared" ref="P201" si="119">K201/V201</f>
        <v>1225.2661970695651</v>
      </c>
      <c r="Q201" s="26">
        <f t="shared" ref="Q201" si="120">H201/V201</f>
        <v>1.0080325115731961</v>
      </c>
      <c r="R201" s="13">
        <v>1225.27</v>
      </c>
      <c r="S201" s="13">
        <v>1225.27</v>
      </c>
      <c r="T201" s="11">
        <v>32</v>
      </c>
      <c r="U201" s="11">
        <v>186828.24</v>
      </c>
      <c r="V201" s="11">
        <v>186828.24</v>
      </c>
    </row>
    <row r="202" spans="1:22" ht="15" customHeight="1">
      <c r="A202" s="117" t="s">
        <v>51</v>
      </c>
      <c r="B202" s="117"/>
      <c r="C202" s="117"/>
      <c r="D202" s="117"/>
      <c r="E202" s="117"/>
      <c r="F202" s="117"/>
      <c r="G202" s="117"/>
      <c r="H202" s="117"/>
      <c r="I202" s="43">
        <f>SUM(I183:I201)</f>
        <v>52486058399.730011</v>
      </c>
      <c r="J202" s="41">
        <f>(I202/$I$203)</f>
        <v>1.3694049771854348E-2</v>
      </c>
      <c r="K202" s="43">
        <f>SUM(K183:K201)</f>
        <v>54473855704.545418</v>
      </c>
      <c r="L202" s="41">
        <f>(K202/$K$203)</f>
        <v>1.3342323977360813E-2</v>
      </c>
      <c r="M202" s="41">
        <f t="shared" si="106"/>
        <v>3.7872863107312936E-2</v>
      </c>
      <c r="N202" s="24"/>
      <c r="O202" s="24"/>
      <c r="P202" s="42"/>
      <c r="Q202" s="42"/>
      <c r="R202" s="43"/>
      <c r="S202" s="43"/>
      <c r="T202" s="43">
        <f>SUM(T183:T198)</f>
        <v>28698</v>
      </c>
      <c r="U202" s="43"/>
      <c r="V202" s="43"/>
    </row>
    <row r="203" spans="1:22" ht="15" customHeight="1">
      <c r="A203" s="118" t="s">
        <v>203</v>
      </c>
      <c r="B203" s="118"/>
      <c r="C203" s="118"/>
      <c r="D203" s="118"/>
      <c r="E203" s="118"/>
      <c r="F203" s="118"/>
      <c r="G203" s="118"/>
      <c r="H203" s="118"/>
      <c r="I203" s="55">
        <f>SUM(I24,I62,I101,I135,I143,I173,I179,I202)</f>
        <v>3832763811593.9707</v>
      </c>
      <c r="J203" s="56"/>
      <c r="K203" s="55">
        <f>SUM(K24,K62,K101,K135,K143,K173,K179,K202)</f>
        <v>4082786162064.1484</v>
      </c>
      <c r="L203" s="49"/>
      <c r="M203" s="49"/>
      <c r="N203" s="50"/>
      <c r="O203" s="50"/>
      <c r="P203" s="51"/>
      <c r="Q203" s="51"/>
      <c r="R203" s="52"/>
      <c r="S203" s="52"/>
      <c r="T203" s="55">
        <f>SUM(T24,T62,T101,T135,T143,T173,T179,T202)</f>
        <v>790219</v>
      </c>
      <c r="U203" s="52"/>
      <c r="V203" s="52"/>
    </row>
    <row r="204" spans="1:22" ht="5.0999999999999996" customHeight="1">
      <c r="A204" s="7"/>
      <c r="B204" s="16"/>
      <c r="C204" s="16"/>
      <c r="D204" s="6"/>
      <c r="E204" s="6"/>
      <c r="F204" s="6"/>
      <c r="G204" s="6"/>
      <c r="H204" s="8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>
      <c r="A205" s="15" t="s">
        <v>204</v>
      </c>
      <c r="B205" s="70" t="s">
        <v>266</v>
      </c>
      <c r="C205" s="18"/>
      <c r="D205" s="6"/>
      <c r="E205" s="6"/>
      <c r="F205" s="6"/>
      <c r="G205" s="6"/>
      <c r="H205" s="8"/>
      <c r="I205" s="9"/>
      <c r="J205" s="6"/>
      <c r="K205" s="9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10"/>
    </row>
  </sheetData>
  <sheetProtection algorithmName="SHA-512" hashValue="aFzW7F9ilZsZ+FCyDpHB/QoxexbKRlxz1pVGtLCdRIJqvrezWzOQHNaPGk3dw0b1GDkaD0nxCuCaYwQUoXmLrQ==" saltValue="RUF/EJ9tEDxv8IouOgfXWA==" spinCount="100000" sheet="1" objects="1" scenarios="1"/>
  <mergeCells count="33">
    <mergeCell ref="A1:V1"/>
    <mergeCell ref="A3:V3"/>
    <mergeCell ref="A4:V4"/>
    <mergeCell ref="A24:H24"/>
    <mergeCell ref="A25:V25"/>
    <mergeCell ref="A26:V26"/>
    <mergeCell ref="A62:H62"/>
    <mergeCell ref="A63:V63"/>
    <mergeCell ref="A64:V64"/>
    <mergeCell ref="A101:H101"/>
    <mergeCell ref="A102:V102"/>
    <mergeCell ref="A103:V103"/>
    <mergeCell ref="A104:V104"/>
    <mergeCell ref="A120:V120"/>
    <mergeCell ref="A121:V121"/>
    <mergeCell ref="A135:H135"/>
    <mergeCell ref="A136:V136"/>
    <mergeCell ref="A137:V137"/>
    <mergeCell ref="A143:H143"/>
    <mergeCell ref="A144:V144"/>
    <mergeCell ref="A145:V145"/>
    <mergeCell ref="A173:H173"/>
    <mergeCell ref="A174:V174"/>
    <mergeCell ref="A175:V175"/>
    <mergeCell ref="A179:H179"/>
    <mergeCell ref="A202:H202"/>
    <mergeCell ref="A203:H203"/>
    <mergeCell ref="A180:V180"/>
    <mergeCell ref="A181:V181"/>
    <mergeCell ref="A182:V182"/>
    <mergeCell ref="A185:V185"/>
    <mergeCell ref="A186:V186"/>
    <mergeCell ref="A200:V200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J24 J101 J135 J143 J173 J179 J202 J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8" sqref="I8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85"/>
      <c r="B3" s="85"/>
      <c r="C3" s="85"/>
      <c r="D3" s="85"/>
      <c r="E3" s="2"/>
    </row>
    <row r="4" spans="1:5" ht="33" customHeight="1">
      <c r="A4" s="92" t="s">
        <v>205</v>
      </c>
      <c r="B4" s="93" t="s">
        <v>274</v>
      </c>
      <c r="C4" s="93" t="s">
        <v>273</v>
      </c>
      <c r="D4" s="94"/>
      <c r="E4" s="2"/>
    </row>
    <row r="5" spans="1:5" ht="18.899999999999999" customHeight="1">
      <c r="A5" s="95" t="s">
        <v>20</v>
      </c>
      <c r="B5" s="96">
        <f>[1]December!I24/1000000000</f>
        <v>31.228529608879999</v>
      </c>
      <c r="C5" s="97">
        <f>January!K24/1000000000</f>
        <v>36.033458642393697</v>
      </c>
      <c r="D5" s="94"/>
      <c r="E5" s="2"/>
    </row>
    <row r="6" spans="1:5">
      <c r="A6" s="92" t="s">
        <v>52</v>
      </c>
      <c r="B6" s="98">
        <f>[1]December!I62/1000000000</f>
        <v>1584.1650796173797</v>
      </c>
      <c r="C6" s="97">
        <f>January!K62/1000000000</f>
        <v>1914.5786195926196</v>
      </c>
      <c r="D6" s="94"/>
      <c r="E6" s="2"/>
    </row>
    <row r="7" spans="1:5">
      <c r="A7" s="92" t="s">
        <v>206</v>
      </c>
      <c r="B7" s="96">
        <f>[1]December!I100/1000000000</f>
        <v>199.84515983545998</v>
      </c>
      <c r="C7" s="97">
        <f>January!K101/1000000000</f>
        <v>190.81975741566711</v>
      </c>
      <c r="D7" s="94"/>
      <c r="E7" s="2"/>
    </row>
    <row r="8" spans="1:5">
      <c r="A8" s="92" t="s">
        <v>207</v>
      </c>
      <c r="B8" s="98">
        <f>[1]December!I135/1000000000</f>
        <v>1813.5641643351714</v>
      </c>
      <c r="C8" s="97">
        <f>January!K135/1000000000</f>
        <v>1724.1396101226467</v>
      </c>
      <c r="D8" s="94"/>
      <c r="E8" s="2"/>
    </row>
    <row r="9" spans="1:5">
      <c r="A9" s="92" t="s">
        <v>208</v>
      </c>
      <c r="B9" s="96">
        <f>[1]December!I143/1000000000</f>
        <v>99.731344023310001</v>
      </c>
      <c r="C9" s="97">
        <f>January!K143/1000000000</f>
        <v>100.81898307284</v>
      </c>
      <c r="D9" s="94"/>
      <c r="E9" s="2"/>
    </row>
    <row r="10" spans="1:5">
      <c r="A10" s="92" t="s">
        <v>163</v>
      </c>
      <c r="B10" s="96">
        <f>[1]December!I174/1000000000</f>
        <v>53.404869418139995</v>
      </c>
      <c r="C10" s="97">
        <f>January!K173/1000000000</f>
        <v>55.822649090856117</v>
      </c>
      <c r="D10" s="94"/>
      <c r="E10" s="2"/>
    </row>
    <row r="11" spans="1:5">
      <c r="A11" s="92" t="s">
        <v>187</v>
      </c>
      <c r="B11" s="96">
        <f>[1]December!I180/1000000000</f>
        <v>5.6402502335799998</v>
      </c>
      <c r="C11" s="97">
        <f>January!K179/1000000000</f>
        <v>6.0992284225799995</v>
      </c>
      <c r="D11" s="94"/>
      <c r="E11" s="2"/>
    </row>
    <row r="12" spans="1:5">
      <c r="A12" s="92" t="s">
        <v>209</v>
      </c>
      <c r="B12" s="96">
        <f>[1]December!I203/1000000000</f>
        <v>51.425579792678008</v>
      </c>
      <c r="C12" s="97">
        <f>January!K202/1000000000</f>
        <v>54.473855704545414</v>
      </c>
      <c r="D12" s="94"/>
      <c r="E12" s="2"/>
    </row>
    <row r="13" spans="1:5">
      <c r="A13" s="94"/>
      <c r="B13" s="94"/>
      <c r="C13" s="94"/>
      <c r="D13" s="94"/>
      <c r="E13" s="2"/>
    </row>
    <row r="14" spans="1:5">
      <c r="A14" s="94"/>
      <c r="B14" s="94"/>
      <c r="C14" s="94"/>
      <c r="D14" s="94"/>
      <c r="E14" s="2"/>
    </row>
    <row r="15" spans="1:5">
      <c r="A15" s="94"/>
      <c r="B15" s="94"/>
      <c r="C15" s="94"/>
      <c r="D15" s="94"/>
      <c r="E15" s="2"/>
    </row>
    <row r="16" spans="1:5">
      <c r="A16" s="94"/>
      <c r="B16" s="99"/>
      <c r="C16" s="94"/>
      <c r="D16" s="94"/>
      <c r="E16" s="2"/>
    </row>
    <row r="17" spans="1:5">
      <c r="A17" s="86"/>
      <c r="B17" s="87"/>
      <c r="C17" s="88"/>
      <c r="D17" s="85"/>
      <c r="E17" s="2"/>
    </row>
    <row r="18" spans="1:5" ht="15.6">
      <c r="A18" s="57"/>
      <c r="B18" s="60"/>
      <c r="C18" s="61"/>
      <c r="D18" s="2"/>
      <c r="E18" s="2"/>
    </row>
    <row r="19" spans="1:5">
      <c r="A19" s="62"/>
      <c r="B19" s="59"/>
      <c r="C19" s="63"/>
      <c r="D19" s="2"/>
      <c r="E19" s="2"/>
    </row>
    <row r="20" spans="1:5">
      <c r="A20" s="62"/>
      <c r="B20" s="60"/>
      <c r="C20" s="61"/>
      <c r="D20" s="2"/>
      <c r="E20" s="2"/>
    </row>
    <row r="21" spans="1:5">
      <c r="A21" s="62"/>
      <c r="B21" s="59"/>
      <c r="C21" s="63"/>
      <c r="D21" s="2"/>
      <c r="E21" s="2"/>
    </row>
    <row r="22" spans="1:5">
      <c r="A22" s="62"/>
      <c r="B22" s="64"/>
      <c r="C22" s="65"/>
      <c r="D22" s="2"/>
      <c r="E22" s="2"/>
    </row>
    <row r="23" spans="1:5">
      <c r="A23" s="62"/>
      <c r="B23" s="59"/>
      <c r="C23" s="63"/>
      <c r="D23" s="2"/>
      <c r="E23" s="2"/>
    </row>
    <row r="24" spans="1:5">
      <c r="A24" s="62"/>
      <c r="B24" s="59"/>
      <c r="C24" s="58"/>
      <c r="D24" s="2"/>
      <c r="E24" s="2"/>
    </row>
    <row r="25" spans="1:5">
      <c r="A25" s="62"/>
      <c r="B25" s="59"/>
      <c r="C25" s="59"/>
      <c r="D25" s="2"/>
      <c r="E25" s="2"/>
    </row>
    <row r="26" spans="1:5">
      <c r="A26" s="62"/>
      <c r="B26" s="59"/>
      <c r="C26" s="59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sheetProtection algorithmName="SHA-512" hashValue="6SWKeEkDL6Z3MaqA4TKCmJkMmv6bDuQR8XAU6SOZY/4aUlaMEDYyYCA+zGfgRyGNh4V/iO5/OKymwjgynrrHeg==" saltValue="SNhJtaSX78Ar1jO8EwkM5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E36" sqref="E36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100" t="s">
        <v>205</v>
      </c>
      <c r="B1" s="101" t="s">
        <v>273</v>
      </c>
      <c r="C1" s="102"/>
      <c r="D1" s="102"/>
      <c r="E1" s="102"/>
      <c r="F1" s="2"/>
    </row>
    <row r="2" spans="1:6">
      <c r="A2" s="100" t="s">
        <v>187</v>
      </c>
      <c r="B2" s="103">
        <f>January!K179</f>
        <v>6099228422.5799999</v>
      </c>
      <c r="C2" s="102"/>
      <c r="D2" s="102"/>
      <c r="E2" s="102"/>
      <c r="F2" s="2"/>
    </row>
    <row r="3" spans="1:6">
      <c r="A3" s="100" t="s">
        <v>20</v>
      </c>
      <c r="B3" s="104">
        <f>January!K24</f>
        <v>36033458642.3937</v>
      </c>
      <c r="C3" s="102"/>
      <c r="D3" s="102"/>
      <c r="E3" s="102"/>
      <c r="F3" s="2"/>
    </row>
    <row r="4" spans="1:6">
      <c r="A4" s="100" t="s">
        <v>209</v>
      </c>
      <c r="B4" s="105">
        <f>January!K202</f>
        <v>54473855704.545418</v>
      </c>
      <c r="C4" s="102"/>
      <c r="D4" s="102"/>
      <c r="E4" s="102"/>
      <c r="F4" s="2"/>
    </row>
    <row r="5" spans="1:6">
      <c r="A5" s="100" t="s">
        <v>163</v>
      </c>
      <c r="B5" s="105">
        <f>January!K173</f>
        <v>55822649090.856117</v>
      </c>
      <c r="C5" s="102"/>
      <c r="D5" s="102"/>
      <c r="E5" s="102"/>
      <c r="F5" s="2"/>
    </row>
    <row r="6" spans="1:6">
      <c r="A6" s="100" t="s">
        <v>208</v>
      </c>
      <c r="B6" s="106">
        <f>January!K143</f>
        <v>100818983072.84</v>
      </c>
      <c r="C6" s="102"/>
      <c r="D6" s="102"/>
      <c r="E6" s="102"/>
      <c r="F6" s="2"/>
    </row>
    <row r="7" spans="1:6">
      <c r="A7" s="100" t="s">
        <v>206</v>
      </c>
      <c r="B7" s="106">
        <f>January!K101</f>
        <v>190819757415.66711</v>
      </c>
      <c r="C7" s="102"/>
      <c r="D7" s="102"/>
      <c r="E7" s="102"/>
      <c r="F7" s="2"/>
    </row>
    <row r="8" spans="1:6">
      <c r="A8" s="100" t="s">
        <v>207</v>
      </c>
      <c r="B8" s="105">
        <f>January!K135</f>
        <v>1724139610122.6467</v>
      </c>
      <c r="C8" s="102"/>
      <c r="D8" s="102"/>
      <c r="E8" s="102"/>
      <c r="F8" s="2"/>
    </row>
    <row r="9" spans="1:6">
      <c r="A9" s="100" t="s">
        <v>52</v>
      </c>
      <c r="B9" s="105">
        <f>January!K62</f>
        <v>1914578619592.6196</v>
      </c>
      <c r="C9" s="102"/>
      <c r="D9" s="102"/>
      <c r="E9" s="102"/>
      <c r="F9" s="2"/>
    </row>
    <row r="10" spans="1:6">
      <c r="A10" s="102"/>
      <c r="B10" s="102"/>
      <c r="C10" s="102"/>
      <c r="D10" s="102"/>
      <c r="E10" s="102"/>
      <c r="F10" s="2"/>
    </row>
    <row r="11" spans="1:6">
      <c r="A11" s="107"/>
      <c r="B11" s="102"/>
      <c r="C11" s="102"/>
      <c r="D11" s="102"/>
      <c r="E11" s="102"/>
      <c r="F11" s="2"/>
    </row>
    <row r="12" spans="1:6">
      <c r="A12" s="108"/>
      <c r="B12" s="102"/>
      <c r="C12" s="102"/>
      <c r="D12" s="102"/>
      <c r="E12" s="102"/>
      <c r="F12" s="2"/>
    </row>
    <row r="13" spans="1:6" ht="15" customHeight="1">
      <c r="A13" s="100"/>
      <c r="B13" s="109"/>
      <c r="C13" s="102"/>
      <c r="D13" s="102"/>
      <c r="E13" s="102"/>
      <c r="F13" s="2"/>
    </row>
    <row r="14" spans="1:6">
      <c r="A14" s="100"/>
      <c r="B14" s="109"/>
      <c r="C14" s="102"/>
      <c r="D14" s="102"/>
      <c r="E14" s="102"/>
      <c r="F14" s="2"/>
    </row>
    <row r="15" spans="1:6">
      <c r="A15" s="110"/>
      <c r="B15" s="105"/>
      <c r="C15" s="102"/>
      <c r="D15" s="102"/>
      <c r="E15" s="102"/>
      <c r="F15" s="2"/>
    </row>
    <row r="16" spans="1:6">
      <c r="A16" s="111"/>
      <c r="B16" s="109"/>
      <c r="C16" s="102"/>
      <c r="D16" s="102"/>
      <c r="E16" s="102"/>
      <c r="F16" s="2"/>
    </row>
    <row r="17" spans="1:17">
      <c r="A17" s="111"/>
      <c r="B17" s="109"/>
      <c r="C17" s="102"/>
      <c r="D17" s="102"/>
      <c r="E17" s="102"/>
      <c r="F17" s="2"/>
    </row>
    <row r="18" spans="1:17">
      <c r="A18" s="110"/>
      <c r="B18" s="109"/>
      <c r="C18" s="102"/>
      <c r="D18" s="102"/>
      <c r="E18" s="102"/>
      <c r="F18" s="2"/>
    </row>
    <row r="19" spans="1:17">
      <c r="A19" s="112"/>
      <c r="B19" s="109"/>
      <c r="C19" s="102"/>
      <c r="D19" s="102"/>
      <c r="E19" s="102"/>
      <c r="F19" s="2"/>
    </row>
    <row r="20" spans="1:17">
      <c r="A20" s="67"/>
      <c r="B20" s="66"/>
      <c r="C20" s="2"/>
      <c r="D20" s="2"/>
      <c r="E20" s="2"/>
      <c r="F20" s="2"/>
    </row>
    <row r="21" spans="1:17">
      <c r="A21" s="62"/>
      <c r="B21" s="89"/>
      <c r="C21" s="2"/>
      <c r="D21" s="2"/>
      <c r="E21" s="2"/>
      <c r="F21" s="2"/>
    </row>
    <row r="22" spans="1:17">
      <c r="A22" s="2"/>
      <c r="B22" s="60"/>
      <c r="C22" s="2"/>
      <c r="D22" s="2"/>
      <c r="E22" s="2"/>
      <c r="F22" s="2"/>
    </row>
    <row r="23" spans="1:17">
      <c r="A23" s="2"/>
      <c r="B23" s="2"/>
      <c r="C23" s="2"/>
      <c r="D23" s="2"/>
      <c r="E23" s="2"/>
      <c r="F23" s="2"/>
    </row>
    <row r="24" spans="1:17">
      <c r="A24" s="2"/>
      <c r="B24" s="2"/>
      <c r="C24" s="2"/>
      <c r="D24" s="2"/>
      <c r="E24" s="2"/>
      <c r="F24" s="2"/>
    </row>
    <row r="25" spans="1:17">
      <c r="A25" s="2"/>
      <c r="B25" s="2"/>
      <c r="C25" s="2"/>
      <c r="D25" s="2"/>
      <c r="E25" s="2"/>
      <c r="F25" s="2"/>
    </row>
    <row r="26" spans="1:17">
      <c r="A26" s="2"/>
      <c r="B26" s="2"/>
      <c r="C26" s="2"/>
      <c r="D26" s="2"/>
      <c r="E26" s="2"/>
      <c r="F26" s="2"/>
    </row>
    <row r="27" spans="1:17">
      <c r="A27" s="2"/>
      <c r="B27" s="2"/>
      <c r="C27" s="2"/>
      <c r="D27" s="2"/>
      <c r="E27" s="2"/>
      <c r="F27" s="2"/>
    </row>
    <row r="28" spans="1:17">
      <c r="A28" s="2"/>
      <c r="B28" s="2"/>
      <c r="C28" s="2"/>
      <c r="D28" s="2"/>
      <c r="E28" s="2"/>
      <c r="F28" s="2"/>
    </row>
    <row r="32" spans="1:17" ht="15.9" customHeight="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"/>
    </row>
    <row r="33" spans="1:17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"/>
    </row>
  </sheetData>
  <sheetProtection algorithmName="SHA-512" hashValue="dXNQmBjmmP0rcktS+sCUG/lRJ7OUO48mKOpXc8MmeFKEXCbgjkpmJklS7HvinbF0ryMdiJA0FEK3rhGmYoEAtA==" saltValue="cdVVU3p1/J5HPm6jhG1sJg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opLeftCell="A13" workbookViewId="0">
      <selection activeCell="E7" sqref="E7"/>
    </sheetView>
  </sheetViews>
  <sheetFormatPr defaultColWidth="9" defaultRowHeight="14.4"/>
  <cols>
    <col min="1" max="1" width="34.6640625" customWidth="1"/>
    <col min="2" max="2" width="15" customWidth="1"/>
  </cols>
  <sheetData>
    <row r="2" spans="1:4">
      <c r="A2" s="2"/>
      <c r="B2" s="2"/>
      <c r="C2" s="2"/>
      <c r="D2" s="2"/>
    </row>
    <row r="3" spans="1:4">
      <c r="A3" s="102"/>
      <c r="B3" s="102"/>
      <c r="C3" s="102"/>
      <c r="D3" s="2"/>
    </row>
    <row r="4" spans="1:4">
      <c r="A4" s="102"/>
      <c r="B4" s="102"/>
      <c r="C4" s="102"/>
      <c r="D4" s="2"/>
    </row>
    <row r="5" spans="1:4" ht="15.6">
      <c r="A5" s="113" t="s">
        <v>205</v>
      </c>
      <c r="B5" s="114" t="s">
        <v>210</v>
      </c>
      <c r="C5" s="102"/>
      <c r="D5" s="2"/>
    </row>
    <row r="6" spans="1:4">
      <c r="A6" s="115" t="s">
        <v>20</v>
      </c>
      <c r="B6" s="116">
        <f>January!T24</f>
        <v>50285</v>
      </c>
      <c r="C6" s="102"/>
      <c r="D6" s="2"/>
    </row>
    <row r="7" spans="1:4">
      <c r="A7" s="115" t="s">
        <v>52</v>
      </c>
      <c r="B7" s="116">
        <f>January!T62</f>
        <v>348803</v>
      </c>
      <c r="C7" s="102"/>
      <c r="D7" s="2"/>
    </row>
    <row r="8" spans="1:4">
      <c r="A8" s="115" t="s">
        <v>206</v>
      </c>
      <c r="B8" s="116">
        <f>January!T101</f>
        <v>43952</v>
      </c>
      <c r="C8" s="102"/>
      <c r="D8" s="2"/>
    </row>
    <row r="9" spans="1:4">
      <c r="A9" s="115" t="s">
        <v>207</v>
      </c>
      <c r="B9" s="116">
        <f>January!T135</f>
        <v>19572</v>
      </c>
      <c r="C9" s="102"/>
      <c r="D9" s="2"/>
    </row>
    <row r="10" spans="1:4">
      <c r="A10" s="115" t="s">
        <v>208</v>
      </c>
      <c r="B10" s="116">
        <f>January!T143</f>
        <v>217004</v>
      </c>
      <c r="C10" s="102"/>
      <c r="D10" s="2"/>
    </row>
    <row r="11" spans="1:4">
      <c r="A11" s="115" t="s">
        <v>163</v>
      </c>
      <c r="B11" s="116">
        <f>January!T173</f>
        <v>68493</v>
      </c>
      <c r="C11" s="102"/>
      <c r="D11" s="2"/>
    </row>
    <row r="12" spans="1:4">
      <c r="A12" s="115" t="s">
        <v>187</v>
      </c>
      <c r="B12" s="116">
        <f>January!T179</f>
        <v>13412</v>
      </c>
      <c r="C12" s="102"/>
      <c r="D12" s="2"/>
    </row>
    <row r="13" spans="1:4">
      <c r="A13" s="115" t="s">
        <v>209</v>
      </c>
      <c r="B13" s="116">
        <f>January!T202</f>
        <v>28698</v>
      </c>
      <c r="C13" s="102"/>
      <c r="D13" s="2"/>
    </row>
    <row r="14" spans="1:4">
      <c r="A14" s="102"/>
      <c r="B14" s="102"/>
      <c r="C14" s="102"/>
      <c r="D14" s="2"/>
    </row>
    <row r="15" spans="1:4">
      <c r="A15" s="102"/>
      <c r="B15" s="102"/>
      <c r="C15" s="102"/>
      <c r="D15" s="2"/>
    </row>
    <row r="16" spans="1:4">
      <c r="A16" s="102"/>
      <c r="B16" s="102"/>
      <c r="C16" s="102"/>
      <c r="D16" s="2"/>
    </row>
    <row r="17" spans="1:4">
      <c r="A17" s="102"/>
      <c r="B17" s="102"/>
      <c r="C17" s="102"/>
      <c r="D17" s="2"/>
    </row>
    <row r="18" spans="1:4">
      <c r="A18" s="102"/>
      <c r="B18" s="102"/>
      <c r="C18" s="10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</sheetData>
  <sheetProtection algorithmName="SHA-512" hashValue="ozLcc7BU+HeGw2+bM5yo9W5PqEFCGAd+V8+w4x/m6QuWwmPxLgbkHgY2kOPU4yrv47yxCkE/JTJ9PNs5q/KpKg==" saltValue="/TgRzIAGJBZeRmSHQ5tTp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cp:lastPrinted>2024-12-20T14:59:31Z</cp:lastPrinted>
  <dcterms:created xsi:type="dcterms:W3CDTF">2023-10-09T09:40:00Z</dcterms:created>
  <dcterms:modified xsi:type="dcterms:W3CDTF">2025-05-22T13:18:15Z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