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5\"/>
    </mc:Choice>
  </mc:AlternateContent>
  <bookViews>
    <workbookView xWindow="-120" yWindow="-120" windowWidth="20736" windowHeight="11160" tabRatio="604"/>
  </bookViews>
  <sheets>
    <sheet name="February" sheetId="7" r:id="rId1"/>
    <sheet name="NAV Comparison" sheetId="2" r:id="rId2"/>
    <sheet name="Market Share" sheetId="3" r:id="rId3"/>
    <sheet name="Unitholders" sheetId="6" r:id="rId4"/>
  </sheets>
  <definedNames>
    <definedName name="_Hlk34300669" localSheetId="0">February!$K$60</definedName>
    <definedName name="Component">"Group"</definedName>
    <definedName name="pbCountingPages">FALSE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2" i="7" l="1"/>
  <c r="K208" i="7"/>
  <c r="I208" i="7"/>
  <c r="B9" i="3" l="1"/>
  <c r="B8" i="3"/>
  <c r="B7" i="3"/>
  <c r="B6" i="3"/>
  <c r="B5" i="3"/>
  <c r="B4" i="3"/>
  <c r="B3" i="3"/>
  <c r="B2" i="3"/>
  <c r="B13" i="6"/>
  <c r="B12" i="6"/>
  <c r="B11" i="6"/>
  <c r="B10" i="6"/>
  <c r="B9" i="6"/>
  <c r="B8" i="6"/>
  <c r="B7" i="6"/>
  <c r="B6" i="6"/>
  <c r="L193" i="7" l="1"/>
  <c r="M193" i="7"/>
  <c r="N193" i="7"/>
  <c r="O193" i="7"/>
  <c r="P193" i="7"/>
  <c r="Q193" i="7"/>
  <c r="L194" i="7"/>
  <c r="M194" i="7"/>
  <c r="N194" i="7"/>
  <c r="O194" i="7"/>
  <c r="P194" i="7"/>
  <c r="Q194" i="7"/>
  <c r="L195" i="7"/>
  <c r="M195" i="7"/>
  <c r="N195" i="7"/>
  <c r="O195" i="7"/>
  <c r="P195" i="7"/>
  <c r="Q195" i="7"/>
  <c r="L196" i="7"/>
  <c r="M196" i="7"/>
  <c r="N196" i="7"/>
  <c r="O196" i="7"/>
  <c r="P196" i="7"/>
  <c r="Q196" i="7"/>
  <c r="L197" i="7"/>
  <c r="M197" i="7"/>
  <c r="N197" i="7"/>
  <c r="O197" i="7"/>
  <c r="P197" i="7"/>
  <c r="Q197" i="7"/>
  <c r="L198" i="7"/>
  <c r="M198" i="7"/>
  <c r="N198" i="7"/>
  <c r="O198" i="7"/>
  <c r="P198" i="7"/>
  <c r="Q198" i="7"/>
  <c r="L199" i="7"/>
  <c r="M199" i="7"/>
  <c r="N199" i="7"/>
  <c r="O199" i="7"/>
  <c r="P199" i="7"/>
  <c r="Q199" i="7"/>
  <c r="L200" i="7"/>
  <c r="M200" i="7"/>
  <c r="N200" i="7"/>
  <c r="O200" i="7"/>
  <c r="P200" i="7"/>
  <c r="Q200" i="7"/>
  <c r="L201" i="7"/>
  <c r="M201" i="7"/>
  <c r="N201" i="7"/>
  <c r="O201" i="7"/>
  <c r="P201" i="7"/>
  <c r="Q201" i="7"/>
  <c r="L202" i="7"/>
  <c r="M202" i="7"/>
  <c r="N202" i="7"/>
  <c r="O202" i="7"/>
  <c r="P202" i="7"/>
  <c r="Q202" i="7"/>
  <c r="L203" i="7"/>
  <c r="M203" i="7"/>
  <c r="N203" i="7"/>
  <c r="O203" i="7"/>
  <c r="P203" i="7"/>
  <c r="Q203" i="7"/>
  <c r="L204" i="7"/>
  <c r="M204" i="7"/>
  <c r="N204" i="7"/>
  <c r="O204" i="7"/>
  <c r="P204" i="7"/>
  <c r="Q204" i="7"/>
  <c r="L189" i="7"/>
  <c r="M189" i="7"/>
  <c r="N189" i="7"/>
  <c r="O189" i="7"/>
  <c r="P189" i="7"/>
  <c r="Q189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189" i="7"/>
  <c r="L182" i="7"/>
  <c r="M182" i="7"/>
  <c r="N182" i="7"/>
  <c r="O182" i="7"/>
  <c r="P182" i="7"/>
  <c r="Q182" i="7"/>
  <c r="L183" i="7"/>
  <c r="M183" i="7"/>
  <c r="N183" i="7"/>
  <c r="O183" i="7"/>
  <c r="P183" i="7"/>
  <c r="Q183" i="7"/>
  <c r="J182" i="7"/>
  <c r="J183" i="7"/>
  <c r="L152" i="7"/>
  <c r="M152" i="7"/>
  <c r="N152" i="7"/>
  <c r="O152" i="7"/>
  <c r="P152" i="7"/>
  <c r="Q152" i="7"/>
  <c r="L153" i="7"/>
  <c r="M153" i="7"/>
  <c r="N153" i="7"/>
  <c r="O153" i="7"/>
  <c r="P153" i="7"/>
  <c r="Q153" i="7"/>
  <c r="L154" i="7"/>
  <c r="M154" i="7"/>
  <c r="N154" i="7"/>
  <c r="O154" i="7"/>
  <c r="P154" i="7"/>
  <c r="Q154" i="7"/>
  <c r="L155" i="7"/>
  <c r="M155" i="7"/>
  <c r="N155" i="7"/>
  <c r="O155" i="7"/>
  <c r="P155" i="7"/>
  <c r="Q155" i="7"/>
  <c r="L156" i="7"/>
  <c r="M156" i="7"/>
  <c r="N156" i="7"/>
  <c r="O156" i="7"/>
  <c r="P156" i="7"/>
  <c r="Q156" i="7"/>
  <c r="L157" i="7"/>
  <c r="M157" i="7"/>
  <c r="N157" i="7"/>
  <c r="O157" i="7"/>
  <c r="P157" i="7"/>
  <c r="Q157" i="7"/>
  <c r="L158" i="7"/>
  <c r="M158" i="7"/>
  <c r="N158" i="7"/>
  <c r="O158" i="7"/>
  <c r="P158" i="7"/>
  <c r="Q158" i="7"/>
  <c r="L159" i="7"/>
  <c r="M159" i="7"/>
  <c r="N159" i="7"/>
  <c r="O159" i="7"/>
  <c r="P159" i="7"/>
  <c r="Q159" i="7"/>
  <c r="L160" i="7"/>
  <c r="M160" i="7"/>
  <c r="N160" i="7"/>
  <c r="O160" i="7"/>
  <c r="P160" i="7"/>
  <c r="Q160" i="7"/>
  <c r="L161" i="7"/>
  <c r="M161" i="7"/>
  <c r="N161" i="7"/>
  <c r="O161" i="7"/>
  <c r="P161" i="7"/>
  <c r="Q161" i="7"/>
  <c r="L162" i="7"/>
  <c r="M162" i="7"/>
  <c r="N162" i="7"/>
  <c r="O162" i="7"/>
  <c r="P162" i="7"/>
  <c r="Q162" i="7"/>
  <c r="L163" i="7"/>
  <c r="M163" i="7"/>
  <c r="N163" i="7"/>
  <c r="O163" i="7"/>
  <c r="P163" i="7"/>
  <c r="Q163" i="7"/>
  <c r="L164" i="7"/>
  <c r="M164" i="7"/>
  <c r="N164" i="7"/>
  <c r="O164" i="7"/>
  <c r="P164" i="7"/>
  <c r="Q164" i="7"/>
  <c r="L165" i="7"/>
  <c r="M165" i="7"/>
  <c r="N165" i="7"/>
  <c r="O165" i="7"/>
  <c r="P165" i="7"/>
  <c r="Q165" i="7"/>
  <c r="L166" i="7"/>
  <c r="M166" i="7"/>
  <c r="N166" i="7"/>
  <c r="O166" i="7"/>
  <c r="P166" i="7"/>
  <c r="Q166" i="7"/>
  <c r="L167" i="7"/>
  <c r="M167" i="7"/>
  <c r="N167" i="7"/>
  <c r="O167" i="7"/>
  <c r="P167" i="7"/>
  <c r="Q167" i="7"/>
  <c r="L168" i="7"/>
  <c r="M168" i="7"/>
  <c r="N168" i="7"/>
  <c r="O168" i="7"/>
  <c r="P168" i="7"/>
  <c r="Q168" i="7"/>
  <c r="L169" i="7"/>
  <c r="M169" i="7"/>
  <c r="N169" i="7"/>
  <c r="O169" i="7"/>
  <c r="P169" i="7"/>
  <c r="Q169" i="7"/>
  <c r="L170" i="7"/>
  <c r="M170" i="7"/>
  <c r="N170" i="7"/>
  <c r="O170" i="7"/>
  <c r="P170" i="7"/>
  <c r="Q170" i="7"/>
  <c r="L171" i="7"/>
  <c r="M171" i="7"/>
  <c r="N171" i="7"/>
  <c r="O171" i="7"/>
  <c r="P171" i="7"/>
  <c r="Q171" i="7"/>
  <c r="L172" i="7"/>
  <c r="M172" i="7"/>
  <c r="N172" i="7"/>
  <c r="O172" i="7"/>
  <c r="P172" i="7"/>
  <c r="Q172" i="7"/>
  <c r="L173" i="7"/>
  <c r="M173" i="7"/>
  <c r="N173" i="7"/>
  <c r="O173" i="7"/>
  <c r="P173" i="7"/>
  <c r="Q173" i="7"/>
  <c r="L174" i="7"/>
  <c r="M174" i="7"/>
  <c r="N174" i="7"/>
  <c r="O174" i="7"/>
  <c r="P174" i="7"/>
  <c r="Q174" i="7"/>
  <c r="L175" i="7"/>
  <c r="M175" i="7"/>
  <c r="N175" i="7"/>
  <c r="O175" i="7"/>
  <c r="P175" i="7"/>
  <c r="Q175" i="7"/>
  <c r="L176" i="7"/>
  <c r="M176" i="7"/>
  <c r="N176" i="7"/>
  <c r="O176" i="7"/>
  <c r="P176" i="7"/>
  <c r="Q176" i="7"/>
  <c r="L177" i="7"/>
  <c r="M177" i="7"/>
  <c r="N177" i="7"/>
  <c r="O177" i="7"/>
  <c r="P177" i="7"/>
  <c r="Q177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L144" i="7"/>
  <c r="M144" i="7"/>
  <c r="N144" i="7"/>
  <c r="O144" i="7"/>
  <c r="P144" i="7"/>
  <c r="Q144" i="7"/>
  <c r="L145" i="7"/>
  <c r="M145" i="7"/>
  <c r="N145" i="7"/>
  <c r="O145" i="7"/>
  <c r="P145" i="7"/>
  <c r="Q145" i="7"/>
  <c r="L146" i="7"/>
  <c r="M146" i="7"/>
  <c r="N146" i="7"/>
  <c r="O146" i="7"/>
  <c r="P146" i="7"/>
  <c r="Q146" i="7"/>
  <c r="L147" i="7"/>
  <c r="M147" i="7"/>
  <c r="N147" i="7"/>
  <c r="O147" i="7"/>
  <c r="P147" i="7"/>
  <c r="Q147" i="7"/>
  <c r="J144" i="7"/>
  <c r="J145" i="7"/>
  <c r="J146" i="7"/>
  <c r="J147" i="7"/>
  <c r="L128" i="7"/>
  <c r="M128" i="7"/>
  <c r="N128" i="7"/>
  <c r="O128" i="7"/>
  <c r="P128" i="7"/>
  <c r="Q128" i="7"/>
  <c r="L129" i="7"/>
  <c r="M129" i="7"/>
  <c r="N129" i="7"/>
  <c r="O129" i="7"/>
  <c r="P129" i="7"/>
  <c r="Q129" i="7"/>
  <c r="L130" i="7"/>
  <c r="M130" i="7"/>
  <c r="N130" i="7"/>
  <c r="O130" i="7"/>
  <c r="P130" i="7"/>
  <c r="Q130" i="7"/>
  <c r="L131" i="7"/>
  <c r="M131" i="7"/>
  <c r="N131" i="7"/>
  <c r="O131" i="7"/>
  <c r="P131" i="7"/>
  <c r="Q131" i="7"/>
  <c r="L132" i="7"/>
  <c r="M132" i="7"/>
  <c r="N132" i="7"/>
  <c r="O132" i="7"/>
  <c r="P132" i="7"/>
  <c r="Q132" i="7"/>
  <c r="L133" i="7"/>
  <c r="M133" i="7"/>
  <c r="N133" i="7"/>
  <c r="O133" i="7"/>
  <c r="P133" i="7"/>
  <c r="Q133" i="7"/>
  <c r="L134" i="7"/>
  <c r="M134" i="7"/>
  <c r="N134" i="7"/>
  <c r="O134" i="7"/>
  <c r="P134" i="7"/>
  <c r="Q134" i="7"/>
  <c r="L135" i="7"/>
  <c r="M135" i="7"/>
  <c r="N135" i="7"/>
  <c r="O135" i="7"/>
  <c r="P135" i="7"/>
  <c r="Q135" i="7"/>
  <c r="L136" i="7"/>
  <c r="M136" i="7"/>
  <c r="N136" i="7"/>
  <c r="O136" i="7"/>
  <c r="P136" i="7"/>
  <c r="Q136" i="7"/>
  <c r="L137" i="7"/>
  <c r="M137" i="7"/>
  <c r="N137" i="7"/>
  <c r="O137" i="7"/>
  <c r="P137" i="7"/>
  <c r="Q137" i="7"/>
  <c r="L138" i="7"/>
  <c r="M138" i="7"/>
  <c r="N138" i="7"/>
  <c r="O138" i="7"/>
  <c r="P138" i="7"/>
  <c r="Q138" i="7"/>
  <c r="L139" i="7"/>
  <c r="M139" i="7"/>
  <c r="N139" i="7"/>
  <c r="O139" i="7"/>
  <c r="P139" i="7"/>
  <c r="Q139" i="7"/>
  <c r="L109" i="7"/>
  <c r="M109" i="7"/>
  <c r="N109" i="7"/>
  <c r="O109" i="7"/>
  <c r="P109" i="7"/>
  <c r="Q109" i="7"/>
  <c r="L110" i="7"/>
  <c r="M110" i="7"/>
  <c r="N110" i="7"/>
  <c r="O110" i="7"/>
  <c r="P110" i="7"/>
  <c r="Q110" i="7"/>
  <c r="L111" i="7"/>
  <c r="M111" i="7"/>
  <c r="N111" i="7"/>
  <c r="O111" i="7"/>
  <c r="P111" i="7"/>
  <c r="Q111" i="7"/>
  <c r="L112" i="7"/>
  <c r="M112" i="7"/>
  <c r="N112" i="7"/>
  <c r="O112" i="7"/>
  <c r="P112" i="7"/>
  <c r="Q112" i="7"/>
  <c r="L113" i="7"/>
  <c r="M113" i="7"/>
  <c r="N113" i="7"/>
  <c r="O113" i="7"/>
  <c r="P113" i="7"/>
  <c r="Q113" i="7"/>
  <c r="L114" i="7"/>
  <c r="M114" i="7"/>
  <c r="N114" i="7"/>
  <c r="O114" i="7"/>
  <c r="P114" i="7"/>
  <c r="Q114" i="7"/>
  <c r="L115" i="7"/>
  <c r="M115" i="7"/>
  <c r="N115" i="7"/>
  <c r="O115" i="7"/>
  <c r="P115" i="7"/>
  <c r="Q115" i="7"/>
  <c r="L116" i="7"/>
  <c r="M116" i="7"/>
  <c r="N116" i="7"/>
  <c r="O116" i="7"/>
  <c r="P116" i="7"/>
  <c r="Q116" i="7"/>
  <c r="L117" i="7"/>
  <c r="M117" i="7"/>
  <c r="N117" i="7"/>
  <c r="O117" i="7"/>
  <c r="P117" i="7"/>
  <c r="Q117" i="7"/>
  <c r="L118" i="7"/>
  <c r="M118" i="7"/>
  <c r="N118" i="7"/>
  <c r="O118" i="7"/>
  <c r="P118" i="7"/>
  <c r="Q118" i="7"/>
  <c r="L119" i="7"/>
  <c r="M119" i="7"/>
  <c r="N119" i="7"/>
  <c r="O119" i="7"/>
  <c r="P119" i="7"/>
  <c r="Q119" i="7"/>
  <c r="L120" i="7"/>
  <c r="M120" i="7"/>
  <c r="N120" i="7"/>
  <c r="O120" i="7"/>
  <c r="P120" i="7"/>
  <c r="Q120" i="7"/>
  <c r="L121" i="7"/>
  <c r="M121" i="7"/>
  <c r="N121" i="7"/>
  <c r="O121" i="7"/>
  <c r="P121" i="7"/>
  <c r="Q121" i="7"/>
  <c r="L122" i="7"/>
  <c r="M122" i="7"/>
  <c r="N122" i="7"/>
  <c r="O122" i="7"/>
  <c r="P122" i="7"/>
  <c r="Q122" i="7"/>
  <c r="L123" i="7"/>
  <c r="M123" i="7"/>
  <c r="N123" i="7"/>
  <c r="O123" i="7"/>
  <c r="P123" i="7"/>
  <c r="Q123" i="7"/>
  <c r="L124" i="7"/>
  <c r="M124" i="7"/>
  <c r="N124" i="7"/>
  <c r="O124" i="7"/>
  <c r="P124" i="7"/>
  <c r="Q124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L69" i="7"/>
  <c r="M69" i="7"/>
  <c r="N69" i="7"/>
  <c r="O69" i="7"/>
  <c r="P69" i="7"/>
  <c r="Q69" i="7"/>
  <c r="L70" i="7"/>
  <c r="M70" i="7"/>
  <c r="N70" i="7"/>
  <c r="O70" i="7"/>
  <c r="P70" i="7"/>
  <c r="Q70" i="7"/>
  <c r="L71" i="7"/>
  <c r="M71" i="7"/>
  <c r="N71" i="7"/>
  <c r="O71" i="7"/>
  <c r="P71" i="7"/>
  <c r="Q71" i="7"/>
  <c r="L72" i="7"/>
  <c r="M72" i="7"/>
  <c r="N72" i="7"/>
  <c r="O72" i="7"/>
  <c r="P72" i="7"/>
  <c r="Q72" i="7"/>
  <c r="L73" i="7"/>
  <c r="M73" i="7"/>
  <c r="N73" i="7"/>
  <c r="O73" i="7"/>
  <c r="P73" i="7"/>
  <c r="Q73" i="7"/>
  <c r="L74" i="7"/>
  <c r="M74" i="7"/>
  <c r="N74" i="7"/>
  <c r="O74" i="7"/>
  <c r="P74" i="7"/>
  <c r="Q74" i="7"/>
  <c r="L75" i="7"/>
  <c r="M75" i="7"/>
  <c r="N75" i="7"/>
  <c r="O75" i="7"/>
  <c r="P75" i="7"/>
  <c r="Q75" i="7"/>
  <c r="L76" i="7"/>
  <c r="M76" i="7"/>
  <c r="N76" i="7"/>
  <c r="O76" i="7"/>
  <c r="P76" i="7"/>
  <c r="Q76" i="7"/>
  <c r="L77" i="7"/>
  <c r="M77" i="7"/>
  <c r="N77" i="7"/>
  <c r="O77" i="7"/>
  <c r="P77" i="7"/>
  <c r="Q77" i="7"/>
  <c r="L78" i="7"/>
  <c r="M78" i="7"/>
  <c r="N78" i="7"/>
  <c r="O78" i="7"/>
  <c r="P78" i="7"/>
  <c r="Q78" i="7"/>
  <c r="L79" i="7"/>
  <c r="M79" i="7"/>
  <c r="N79" i="7"/>
  <c r="O79" i="7"/>
  <c r="P79" i="7"/>
  <c r="Q79" i="7"/>
  <c r="L80" i="7"/>
  <c r="M80" i="7"/>
  <c r="N80" i="7"/>
  <c r="O80" i="7"/>
  <c r="P80" i="7"/>
  <c r="Q80" i="7"/>
  <c r="L81" i="7"/>
  <c r="M81" i="7"/>
  <c r="N81" i="7"/>
  <c r="O81" i="7"/>
  <c r="P81" i="7"/>
  <c r="Q81" i="7"/>
  <c r="L82" i="7"/>
  <c r="M82" i="7"/>
  <c r="N82" i="7"/>
  <c r="O82" i="7"/>
  <c r="P82" i="7"/>
  <c r="Q82" i="7"/>
  <c r="L83" i="7"/>
  <c r="M83" i="7"/>
  <c r="N83" i="7"/>
  <c r="O83" i="7"/>
  <c r="P83" i="7"/>
  <c r="Q83" i="7"/>
  <c r="L84" i="7"/>
  <c r="M84" i="7"/>
  <c r="N84" i="7"/>
  <c r="O84" i="7"/>
  <c r="P84" i="7"/>
  <c r="Q84" i="7"/>
  <c r="L85" i="7"/>
  <c r="M85" i="7"/>
  <c r="N85" i="7"/>
  <c r="O85" i="7"/>
  <c r="P85" i="7"/>
  <c r="Q85" i="7"/>
  <c r="L86" i="7"/>
  <c r="M86" i="7"/>
  <c r="N86" i="7"/>
  <c r="O86" i="7"/>
  <c r="P86" i="7"/>
  <c r="Q86" i="7"/>
  <c r="L87" i="7"/>
  <c r="M87" i="7"/>
  <c r="N87" i="7"/>
  <c r="O87" i="7"/>
  <c r="P87" i="7"/>
  <c r="Q87" i="7"/>
  <c r="L88" i="7"/>
  <c r="M88" i="7"/>
  <c r="N88" i="7"/>
  <c r="O88" i="7"/>
  <c r="P88" i="7"/>
  <c r="Q88" i="7"/>
  <c r="L89" i="7"/>
  <c r="M89" i="7"/>
  <c r="N89" i="7"/>
  <c r="O89" i="7"/>
  <c r="P89" i="7"/>
  <c r="Q89" i="7"/>
  <c r="L90" i="7"/>
  <c r="M90" i="7"/>
  <c r="N90" i="7"/>
  <c r="O90" i="7"/>
  <c r="P90" i="7"/>
  <c r="Q90" i="7"/>
  <c r="L91" i="7"/>
  <c r="M91" i="7"/>
  <c r="N91" i="7"/>
  <c r="O91" i="7"/>
  <c r="P91" i="7"/>
  <c r="Q91" i="7"/>
  <c r="L92" i="7"/>
  <c r="M92" i="7"/>
  <c r="N92" i="7"/>
  <c r="O92" i="7"/>
  <c r="P92" i="7"/>
  <c r="Q92" i="7"/>
  <c r="L93" i="7"/>
  <c r="M93" i="7"/>
  <c r="N93" i="7"/>
  <c r="O93" i="7"/>
  <c r="P93" i="7"/>
  <c r="Q93" i="7"/>
  <c r="L94" i="7"/>
  <c r="M94" i="7"/>
  <c r="N94" i="7"/>
  <c r="O94" i="7"/>
  <c r="P94" i="7"/>
  <c r="Q94" i="7"/>
  <c r="L95" i="7"/>
  <c r="M95" i="7"/>
  <c r="N95" i="7"/>
  <c r="O95" i="7"/>
  <c r="P95" i="7"/>
  <c r="Q95" i="7"/>
  <c r="L96" i="7"/>
  <c r="M96" i="7"/>
  <c r="N96" i="7"/>
  <c r="O96" i="7"/>
  <c r="P96" i="7"/>
  <c r="Q96" i="7"/>
  <c r="L97" i="7"/>
  <c r="M97" i="7"/>
  <c r="N97" i="7"/>
  <c r="O97" i="7"/>
  <c r="P97" i="7"/>
  <c r="Q97" i="7"/>
  <c r="L98" i="7"/>
  <c r="M98" i="7"/>
  <c r="N98" i="7"/>
  <c r="O98" i="7"/>
  <c r="P98" i="7"/>
  <c r="Q98" i="7"/>
  <c r="L99" i="7"/>
  <c r="M99" i="7"/>
  <c r="N99" i="7"/>
  <c r="O99" i="7"/>
  <c r="P99" i="7"/>
  <c r="Q99" i="7"/>
  <c r="L100" i="7"/>
  <c r="M100" i="7"/>
  <c r="N100" i="7"/>
  <c r="O100" i="7"/>
  <c r="P100" i="7"/>
  <c r="Q100" i="7"/>
  <c r="L101" i="7"/>
  <c r="M101" i="7"/>
  <c r="N101" i="7"/>
  <c r="O101" i="7"/>
  <c r="P101" i="7"/>
  <c r="Q101" i="7"/>
  <c r="L102" i="7"/>
  <c r="M102" i="7"/>
  <c r="N102" i="7"/>
  <c r="O102" i="7"/>
  <c r="P102" i="7"/>
  <c r="Q102" i="7"/>
  <c r="L103" i="7"/>
  <c r="M103" i="7"/>
  <c r="N103" i="7"/>
  <c r="O103" i="7"/>
  <c r="P103" i="7"/>
  <c r="Q103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L28" i="7"/>
  <c r="M28" i="7"/>
  <c r="N28" i="7"/>
  <c r="O28" i="7"/>
  <c r="P28" i="7"/>
  <c r="Q28" i="7"/>
  <c r="L29" i="7"/>
  <c r="M29" i="7"/>
  <c r="N29" i="7"/>
  <c r="O29" i="7"/>
  <c r="P29" i="7"/>
  <c r="Q29" i="7"/>
  <c r="L30" i="7"/>
  <c r="M30" i="7"/>
  <c r="N30" i="7"/>
  <c r="O30" i="7"/>
  <c r="P30" i="7"/>
  <c r="Q30" i="7"/>
  <c r="L31" i="7"/>
  <c r="M31" i="7"/>
  <c r="N31" i="7"/>
  <c r="O31" i="7"/>
  <c r="P31" i="7"/>
  <c r="Q31" i="7"/>
  <c r="L32" i="7"/>
  <c r="M32" i="7"/>
  <c r="N32" i="7"/>
  <c r="O32" i="7"/>
  <c r="P32" i="7"/>
  <c r="Q32" i="7"/>
  <c r="L33" i="7"/>
  <c r="M33" i="7"/>
  <c r="N33" i="7"/>
  <c r="O33" i="7"/>
  <c r="P33" i="7"/>
  <c r="Q33" i="7"/>
  <c r="L34" i="7"/>
  <c r="M34" i="7"/>
  <c r="N34" i="7"/>
  <c r="O34" i="7"/>
  <c r="P34" i="7"/>
  <c r="Q34" i="7"/>
  <c r="L35" i="7"/>
  <c r="M35" i="7"/>
  <c r="N35" i="7"/>
  <c r="O35" i="7"/>
  <c r="P35" i="7"/>
  <c r="Q35" i="7"/>
  <c r="L36" i="7"/>
  <c r="M36" i="7"/>
  <c r="N36" i="7"/>
  <c r="O36" i="7"/>
  <c r="P36" i="7"/>
  <c r="Q36" i="7"/>
  <c r="L37" i="7"/>
  <c r="M37" i="7"/>
  <c r="N37" i="7"/>
  <c r="O37" i="7"/>
  <c r="P37" i="7"/>
  <c r="Q37" i="7"/>
  <c r="L38" i="7"/>
  <c r="M38" i="7"/>
  <c r="N38" i="7"/>
  <c r="O38" i="7"/>
  <c r="P38" i="7"/>
  <c r="Q38" i="7"/>
  <c r="L39" i="7"/>
  <c r="M39" i="7"/>
  <c r="N39" i="7"/>
  <c r="O39" i="7"/>
  <c r="P39" i="7"/>
  <c r="Q39" i="7"/>
  <c r="L40" i="7"/>
  <c r="M40" i="7"/>
  <c r="N40" i="7"/>
  <c r="O40" i="7"/>
  <c r="P40" i="7"/>
  <c r="Q40" i="7"/>
  <c r="L41" i="7"/>
  <c r="M41" i="7"/>
  <c r="N41" i="7"/>
  <c r="O41" i="7"/>
  <c r="P41" i="7"/>
  <c r="Q41" i="7"/>
  <c r="L42" i="7"/>
  <c r="M42" i="7"/>
  <c r="N42" i="7"/>
  <c r="O42" i="7"/>
  <c r="P42" i="7"/>
  <c r="Q42" i="7"/>
  <c r="L43" i="7"/>
  <c r="M43" i="7"/>
  <c r="N43" i="7"/>
  <c r="O43" i="7"/>
  <c r="P43" i="7"/>
  <c r="Q43" i="7"/>
  <c r="L44" i="7"/>
  <c r="M44" i="7"/>
  <c r="N44" i="7"/>
  <c r="O44" i="7"/>
  <c r="P44" i="7"/>
  <c r="Q44" i="7"/>
  <c r="L45" i="7"/>
  <c r="M45" i="7"/>
  <c r="N45" i="7"/>
  <c r="O45" i="7"/>
  <c r="P45" i="7"/>
  <c r="Q45" i="7"/>
  <c r="L46" i="7"/>
  <c r="M46" i="7"/>
  <c r="N46" i="7"/>
  <c r="O46" i="7"/>
  <c r="P46" i="7"/>
  <c r="Q46" i="7"/>
  <c r="L47" i="7"/>
  <c r="M47" i="7"/>
  <c r="N47" i="7"/>
  <c r="O47" i="7"/>
  <c r="P47" i="7"/>
  <c r="Q47" i="7"/>
  <c r="L48" i="7"/>
  <c r="M48" i="7"/>
  <c r="N48" i="7"/>
  <c r="O48" i="7"/>
  <c r="P48" i="7"/>
  <c r="Q48" i="7"/>
  <c r="L49" i="7"/>
  <c r="M49" i="7"/>
  <c r="N49" i="7"/>
  <c r="O49" i="7"/>
  <c r="P49" i="7"/>
  <c r="Q49" i="7"/>
  <c r="L50" i="7"/>
  <c r="M50" i="7"/>
  <c r="N50" i="7"/>
  <c r="O50" i="7"/>
  <c r="P50" i="7"/>
  <c r="Q50" i="7"/>
  <c r="L51" i="7"/>
  <c r="M51" i="7"/>
  <c r="N51" i="7"/>
  <c r="O51" i="7"/>
  <c r="P51" i="7"/>
  <c r="Q51" i="7"/>
  <c r="L52" i="7"/>
  <c r="M52" i="7"/>
  <c r="N52" i="7"/>
  <c r="O52" i="7"/>
  <c r="P52" i="7"/>
  <c r="Q52" i="7"/>
  <c r="L53" i="7"/>
  <c r="M53" i="7"/>
  <c r="N53" i="7"/>
  <c r="O53" i="7"/>
  <c r="P53" i="7"/>
  <c r="Q53" i="7"/>
  <c r="L54" i="7"/>
  <c r="M54" i="7"/>
  <c r="N54" i="7"/>
  <c r="O54" i="7"/>
  <c r="P54" i="7"/>
  <c r="Q54" i="7"/>
  <c r="L55" i="7"/>
  <c r="M55" i="7"/>
  <c r="N55" i="7"/>
  <c r="O55" i="7"/>
  <c r="P55" i="7"/>
  <c r="Q55" i="7"/>
  <c r="L56" i="7"/>
  <c r="M56" i="7"/>
  <c r="N56" i="7"/>
  <c r="O56" i="7"/>
  <c r="P56" i="7"/>
  <c r="Q56" i="7"/>
  <c r="L57" i="7"/>
  <c r="M57" i="7"/>
  <c r="N57" i="7"/>
  <c r="O57" i="7"/>
  <c r="P57" i="7"/>
  <c r="Q57" i="7"/>
  <c r="L58" i="7"/>
  <c r="M58" i="7"/>
  <c r="N58" i="7"/>
  <c r="O58" i="7"/>
  <c r="P58" i="7"/>
  <c r="Q58" i="7"/>
  <c r="L59" i="7"/>
  <c r="M59" i="7"/>
  <c r="N59" i="7"/>
  <c r="O59" i="7"/>
  <c r="P59" i="7"/>
  <c r="Q59" i="7"/>
  <c r="L60" i="7"/>
  <c r="M60" i="7"/>
  <c r="N60" i="7"/>
  <c r="O60" i="7"/>
  <c r="P60" i="7"/>
  <c r="Q60" i="7"/>
  <c r="L61" i="7"/>
  <c r="M61" i="7"/>
  <c r="N61" i="7"/>
  <c r="O61" i="7"/>
  <c r="P61" i="7"/>
  <c r="Q61" i="7"/>
  <c r="L62" i="7"/>
  <c r="M62" i="7"/>
  <c r="N62" i="7"/>
  <c r="O62" i="7"/>
  <c r="P62" i="7"/>
  <c r="Q62" i="7"/>
  <c r="L63" i="7"/>
  <c r="M63" i="7"/>
  <c r="N63" i="7"/>
  <c r="O63" i="7"/>
  <c r="P63" i="7"/>
  <c r="Q63" i="7"/>
  <c r="L64" i="7"/>
  <c r="M64" i="7"/>
  <c r="N64" i="7"/>
  <c r="O64" i="7"/>
  <c r="P64" i="7"/>
  <c r="Q64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L6" i="7"/>
  <c r="M6" i="7"/>
  <c r="N6" i="7"/>
  <c r="O6" i="7"/>
  <c r="P6" i="7"/>
  <c r="Q6" i="7"/>
  <c r="L7" i="7"/>
  <c r="M7" i="7"/>
  <c r="N7" i="7"/>
  <c r="O7" i="7"/>
  <c r="P7" i="7"/>
  <c r="Q7" i="7"/>
  <c r="L8" i="7"/>
  <c r="M8" i="7"/>
  <c r="N8" i="7"/>
  <c r="O8" i="7"/>
  <c r="P8" i="7"/>
  <c r="Q8" i="7"/>
  <c r="L9" i="7"/>
  <c r="M9" i="7"/>
  <c r="N9" i="7"/>
  <c r="O9" i="7"/>
  <c r="P9" i="7"/>
  <c r="Q9" i="7"/>
  <c r="L10" i="7"/>
  <c r="M10" i="7"/>
  <c r="N10" i="7"/>
  <c r="O10" i="7"/>
  <c r="P10" i="7"/>
  <c r="Q10" i="7"/>
  <c r="L11" i="7"/>
  <c r="M11" i="7"/>
  <c r="N11" i="7"/>
  <c r="O11" i="7"/>
  <c r="P11" i="7"/>
  <c r="Q11" i="7"/>
  <c r="L12" i="7"/>
  <c r="M12" i="7"/>
  <c r="N12" i="7"/>
  <c r="O12" i="7"/>
  <c r="P12" i="7"/>
  <c r="Q12" i="7"/>
  <c r="L13" i="7"/>
  <c r="M13" i="7"/>
  <c r="N13" i="7"/>
  <c r="O13" i="7"/>
  <c r="P13" i="7"/>
  <c r="Q13" i="7"/>
  <c r="L14" i="7"/>
  <c r="M14" i="7"/>
  <c r="N14" i="7"/>
  <c r="O14" i="7"/>
  <c r="P14" i="7"/>
  <c r="Q14" i="7"/>
  <c r="L15" i="7"/>
  <c r="M15" i="7"/>
  <c r="N15" i="7"/>
  <c r="O15" i="7"/>
  <c r="P15" i="7"/>
  <c r="Q15" i="7"/>
  <c r="L16" i="7"/>
  <c r="M16" i="7"/>
  <c r="N16" i="7"/>
  <c r="O16" i="7"/>
  <c r="P16" i="7"/>
  <c r="Q16" i="7"/>
  <c r="L17" i="7"/>
  <c r="M17" i="7"/>
  <c r="N17" i="7"/>
  <c r="O17" i="7"/>
  <c r="P17" i="7"/>
  <c r="Q17" i="7"/>
  <c r="L18" i="7"/>
  <c r="M18" i="7"/>
  <c r="N18" i="7"/>
  <c r="O18" i="7"/>
  <c r="P18" i="7"/>
  <c r="Q18" i="7"/>
  <c r="L19" i="7"/>
  <c r="M19" i="7"/>
  <c r="N19" i="7"/>
  <c r="O19" i="7"/>
  <c r="P19" i="7"/>
  <c r="Q19" i="7"/>
  <c r="L20" i="7"/>
  <c r="M20" i="7"/>
  <c r="N20" i="7"/>
  <c r="O20" i="7"/>
  <c r="P20" i="7"/>
  <c r="Q20" i="7"/>
  <c r="L21" i="7"/>
  <c r="M21" i="7"/>
  <c r="N21" i="7"/>
  <c r="O21" i="7"/>
  <c r="P21" i="7"/>
  <c r="Q21" i="7"/>
  <c r="L22" i="7"/>
  <c r="M22" i="7"/>
  <c r="N22" i="7"/>
  <c r="O22" i="7"/>
  <c r="P22" i="7"/>
  <c r="Q22" i="7"/>
  <c r="L23" i="7"/>
  <c r="M23" i="7"/>
  <c r="N23" i="7"/>
  <c r="O23" i="7"/>
  <c r="P23" i="7"/>
  <c r="Q23" i="7"/>
  <c r="I139" i="7" l="1"/>
  <c r="I138" i="7"/>
  <c r="I137" i="7"/>
  <c r="I136" i="7"/>
  <c r="I135" i="7"/>
  <c r="I134" i="7"/>
  <c r="I133" i="7"/>
  <c r="I132" i="7"/>
  <c r="I131" i="7"/>
  <c r="I129" i="7"/>
  <c r="I128" i="7"/>
  <c r="I127" i="7"/>
  <c r="I124" i="7"/>
  <c r="I122" i="7"/>
  <c r="I121" i="7"/>
  <c r="I120" i="7"/>
  <c r="I116" i="7"/>
  <c r="I115" i="7"/>
  <c r="I114" i="7"/>
  <c r="I113" i="7"/>
  <c r="I112" i="7"/>
  <c r="I110" i="7"/>
  <c r="I109" i="7"/>
  <c r="I108" i="7"/>
  <c r="T157" i="7" l="1"/>
  <c r="H157" i="7"/>
  <c r="H38" i="7"/>
  <c r="T43" i="7" l="1"/>
  <c r="S136" i="7" l="1"/>
  <c r="R136" i="7"/>
  <c r="K136" i="7"/>
  <c r="G136" i="7"/>
  <c r="F136" i="7"/>
  <c r="E136" i="7"/>
  <c r="D136" i="7"/>
  <c r="S120" i="7"/>
  <c r="R120" i="7"/>
  <c r="K120" i="7"/>
  <c r="G120" i="7"/>
  <c r="E120" i="7"/>
  <c r="D120" i="7"/>
  <c r="S114" i="7"/>
  <c r="R114" i="7"/>
  <c r="G114" i="7"/>
  <c r="E114" i="7"/>
  <c r="D114" i="7"/>
  <c r="K113" i="7" l="1"/>
  <c r="G113" i="7"/>
  <c r="E113" i="7"/>
  <c r="D113" i="7"/>
  <c r="U35" i="7"/>
  <c r="S139" i="7" l="1"/>
  <c r="R139" i="7"/>
  <c r="K139" i="7"/>
  <c r="G139" i="7"/>
  <c r="E139" i="7"/>
  <c r="D139" i="7"/>
  <c r="S118" i="7" l="1"/>
  <c r="R118" i="7"/>
  <c r="S117" i="7"/>
  <c r="R117" i="7"/>
  <c r="S135" i="7"/>
  <c r="R135" i="7"/>
  <c r="K135" i="7"/>
  <c r="G135" i="7"/>
  <c r="F135" i="7"/>
  <c r="E135" i="7"/>
  <c r="D135" i="7"/>
  <c r="S119" i="7"/>
  <c r="R119" i="7"/>
  <c r="K119" i="7"/>
  <c r="E119" i="7"/>
  <c r="H119" i="7" s="1"/>
  <c r="D119" i="7"/>
  <c r="S133" i="7" l="1"/>
  <c r="R133" i="7"/>
  <c r="K133" i="7"/>
  <c r="G133" i="7"/>
  <c r="E133" i="7"/>
  <c r="D133" i="7"/>
  <c r="H193" i="7" l="1"/>
  <c r="S111" i="7"/>
  <c r="R111" i="7"/>
  <c r="K111" i="7"/>
  <c r="G111" i="7"/>
  <c r="E111" i="7"/>
  <c r="H111" i="7" s="1"/>
  <c r="D111" i="7"/>
  <c r="S110" i="7" l="1"/>
  <c r="R110" i="7"/>
  <c r="K110" i="7"/>
  <c r="G110" i="7"/>
  <c r="E110" i="7"/>
  <c r="D110" i="7"/>
  <c r="V33" i="7" l="1"/>
  <c r="H33" i="7"/>
  <c r="K72" i="7"/>
  <c r="S108" i="7" l="1"/>
  <c r="R108" i="7"/>
  <c r="S127" i="7"/>
  <c r="R127" i="7"/>
  <c r="K127" i="7"/>
  <c r="G127" i="7"/>
  <c r="E127" i="7"/>
  <c r="D127" i="7"/>
  <c r="H31" i="7"/>
  <c r="S132" i="7" l="1"/>
  <c r="R132" i="7"/>
  <c r="K132" i="7"/>
  <c r="G132" i="7"/>
  <c r="E132" i="7"/>
  <c r="D132" i="7"/>
  <c r="H132" i="7" l="1"/>
  <c r="H49" i="7" l="1"/>
  <c r="T202" i="7" l="1"/>
  <c r="T123" i="7"/>
  <c r="T91" i="7"/>
  <c r="T53" i="7"/>
  <c r="S109" i="7" l="1"/>
  <c r="R109" i="7"/>
  <c r="K109" i="7"/>
  <c r="G109" i="7"/>
  <c r="E109" i="7"/>
  <c r="D109" i="7"/>
  <c r="S124" i="7"/>
  <c r="R124" i="7"/>
  <c r="K124" i="7"/>
  <c r="G124" i="7"/>
  <c r="E124" i="7"/>
  <c r="D124" i="7"/>
  <c r="D55" i="7" l="1"/>
  <c r="S130" i="7"/>
  <c r="R130" i="7"/>
  <c r="S131" i="7"/>
  <c r="R131" i="7"/>
  <c r="K131" i="7"/>
  <c r="G131" i="7"/>
  <c r="E131" i="7"/>
  <c r="D131" i="7"/>
  <c r="S128" i="7" l="1"/>
  <c r="R128" i="7"/>
  <c r="G128" i="7"/>
  <c r="E128" i="7"/>
  <c r="D128" i="7"/>
  <c r="S116" i="7"/>
  <c r="R116" i="7"/>
  <c r="K116" i="7"/>
  <c r="G116" i="7"/>
  <c r="E116" i="7"/>
  <c r="D116" i="7"/>
  <c r="U45" i="7"/>
  <c r="H44" i="7"/>
  <c r="S112" i="7" l="1"/>
  <c r="R112" i="7"/>
  <c r="K112" i="7"/>
  <c r="G112" i="7"/>
  <c r="E112" i="7"/>
  <c r="D112" i="7"/>
  <c r="U9" i="7" l="1"/>
  <c r="H143" i="7"/>
  <c r="S115" i="7" l="1"/>
  <c r="R115" i="7"/>
  <c r="K115" i="7"/>
  <c r="G115" i="7"/>
  <c r="E115" i="7"/>
  <c r="D115" i="7"/>
  <c r="S137" i="7" l="1"/>
  <c r="R137" i="7"/>
  <c r="K137" i="7"/>
  <c r="G137" i="7"/>
  <c r="E137" i="7"/>
  <c r="D137" i="7"/>
  <c r="E182" i="7"/>
  <c r="H93" i="7" l="1"/>
  <c r="S138" i="7" l="1"/>
  <c r="R138" i="7"/>
  <c r="K138" i="7"/>
  <c r="G138" i="7"/>
  <c r="E138" i="7"/>
  <c r="D138" i="7"/>
  <c r="H101" i="7" l="1"/>
  <c r="S122" i="7" l="1"/>
  <c r="R122" i="7"/>
  <c r="K122" i="7"/>
  <c r="G122" i="7"/>
  <c r="E122" i="7"/>
  <c r="D122" i="7"/>
  <c r="S121" i="7" l="1"/>
  <c r="R121" i="7"/>
  <c r="K121" i="7"/>
  <c r="G121" i="7"/>
  <c r="E121" i="7"/>
  <c r="D121" i="7"/>
  <c r="T37" i="7"/>
  <c r="S129" i="7"/>
  <c r="R129" i="7"/>
  <c r="T129" i="7"/>
  <c r="K129" i="7"/>
  <c r="G129" i="7"/>
  <c r="E129" i="7"/>
  <c r="D129" i="7"/>
  <c r="S134" i="7"/>
  <c r="R134" i="7"/>
  <c r="K134" i="7"/>
  <c r="G134" i="7"/>
  <c r="F134" i="7"/>
  <c r="E134" i="7"/>
  <c r="D134" i="7"/>
  <c r="T148" i="7" l="1"/>
  <c r="K148" i="7"/>
  <c r="P207" i="7"/>
  <c r="N207" i="7"/>
  <c r="P192" i="7"/>
  <c r="N192" i="7"/>
  <c r="I148" i="7"/>
  <c r="M148" i="7" l="1"/>
  <c r="C9" i="2"/>
  <c r="H196" i="7"/>
  <c r="K114" i="7" l="1"/>
  <c r="H15" i="7" l="1"/>
  <c r="H130" i="7" l="1"/>
  <c r="H78" i="7"/>
  <c r="H167" i="7"/>
  <c r="H22" i="7"/>
  <c r="T156" i="7" l="1"/>
  <c r="H152" i="7" l="1"/>
  <c r="H153" i="7"/>
  <c r="H154" i="7"/>
  <c r="H155" i="7"/>
  <c r="H156" i="7"/>
  <c r="H158" i="7"/>
  <c r="H159" i="7"/>
  <c r="H160" i="7"/>
  <c r="H161" i="7"/>
  <c r="H162" i="7"/>
  <c r="H163" i="7"/>
  <c r="H164" i="7"/>
  <c r="H166" i="7"/>
  <c r="H165" i="7"/>
  <c r="H168" i="7"/>
  <c r="H169" i="7"/>
  <c r="H170" i="7"/>
  <c r="H171" i="7"/>
  <c r="H172" i="7"/>
  <c r="H173" i="7"/>
  <c r="H174" i="7"/>
  <c r="H175" i="7"/>
  <c r="H176" i="7"/>
  <c r="H177" i="7"/>
  <c r="H151" i="7"/>
  <c r="H207" i="7"/>
  <c r="Q207" i="7" l="1"/>
  <c r="O207" i="7"/>
  <c r="K128" i="7" l="1"/>
  <c r="P143" i="7" l="1"/>
  <c r="N143" i="7"/>
  <c r="M143" i="7"/>
  <c r="H194" i="7" l="1"/>
  <c r="H195" i="7"/>
  <c r="H197" i="7"/>
  <c r="H198" i="7"/>
  <c r="H199" i="7"/>
  <c r="H200" i="7"/>
  <c r="H201" i="7"/>
  <c r="H202" i="7"/>
  <c r="H203" i="7"/>
  <c r="H204" i="7"/>
  <c r="H192" i="7" l="1"/>
  <c r="H189" i="7"/>
  <c r="H188" i="7"/>
  <c r="H182" i="7"/>
  <c r="H183" i="7"/>
  <c r="H144" i="7"/>
  <c r="H145" i="7"/>
  <c r="H146" i="7"/>
  <c r="H147" i="7"/>
  <c r="H128" i="7"/>
  <c r="H129" i="7"/>
  <c r="H131" i="7"/>
  <c r="H133" i="7"/>
  <c r="H134" i="7"/>
  <c r="H135" i="7"/>
  <c r="H136" i="7"/>
  <c r="H137" i="7"/>
  <c r="H138" i="7"/>
  <c r="H139" i="7"/>
  <c r="H127" i="7"/>
  <c r="H109" i="7"/>
  <c r="H110" i="7"/>
  <c r="H112" i="7"/>
  <c r="H113" i="7"/>
  <c r="H114" i="7"/>
  <c r="H115" i="7"/>
  <c r="H116" i="7"/>
  <c r="H117" i="7"/>
  <c r="H118" i="7"/>
  <c r="H120" i="7"/>
  <c r="H121" i="7"/>
  <c r="H122" i="7"/>
  <c r="H123" i="7"/>
  <c r="H124" i="7"/>
  <c r="Q192" i="7" l="1"/>
  <c r="O192" i="7"/>
  <c r="Q143" i="7"/>
  <c r="O143" i="7"/>
  <c r="H69" i="7"/>
  <c r="H70" i="7"/>
  <c r="H71" i="7"/>
  <c r="H72" i="7"/>
  <c r="H73" i="7"/>
  <c r="H74" i="7"/>
  <c r="H75" i="7"/>
  <c r="H76" i="7"/>
  <c r="H77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4" i="7"/>
  <c r="H95" i="7"/>
  <c r="H96" i="7"/>
  <c r="H97" i="7"/>
  <c r="H98" i="7"/>
  <c r="H99" i="7"/>
  <c r="H100" i="7"/>
  <c r="H102" i="7"/>
  <c r="H103" i="7"/>
  <c r="H68" i="7"/>
  <c r="H8" i="7"/>
  <c r="H9" i="7"/>
  <c r="H10" i="7"/>
  <c r="H11" i="7"/>
  <c r="H12" i="7"/>
  <c r="H13" i="7"/>
  <c r="H14" i="7"/>
  <c r="H16" i="7"/>
  <c r="H17" i="7"/>
  <c r="H18" i="7"/>
  <c r="H19" i="7"/>
  <c r="H20" i="7"/>
  <c r="H21" i="7"/>
  <c r="H23" i="7"/>
  <c r="H6" i="7"/>
  <c r="H7" i="7"/>
  <c r="H5" i="7"/>
  <c r="H108" i="7" l="1"/>
  <c r="H28" i="7"/>
  <c r="H29" i="7"/>
  <c r="H30" i="7"/>
  <c r="H32" i="7"/>
  <c r="H34" i="7"/>
  <c r="H35" i="7"/>
  <c r="H36" i="7"/>
  <c r="H37" i="7"/>
  <c r="H39" i="7"/>
  <c r="H40" i="7"/>
  <c r="H41" i="7"/>
  <c r="H42" i="7"/>
  <c r="H43" i="7"/>
  <c r="H45" i="7"/>
  <c r="H46" i="7"/>
  <c r="H47" i="7"/>
  <c r="H48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M207" i="7" l="1"/>
  <c r="T208" i="7" l="1"/>
  <c r="Q188" i="7"/>
  <c r="P188" i="7"/>
  <c r="O188" i="7"/>
  <c r="N188" i="7"/>
  <c r="M188" i="7"/>
  <c r="T184" i="7"/>
  <c r="K184" i="7"/>
  <c r="I184" i="7"/>
  <c r="P181" i="7"/>
  <c r="N181" i="7"/>
  <c r="M181" i="7"/>
  <c r="H181" i="7"/>
  <c r="K178" i="7"/>
  <c r="I178" i="7"/>
  <c r="T178" i="7"/>
  <c r="P151" i="7"/>
  <c r="N151" i="7"/>
  <c r="M151" i="7"/>
  <c r="Q151" i="7"/>
  <c r="L143" i="7"/>
  <c r="T140" i="7"/>
  <c r="P108" i="7"/>
  <c r="N108" i="7"/>
  <c r="M108" i="7"/>
  <c r="Q108" i="7"/>
  <c r="T104" i="7"/>
  <c r="K104" i="7"/>
  <c r="I104" i="7"/>
  <c r="P68" i="7"/>
  <c r="N68" i="7"/>
  <c r="M68" i="7"/>
  <c r="T65" i="7"/>
  <c r="K65" i="7"/>
  <c r="I65" i="7"/>
  <c r="P27" i="7"/>
  <c r="N27" i="7"/>
  <c r="M27" i="7"/>
  <c r="H27" i="7"/>
  <c r="Q27" i="7" s="1"/>
  <c r="T24" i="7"/>
  <c r="K24" i="7"/>
  <c r="I24" i="7"/>
  <c r="P5" i="7"/>
  <c r="N5" i="7"/>
  <c r="M5" i="7"/>
  <c r="Q5" i="7"/>
  <c r="C11" i="2" l="1"/>
  <c r="M184" i="7"/>
  <c r="L207" i="7"/>
  <c r="L192" i="7"/>
  <c r="C12" i="2"/>
  <c r="J207" i="7"/>
  <c r="J192" i="7"/>
  <c r="C10" i="2"/>
  <c r="C7" i="2"/>
  <c r="C5" i="2"/>
  <c r="M24" i="7"/>
  <c r="C6" i="2"/>
  <c r="M65" i="7"/>
  <c r="M104" i="7"/>
  <c r="M178" i="7"/>
  <c r="J143" i="7"/>
  <c r="Q127" i="7"/>
  <c r="N127" i="7"/>
  <c r="J68" i="7"/>
  <c r="L188" i="7"/>
  <c r="O108" i="7"/>
  <c r="J151" i="7"/>
  <c r="L27" i="7"/>
  <c r="J188" i="7"/>
  <c r="M208" i="7"/>
  <c r="T209" i="7"/>
  <c r="L68" i="7"/>
  <c r="M127" i="7"/>
  <c r="P127" i="7"/>
  <c r="O151" i="7"/>
  <c r="L5" i="7"/>
  <c r="Q68" i="7"/>
  <c r="O68" i="7"/>
  <c r="K140" i="7"/>
  <c r="Q181" i="7"/>
  <c r="O181" i="7"/>
  <c r="L181" i="7"/>
  <c r="J5" i="7"/>
  <c r="O5" i="7"/>
  <c r="J27" i="7"/>
  <c r="O27" i="7"/>
  <c r="I140" i="7"/>
  <c r="L151" i="7"/>
  <c r="J181" i="7"/>
  <c r="C8" i="2" l="1"/>
  <c r="M140" i="7"/>
  <c r="O127" i="7"/>
  <c r="K209" i="7"/>
  <c r="L208" i="7" s="1"/>
  <c r="J108" i="7"/>
  <c r="J127" i="7"/>
  <c r="L108" i="7"/>
  <c r="L127" i="7"/>
  <c r="I209" i="7"/>
  <c r="J140" i="7" s="1"/>
  <c r="L148" i="7" l="1"/>
  <c r="L104" i="7"/>
  <c r="L184" i="7"/>
  <c r="L65" i="7"/>
  <c r="L24" i="7"/>
  <c r="L140" i="7"/>
  <c r="L178" i="7"/>
  <c r="J208" i="7"/>
  <c r="J148" i="7"/>
  <c r="J104" i="7"/>
  <c r="J178" i="7"/>
  <c r="J65" i="7"/>
  <c r="J24" i="7"/>
  <c r="J184" i="7"/>
</calcChain>
</file>

<file path=xl/sharedStrings.xml><?xml version="1.0" encoding="utf-8"?>
<sst xmlns="http://schemas.openxmlformats.org/spreadsheetml/2006/main" count="426" uniqueCount="285">
  <si>
    <t>S/N</t>
  </si>
  <si>
    <t>FUND</t>
  </si>
  <si>
    <t>FUND MANAGER</t>
  </si>
  <si>
    <t>TOTAL VALUE OF INVESTMENT (N)</t>
  </si>
  <si>
    <t>TOTAL INCOME (N)</t>
  </si>
  <si>
    <t>UNREALIZED CAPITAL GAIN/LOSS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</si>
  <si>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</si>
  <si>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</si>
  <si>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</si>
  <si>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</si>
  <si>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</si>
  <si>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</si>
  <si>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</si>
  <si>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</si>
  <si>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</si>
  <si>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</si>
  <si>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</si>
  <si>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</si>
  <si>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</si>
  <si>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</si>
  <si>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</si>
  <si>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</si>
  <si>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</si>
  <si>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</si>
  <si>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</si>
  <si>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</si>
  <si>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</si>
  <si>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</si>
  <si>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</si>
  <si>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</si>
  <si>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</si>
  <si>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</si>
  <si>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</si>
  <si>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</si>
  <si>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</si>
  <si>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</si>
  <si>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</si>
  <si>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</si>
  <si>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</si>
  <si>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</si>
  <si>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</si>
  <si>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</si>
  <si>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</si>
  <si>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</si>
  <si>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</si>
  <si>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</si>
  <si>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</si>
  <si>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</si>
  <si>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</si>
  <si>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</si>
  <si>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</si>
  <si>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</si>
  <si>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</si>
  <si>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</si>
  <si>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</si>
  <si>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</si>
  <si>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</si>
  <si>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</si>
  <si>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</si>
  <si>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</si>
  <si>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</si>
  <si>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</si>
  <si>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</si>
  <si>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</si>
  <si>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</si>
  <si>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</si>
  <si>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</si>
  <si>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</si>
  <si>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</si>
  <si>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</si>
  <si>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</si>
  <si>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</si>
  <si>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</si>
  <si>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</si>
  <si>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</si>
  <si>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</si>
  <si>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</si>
  <si>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</si>
  <si>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</si>
  <si>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</si>
  <si>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</si>
  <si>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</si>
  <si>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</si>
  <si>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</si>
  <si>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</si>
  <si>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</si>
  <si>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</si>
  <si>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</si>
  <si>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</si>
  <si>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</si>
  <si>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</si>
  <si>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</si>
  <si>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</si>
  <si>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</si>
  <si>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</si>
  <si>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</si>
  <si>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</si>
  <si>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</si>
  <si>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</si>
  <si>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</si>
  <si>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</si>
  <si>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</si>
  <si>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</si>
  <si>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</si>
  <si>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</si>
  <si>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</si>
  <si>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</si>
  <si>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</si>
  <si>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</si>
  <si>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</si>
  <si>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</si>
  <si>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</si>
  <si>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</si>
  <si>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</si>
  <si>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</si>
  <si>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</si>
  <si>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</si>
  <si>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</si>
  <si>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</si>
  <si>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</si>
  <si>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</si>
  <si>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</si>
  <si>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</si>
  <si>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</si>
  <si>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</si>
  <si>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</si>
  <si>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</si>
  <si>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</si>
  <si>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</si>
  <si>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</si>
  <si>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</si>
  <si>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</si>
  <si>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</si>
  <si>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</si>
  <si>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</si>
  <si>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</si>
  <si>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</si>
  <si>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</si>
  <si>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</si>
  <si>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</si>
  <si>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</si>
  <si>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</si>
  <si>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</si>
  <si>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</si>
  <si>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</si>
  <si>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</si>
  <si>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</si>
  <si>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</si>
  <si>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</si>
  <si>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</si>
  <si>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</si>
  <si>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</si>
  <si>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</si>
  <si>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</si>
  <si>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</si>
  <si>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</si>
  <si>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</si>
  <si>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</si>
  <si>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</si>
  <si>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</si>
  <si>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</si>
  <si>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</si>
  <si>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</si>
  <si>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</si>
  <si>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</si>
  <si>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</si>
  <si>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</si>
  <si>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</si>
  <si>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</si>
  <si>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</si>
  <si>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</si>
  <si>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</si>
  <si>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</si>
  <si>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</si>
  <si>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</si>
  <si>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</si>
  <si>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</si>
  <si>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</si>
  <si>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</si>
  <si>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</si>
  <si>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</si>
  <si>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</si>
  <si>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</si>
  <si>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</si>
  <si>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</si>
  <si>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</si>
  <si>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</si>
  <si>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</si>
  <si>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</si>
  <si>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</si>
  <si>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</si>
  <si>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</si>
  <si>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</si>
  <si>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</si>
  <si>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</si>
  <si>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</si>
  <si>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</si>
  <si>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</si>
  <si>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</si>
  <si>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</si>
  <si>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</si>
  <si>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</si>
  <si>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</si>
  <si>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</si>
  <si>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</si>
  <si>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</si>
  <si>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</si>
  <si>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</si>
  <si>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</si>
  <si>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</si>
  <si>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</si>
  <si>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Cowry Equity Fund</t>
  </si>
  <si>
    <t>CardinalStone Equity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</si>
  <si>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</si>
  <si>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</si>
  <si>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</si>
  <si>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</si>
  <si>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</si>
  <si>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Comercio Partners Money Market Fund</t>
  </si>
  <si>
    <t>Comercio Partners Asset Management Limited</t>
  </si>
  <si>
    <t>BALANCED</t>
  </si>
  <si>
    <t>Lotus Waqf (Endowment) Fund</t>
  </si>
  <si>
    <t>Marble Halal Commodities Fund</t>
  </si>
  <si>
    <t xml:space="preserve">Marble Capital Limited </t>
  </si>
  <si>
    <t>Marble Halal Fixed Income Fund</t>
  </si>
  <si>
    <t>FSDH Halal Fund</t>
  </si>
  <si>
    <t>Alpha Morgan Balanced Fund</t>
  </si>
  <si>
    <t>Alpha Morgan Capital Managers Limited</t>
  </si>
  <si>
    <t>Cowry Balanced Fund</t>
  </si>
  <si>
    <t>The Nigeria Football Fund</t>
  </si>
  <si>
    <t>GTI Asset Management &amp; Trust Limited</t>
  </si>
  <si>
    <t>GTI Balanced Fund</t>
  </si>
  <si>
    <t>Housing Solution Fund</t>
  </si>
  <si>
    <t>FUNDCO Capital Managers Limited</t>
  </si>
  <si>
    <t>Coral Money Market Fund</t>
  </si>
  <si>
    <t>AIICO Eurobond Fund</t>
  </si>
  <si>
    <t>RMBN Dollar Fixed Income Fund</t>
  </si>
  <si>
    <t>Lead Dollar Fixed Income Fund</t>
  </si>
  <si>
    <t>Lead Asset Management Limited</t>
  </si>
  <si>
    <t>Meristem Dollar Fund</t>
  </si>
  <si>
    <t>CardinalStone Dollar Fund</t>
  </si>
  <si>
    <t>Comercio Partners Dollar Fund</t>
  </si>
  <si>
    <t>Cowry Eurobond Fund</t>
  </si>
  <si>
    <t>EDC Dollar Fund</t>
  </si>
  <si>
    <t>Cowry Fixed Income Fund</t>
  </si>
  <si>
    <t>Guaranty Trust Fixed Income Fund</t>
  </si>
  <si>
    <t>Utica Custodian Assured Fixed Income Fund</t>
  </si>
  <si>
    <t>Utica Capital Limited</t>
  </si>
  <si>
    <t>Nigeria Bond Fund</t>
  </si>
  <si>
    <t>Meristem Fixed Income Fund</t>
  </si>
  <si>
    <t>Comercio Partners Fixed Income Fund</t>
  </si>
  <si>
    <t>FBN Bond Fund</t>
  </si>
  <si>
    <t>Norrenberger Turbo Fixed Income Fund</t>
  </si>
  <si>
    <t>Norrenberger Investment &amp; Capital Mgt. Ltd.</t>
  </si>
  <si>
    <t>GTI  Money Market Fund</t>
  </si>
  <si>
    <t>Growth and Development Asset Management Limited</t>
  </si>
  <si>
    <t>Halo Equity Fund</t>
  </si>
  <si>
    <t>Halo Asset Management Limited</t>
  </si>
  <si>
    <t>Zrosk Magna Equity Fund</t>
  </si>
  <si>
    <t>Zrosk Investment Management Limited</t>
  </si>
  <si>
    <t>Hillcrest Balanced Fund</t>
  </si>
  <si>
    <t>Hillcrest Capital Management Limited</t>
  </si>
  <si>
    <t>Coronation Dollar Fund</t>
  </si>
  <si>
    <t>Coronation Premium Fixed Income Fund</t>
  </si>
  <si>
    <t>Emerging Africa Halal Fund</t>
  </si>
  <si>
    <t>Chapel Hill Denham Money Market Fund</t>
  </si>
  <si>
    <t>MONTHLY UPDATE ON REGISTERED MUTUAL FUNDS AS AT 28TH FEBRUARY, 2025</t>
  </si>
  <si>
    <t>NET ASSET VALUE (N) PREVIOUS - JANUARY</t>
  </si>
  <si>
    <t>Norrenberger Investment and Capital Mgt Limited</t>
  </si>
  <si>
    <r>
      <t>US$/NG</t>
    </r>
    <r>
      <rPr>
        <strike/>
        <sz val="8"/>
        <color theme="0"/>
        <rFont val="Times New Roman"/>
        <family val="1"/>
      </rPr>
      <t>N</t>
    </r>
    <r>
      <rPr>
        <sz val="8"/>
        <color theme="0"/>
        <rFont val="Times New Roman"/>
        <family val="1"/>
      </rPr>
      <t xml:space="preserve"> I&amp;E as at 28th February, 2025 = N1,492.4910</t>
    </r>
  </si>
  <si>
    <t>United Capital Stable Fixed Income Fund</t>
  </si>
  <si>
    <t>Radix Horizon Fund</t>
  </si>
  <si>
    <t>Radix Capital Partners Limited</t>
  </si>
  <si>
    <t>CardinalStone Money Market Fund</t>
  </si>
  <si>
    <t>FSL Money Market Fund</t>
  </si>
  <si>
    <t>FSL  Asset Management Limited</t>
  </si>
  <si>
    <t>Guaranty Trust Investment Fund 724</t>
  </si>
  <si>
    <t>Guaranty Trust Dollar Fund</t>
  </si>
  <si>
    <t>AVA GAM Money Market Fund</t>
  </si>
  <si>
    <t>ARM Short-Term Eurobond Fund</t>
  </si>
  <si>
    <t>ARM Sharia Compliant Fixed Income Fund</t>
  </si>
  <si>
    <t>FSL Eurobond Fund</t>
  </si>
  <si>
    <t>FSL Asset Management Limited</t>
  </si>
  <si>
    <t>Feb 2025</t>
  </si>
  <si>
    <t>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</si>
</sst>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  <numFmt numFmtId="176" formatCode="_-* #,##0.0_-;\-* #,##0.0_-;_-* &quot;-&quot;??_-;_-@_-"/>
  </numFmts>
  <fonts count="4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0"/>
      <name val="Times New Roman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8"/>
      <color theme="0"/>
      <name val="Times New Roman"/>
      <family val="1"/>
    </font>
    <font>
      <strike/>
      <sz val="8"/>
      <color theme="0"/>
      <name val="Times New Roman"/>
      <family val="1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0"/>
      <name val="Calibri"/>
      <family val="2"/>
      <scheme val="minor"/>
    </font>
    <font>
      <b/>
      <sz val="28"/>
      <color theme="0"/>
      <name val="Segoe UI Black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1"/>
      <color theme="0"/>
      <name val="Calibri"/>
      <family val="2"/>
      <scheme val="minor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8"/>
      <color theme="0"/>
      <name val="Century Gothic"/>
      <family val="2"/>
    </font>
    <font>
      <sz val="11"/>
      <color theme="0"/>
      <name val="Arial Narrow"/>
      <family val="2"/>
    </font>
    <font>
      <b/>
      <sz val="9"/>
      <name val="Century Gothic"/>
      <family val="2"/>
    </font>
    <font>
      <sz val="11"/>
      <name val="Calibri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7985778374584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64">
    <xf numFmtId="0" fontId="0" fillId="0" borderId="0"/>
    <xf numFmtId="164" fontId="11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4" fillId="27" borderId="0" applyNumberFormat="0" applyBorder="0" applyAlignment="0" applyProtection="0"/>
    <xf numFmtId="17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0" fontId="6" fillId="0" borderId="0"/>
    <xf numFmtId="37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2" borderId="0" xfId="0" applyFont="1" applyFill="1" applyAlignment="1">
      <alignment wrapText="1"/>
    </xf>
    <xf numFmtId="0" fontId="4" fillId="0" borderId="0" xfId="0" applyFont="1"/>
    <xf numFmtId="0" fontId="5" fillId="3" borderId="0" xfId="0" applyFont="1" applyFill="1"/>
    <xf numFmtId="0" fontId="5" fillId="0" borderId="0" xfId="0" applyFont="1"/>
    <xf numFmtId="0" fontId="9" fillId="0" borderId="0" xfId="0" applyFont="1"/>
    <xf numFmtId="0" fontId="5" fillId="2" borderId="0" xfId="0" applyFont="1" applyFill="1"/>
    <xf numFmtId="0" fontId="10" fillId="2" borderId="0" xfId="0" applyFont="1" applyFill="1"/>
    <xf numFmtId="164" fontId="5" fillId="2" borderId="0" xfId="1" applyFont="1" applyFill="1" applyBorder="1" applyAlignment="1"/>
    <xf numFmtId="172" fontId="8" fillId="2" borderId="0" xfId="0" applyNumberFormat="1" applyFont="1" applyFill="1"/>
    <xf numFmtId="175" fontId="8" fillId="2" borderId="0" xfId="0" applyNumberFormat="1" applyFont="1" applyFill="1"/>
    <xf numFmtId="164" fontId="19" fillId="2" borderId="2" xfId="1" applyFont="1" applyFill="1" applyBorder="1"/>
    <xf numFmtId="172" fontId="19" fillId="2" borderId="2" xfId="0" applyNumberFormat="1" applyFont="1" applyFill="1" applyBorder="1" applyAlignment="1">
      <alignment horizontal="right"/>
    </xf>
    <xf numFmtId="164" fontId="19" fillId="2" borderId="2" xfId="1" applyFont="1" applyFill="1" applyBorder="1" applyAlignment="1"/>
    <xf numFmtId="10" fontId="19" fillId="2" borderId="2" xfId="0" applyNumberFormat="1" applyFont="1" applyFill="1" applyBorder="1" applyAlignment="1">
      <alignment horizontal="center"/>
    </xf>
    <xf numFmtId="0" fontId="21" fillId="9" borderId="0" xfId="0" applyFont="1" applyFill="1" applyAlignment="1">
      <alignment horizontal="right" vertical="center"/>
    </xf>
    <xf numFmtId="0" fontId="22" fillId="2" borderId="0" xfId="0" applyFont="1" applyFill="1"/>
    <xf numFmtId="0" fontId="23" fillId="0" borderId="0" xfId="0" applyFont="1"/>
    <xf numFmtId="0" fontId="3" fillId="2" borderId="0" xfId="0" applyFont="1" applyFill="1"/>
    <xf numFmtId="164" fontId="19" fillId="2" borderId="2" xfId="1" applyFont="1" applyFill="1" applyBorder="1" applyAlignment="1">
      <alignment horizontal="right"/>
    </xf>
    <xf numFmtId="164" fontId="19" fillId="0" borderId="2" xfId="1" applyFont="1" applyBorder="1"/>
    <xf numFmtId="164" fontId="19" fillId="0" borderId="2" xfId="1" applyFont="1" applyFill="1" applyBorder="1"/>
    <xf numFmtId="49" fontId="19" fillId="2" borderId="2" xfId="0" applyNumberFormat="1" applyFont="1" applyFill="1" applyBorder="1" applyAlignment="1">
      <alignment wrapText="1"/>
    </xf>
    <xf numFmtId="172" fontId="19" fillId="2" borderId="2" xfId="0" applyNumberFormat="1" applyFont="1" applyFill="1" applyBorder="1" applyAlignment="1">
      <alignment horizontal="left"/>
    </xf>
    <xf numFmtId="10" fontId="20" fillId="6" borderId="2" xfId="0" applyNumberFormat="1" applyFont="1" applyFill="1" applyBorder="1" applyAlignment="1">
      <alignment horizontal="center" vertical="center"/>
    </xf>
    <xf numFmtId="10" fontId="19" fillId="6" borderId="2" xfId="0" applyNumberFormat="1" applyFont="1" applyFill="1" applyBorder="1" applyAlignment="1">
      <alignment horizontal="center" vertical="center"/>
    </xf>
    <xf numFmtId="172" fontId="19" fillId="6" borderId="2" xfId="0" applyNumberFormat="1" applyFont="1" applyFill="1" applyBorder="1" applyAlignment="1">
      <alignment horizontal="right" vertical="center"/>
    </xf>
    <xf numFmtId="172" fontId="19" fillId="2" borderId="2" xfId="0" applyNumberFormat="1" applyFont="1" applyFill="1" applyBorder="1"/>
    <xf numFmtId="172" fontId="19" fillId="6" borderId="2" xfId="0" applyNumberFormat="1" applyFont="1" applyFill="1" applyBorder="1" applyAlignment="1">
      <alignment horizontal="center" vertical="center"/>
    </xf>
    <xf numFmtId="164" fontId="19" fillId="2" borderId="2" xfId="1" applyFont="1" applyFill="1" applyBorder="1" applyAlignment="1">
      <alignment wrapText="1"/>
    </xf>
    <xf numFmtId="172" fontId="20" fillId="2" borderId="2" xfId="0" applyNumberFormat="1" applyFont="1" applyFill="1" applyBorder="1"/>
    <xf numFmtId="164" fontId="19" fillId="2" borderId="2" xfId="1" applyFont="1" applyFill="1" applyBorder="1" applyAlignment="1">
      <alignment horizontal="right" vertical="top" wrapText="1"/>
    </xf>
    <xf numFmtId="164" fontId="19" fillId="2" borderId="2" xfId="1" applyFont="1" applyFill="1" applyBorder="1" applyAlignment="1">
      <alignment horizontal="center" vertical="top" wrapText="1"/>
    </xf>
    <xf numFmtId="176" fontId="19" fillId="2" borderId="2" xfId="1" applyNumberFormat="1" applyFont="1" applyFill="1" applyBorder="1" applyAlignment="1">
      <alignment horizontal="right" vertical="top" wrapText="1"/>
    </xf>
    <xf numFmtId="172" fontId="19" fillId="2" borderId="2" xfId="0" applyNumberFormat="1" applyFont="1" applyFill="1" applyBorder="1" applyAlignment="1">
      <alignment horizontal="right" wrapText="1"/>
    </xf>
    <xf numFmtId="164" fontId="19" fillId="2" borderId="2" xfId="1" applyFont="1" applyFill="1" applyBorder="1" applyAlignment="1">
      <alignment horizontal="left"/>
    </xf>
    <xf numFmtId="49" fontId="7" fillId="5" borderId="2" xfId="0" applyNumberFormat="1" applyFont="1" applyFill="1" applyBorder="1" applyAlignment="1">
      <alignment horizontal="center" vertical="top" wrapText="1"/>
    </xf>
    <xf numFmtId="4" fontId="19" fillId="0" borderId="2" xfId="0" applyNumberFormat="1" applyFont="1" applyBorder="1"/>
    <xf numFmtId="171" fontId="19" fillId="0" borderId="2" xfId="0" applyNumberFormat="1" applyFont="1" applyFill="1" applyBorder="1" applyAlignment="1" applyProtection="1"/>
    <xf numFmtId="174" fontId="19" fillId="0" borderId="2" xfId="0" applyNumberFormat="1" applyFont="1" applyFill="1" applyBorder="1" applyAlignment="1" applyProtection="1"/>
    <xf numFmtId="164" fontId="7" fillId="5" borderId="2" xfId="1" applyFont="1" applyFill="1" applyBorder="1" applyAlignment="1">
      <alignment horizontal="center" vertical="top" wrapText="1"/>
    </xf>
    <xf numFmtId="172" fontId="20" fillId="2" borderId="2" xfId="0" applyNumberFormat="1" applyFont="1" applyFill="1" applyBorder="1" applyAlignment="1">
      <alignment horizontal="left"/>
    </xf>
    <xf numFmtId="10" fontId="20" fillId="2" borderId="2" xfId="0" applyNumberFormat="1" applyFont="1" applyFill="1" applyBorder="1" applyAlignment="1">
      <alignment horizontal="center"/>
    </xf>
    <xf numFmtId="172" fontId="20" fillId="6" borderId="2" xfId="0" applyNumberFormat="1" applyFont="1" applyFill="1" applyBorder="1" applyAlignment="1">
      <alignment horizontal="right" vertical="center"/>
    </xf>
    <xf numFmtId="164" fontId="20" fillId="2" borderId="2" xfId="1" applyFont="1" applyFill="1" applyBorder="1"/>
    <xf numFmtId="172" fontId="20" fillId="6" borderId="2" xfId="0" applyNumberFormat="1" applyFont="1" applyFill="1" applyBorder="1" applyAlignment="1">
      <alignment horizontal="center" vertical="center"/>
    </xf>
    <xf numFmtId="164" fontId="20" fillId="2" borderId="2" xfId="1" applyFont="1" applyFill="1" applyBorder="1" applyAlignment="1"/>
    <xf numFmtId="164" fontId="20" fillId="2" borderId="2" xfId="1" applyFont="1" applyFill="1" applyBorder="1" applyAlignment="1">
      <alignment wrapText="1"/>
    </xf>
    <xf numFmtId="10" fontId="20" fillId="6" borderId="2" xfId="0" applyNumberFormat="1" applyFont="1" applyFill="1" applyBorder="1" applyAlignment="1">
      <alignment horizontal="right" vertical="center"/>
    </xf>
    <xf numFmtId="173" fontId="19" fillId="2" borderId="2" xfId="0" applyNumberFormat="1" applyFont="1" applyFill="1" applyBorder="1"/>
    <xf numFmtId="10" fontId="20" fillId="5" borderId="2" xfId="0" applyNumberFormat="1" applyFont="1" applyFill="1" applyBorder="1"/>
    <xf numFmtId="10" fontId="20" fillId="5" borderId="2" xfId="0" applyNumberFormat="1" applyFont="1" applyFill="1" applyBorder="1" applyAlignment="1">
      <alignment horizontal="right" vertical="center"/>
    </xf>
    <xf numFmtId="172" fontId="20" fillId="5" borderId="2" xfId="0" applyNumberFormat="1" applyFont="1" applyFill="1" applyBorder="1" applyAlignment="1">
      <alignment horizontal="right" vertical="center"/>
    </xf>
    <xf numFmtId="164" fontId="20" fillId="5" borderId="2" xfId="1" applyFont="1" applyFill="1" applyBorder="1"/>
    <xf numFmtId="0" fontId="24" fillId="9" borderId="0" xfId="0" applyFont="1" applyFill="1" applyAlignment="1">
      <alignment horizontal="left"/>
    </xf>
    <xf numFmtId="164" fontId="19" fillId="0" borderId="2" xfId="1" applyFont="1" applyBorder="1" applyAlignment="1"/>
    <xf numFmtId="164" fontId="19" fillId="7" borderId="2" xfId="1" applyFont="1" applyFill="1" applyBorder="1"/>
    <xf numFmtId="164" fontId="19" fillId="0" borderId="2" xfId="1" applyFont="1" applyFill="1" applyBorder="1" applyAlignment="1">
      <alignment horizontal="right"/>
    </xf>
    <xf numFmtId="164" fontId="7" fillId="5" borderId="2" xfId="1" applyFont="1" applyFill="1" applyBorder="1"/>
    <xf numFmtId="10" fontId="7" fillId="5" borderId="2" xfId="0" applyNumberFormat="1" applyFont="1" applyFill="1" applyBorder="1"/>
    <xf numFmtId="4" fontId="27" fillId="2" borderId="0" xfId="0" applyNumberFormat="1" applyFont="1" applyFill="1"/>
    <xf numFmtId="0" fontId="26" fillId="0" borderId="0" xfId="0" applyFont="1" applyAlignment="1">
      <alignment horizontal="right"/>
    </xf>
    <xf numFmtId="164" fontId="20" fillId="2" borderId="2" xfId="1" applyFont="1" applyFill="1" applyBorder="1" applyAlignment="1">
      <alignment horizontal="left"/>
    </xf>
    <xf numFmtId="164" fontId="19" fillId="0" borderId="2" xfId="1" applyFont="1" applyFill="1" applyBorder="1" applyAlignment="1" applyProtection="1"/>
    <xf numFmtId="0" fontId="28" fillId="0" borderId="0" xfId="0" applyFont="1"/>
    <xf numFmtId="173" fontId="19" fillId="2" borderId="2" xfId="0" applyNumberFormat="1" applyFont="1" applyFill="1" applyBorder="1" applyAlignment="1">
      <alignment horizontal="center" wrapText="1"/>
    </xf>
    <xf numFmtId="49" fontId="19" fillId="2" borderId="2" xfId="0" applyNumberFormat="1" applyFont="1" applyFill="1" applyBorder="1"/>
    <xf numFmtId="49" fontId="19" fillId="2" borderId="2" xfId="0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49" fontId="19" fillId="2" borderId="2" xfId="0" applyNumberFormat="1" applyFont="1" applyFill="1" applyBorder="1" applyAlignment="1">
      <alignment vertical="top" wrapText="1"/>
    </xf>
    <xf numFmtId="173" fontId="19" fillId="2" borderId="2" xfId="0" applyNumberFormat="1" applyFont="1" applyFill="1" applyBorder="1" applyAlignment="1">
      <alignment horizontal="right" wrapText="1"/>
    </xf>
    <xf numFmtId="174" fontId="19" fillId="2" borderId="2" xfId="1" applyNumberFormat="1" applyFont="1" applyFill="1" applyBorder="1" applyAlignment="1">
      <alignment horizontal="center" wrapText="1"/>
    </xf>
    <xf numFmtId="164" fontId="19" fillId="2" borderId="2" xfId="1" applyFont="1" applyFill="1" applyBorder="1" applyAlignment="1">
      <alignment horizontal="left" vertical="top" wrapText="1"/>
    </xf>
    <xf numFmtId="0" fontId="19" fillId="2" borderId="2" xfId="0" applyFont="1" applyFill="1" applyBorder="1"/>
    <xf numFmtId="0" fontId="19" fillId="2" borderId="2" xfId="0" applyNumberFormat="1" applyFont="1" applyFill="1" applyBorder="1" applyAlignment="1">
      <alignment horizontal="right" wrapText="1"/>
    </xf>
    <xf numFmtId="2" fontId="19" fillId="2" borderId="2" xfId="0" applyNumberFormat="1" applyFont="1" applyFill="1" applyBorder="1"/>
    <xf numFmtId="2" fontId="19" fillId="2" borderId="2" xfId="0" applyNumberFormat="1" applyFont="1" applyFill="1" applyBorder="1" applyAlignment="1">
      <alignment wrapText="1"/>
    </xf>
    <xf numFmtId="2" fontId="19" fillId="2" borderId="2" xfId="463" applyNumberFormat="1" applyFont="1" applyFill="1" applyBorder="1" applyAlignment="1">
      <alignment wrapText="1"/>
    </xf>
    <xf numFmtId="0" fontId="33" fillId="0" borderId="0" xfId="0" applyFont="1"/>
    <xf numFmtId="0" fontId="34" fillId="0" borderId="1" xfId="0" applyFont="1" applyBorder="1" applyAlignment="1">
      <alignment horizontal="right"/>
    </xf>
    <xf numFmtId="0" fontId="32" fillId="0" borderId="0" xfId="0" applyFont="1" applyAlignment="1">
      <alignment horizontal="right"/>
    </xf>
    <xf numFmtId="0" fontId="35" fillId="0" borderId="1" xfId="0" applyFont="1" applyBorder="1" applyAlignment="1">
      <alignment horizontal="right"/>
    </xf>
    <xf numFmtId="171" fontId="28" fillId="0" borderId="0" xfId="200" applyNumberFormat="1" applyFont="1"/>
    <xf numFmtId="0" fontId="30" fillId="0" borderId="2" xfId="0" applyFont="1" applyBorder="1" applyAlignment="1">
      <alignment horizontal="right"/>
    </xf>
    <xf numFmtId="16" fontId="30" fillId="2" borderId="2" xfId="0" quotePrefix="1" applyNumberFormat="1" applyFont="1" applyFill="1" applyBorder="1" applyAlignment="1">
      <alignment horizontal="right"/>
    </xf>
    <xf numFmtId="164" fontId="31" fillId="2" borderId="2" xfId="1" applyFont="1" applyFill="1" applyBorder="1" applyAlignment="1">
      <alignment horizontal="right" vertical="top" wrapText="1"/>
    </xf>
    <xf numFmtId="164" fontId="31" fillId="2" borderId="2" xfId="1" applyFont="1" applyFill="1" applyBorder="1"/>
    <xf numFmtId="4" fontId="31" fillId="2" borderId="2" xfId="0" applyNumberFormat="1" applyFont="1" applyFill="1" applyBorder="1"/>
    <xf numFmtId="4" fontId="31" fillId="2" borderId="2" xfId="0" applyNumberFormat="1" applyFont="1" applyFill="1" applyBorder="1" applyAlignment="1">
      <alignment horizontal="right"/>
    </xf>
    <xf numFmtId="164" fontId="36" fillId="2" borderId="2" xfId="1" applyFont="1" applyFill="1" applyBorder="1"/>
    <xf numFmtId="43" fontId="28" fillId="0" borderId="0" xfId="200" applyFont="1"/>
    <xf numFmtId="4" fontId="36" fillId="2" borderId="2" xfId="0" applyNumberFormat="1" applyFont="1" applyFill="1" applyBorder="1"/>
    <xf numFmtId="4" fontId="36" fillId="2" borderId="2" xfId="0" applyNumberFormat="1" applyFont="1" applyFill="1" applyBorder="1" applyAlignment="1">
      <alignment horizontal="right"/>
    </xf>
    <xf numFmtId="172" fontId="37" fillId="2" borderId="2" xfId="0" applyNumberFormat="1" applyFont="1" applyFill="1" applyBorder="1"/>
    <xf numFmtId="0" fontId="38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4" fontId="38" fillId="2" borderId="1" xfId="0" applyNumberFormat="1" applyFont="1" applyFill="1" applyBorder="1" applyAlignment="1">
      <alignment horizontal="right"/>
    </xf>
    <xf numFmtId="4" fontId="38" fillId="2" borderId="0" xfId="0" applyNumberFormat="1" applyFont="1" applyFill="1" applyAlignment="1">
      <alignment horizontal="right"/>
    </xf>
    <xf numFmtId="49" fontId="20" fillId="2" borderId="2" xfId="0" applyNumberFormat="1" applyFont="1" applyFill="1" applyBorder="1" applyAlignment="1">
      <alignment horizontal="right"/>
    </xf>
    <xf numFmtId="49" fontId="7" fillId="5" borderId="2" xfId="0" applyNumberFormat="1" applyFont="1" applyFill="1" applyBorder="1" applyAlignment="1">
      <alignment horizontal="right"/>
    </xf>
    <xf numFmtId="173" fontId="19" fillId="2" borderId="2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39" fillId="2" borderId="2" xfId="0" applyFont="1" applyFill="1" applyBorder="1" applyAlignment="1">
      <alignment horizontal="center" wrapText="1"/>
    </xf>
    <xf numFmtId="2" fontId="39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173" fontId="20" fillId="2" borderId="2" xfId="0" applyNumberFormat="1" applyFont="1" applyFill="1" applyBorder="1" applyAlignment="1">
      <alignment horizontal="center" wrapText="1"/>
    </xf>
    <xf numFmtId="49" fontId="20" fillId="2" borderId="2" xfId="0" applyNumberFormat="1" applyFont="1" applyFill="1" applyBorder="1" applyAlignment="1">
      <alignment horizontal="center" wrapText="1"/>
    </xf>
    <xf numFmtId="172" fontId="39" fillId="2" borderId="2" xfId="0" applyNumberFormat="1" applyFont="1" applyFill="1" applyBorder="1" applyAlignment="1">
      <alignment horizontal="center" wrapText="1"/>
    </xf>
    <xf numFmtId="49" fontId="29" fillId="4" borderId="2" xfId="0" applyNumberFormat="1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173" fontId="20" fillId="2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40" fillId="0" borderId="0" xfId="0" applyFont="1"/>
    <xf numFmtId="0" fontId="30" fillId="0" borderId="0" xfId="0" applyFont="1" applyAlignment="1">
      <alignment horizontal="right"/>
    </xf>
    <xf numFmtId="16" fontId="30" fillId="2" borderId="0" xfId="0" quotePrefix="1" applyNumberFormat="1" applyFont="1" applyFill="1" applyAlignment="1">
      <alignment horizontal="right" wrapText="1"/>
    </xf>
    <xf numFmtId="0" fontId="31" fillId="0" borderId="0" xfId="0" applyFont="1"/>
    <xf numFmtId="0" fontId="30" fillId="0" borderId="0" xfId="0" applyFont="1" applyAlignment="1">
      <alignment horizontal="right" wrapText="1"/>
    </xf>
    <xf numFmtId="43" fontId="31" fillId="0" borderId="0" xfId="200" applyFont="1" applyBorder="1"/>
    <xf numFmtId="16" fontId="30" fillId="2" borderId="0" xfId="0" applyNumberFormat="1" applyFont="1" applyFill="1"/>
    <xf numFmtId="164" fontId="31" fillId="0" borderId="0" xfId="1" applyFont="1" applyBorder="1"/>
    <xf numFmtId="4" fontId="31" fillId="2" borderId="0" xfId="0" applyNumberFormat="1" applyFont="1" applyFill="1"/>
    <xf numFmtId="172" fontId="31" fillId="2" borderId="0" xfId="0" applyNumberFormat="1" applyFont="1" applyFill="1"/>
    <xf numFmtId="0" fontId="34" fillId="0" borderId="0" xfId="0" applyFont="1" applyAlignment="1">
      <alignment horizontal="right"/>
    </xf>
    <xf numFmtId="4" fontId="36" fillId="2" borderId="0" xfId="0" applyNumberFormat="1" applyFont="1" applyFill="1" applyAlignment="1">
      <alignment horizontal="right"/>
    </xf>
    <xf numFmtId="4" fontId="38" fillId="2" borderId="0" xfId="0" applyNumberFormat="1" applyFont="1" applyFill="1"/>
    <xf numFmtId="4" fontId="36" fillId="2" borderId="0" xfId="0" applyNumberFormat="1" applyFont="1" applyFill="1"/>
    <xf numFmtId="164" fontId="38" fillId="2" borderId="0" xfId="1" applyFont="1" applyFill="1" applyBorder="1" applyAlignment="1">
      <alignment horizontal="right" vertical="top" wrapText="1"/>
    </xf>
    <xf numFmtId="164" fontId="36" fillId="2" borderId="0" xfId="1" applyFont="1" applyFill="1" applyBorder="1" applyAlignment="1">
      <alignment horizontal="right" vertical="top" wrapText="1"/>
    </xf>
    <xf numFmtId="164" fontId="36" fillId="2" borderId="0" xfId="1" applyFont="1" applyFill="1" applyBorder="1"/>
  </cellXfs>
  <cellStyles count="464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5" xfId="10"/>
    <cellStyle name="20% - Accent1 6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3 3" xfId="17"/>
    <cellStyle name="20% - Accent2 4" xfId="18"/>
    <cellStyle name="20% - Accent2 4 2" xfId="19"/>
    <cellStyle name="20% - Accent2 5" xfId="20"/>
    <cellStyle name="20% - Accent2 6" xfId="21"/>
    <cellStyle name="20% - Accent3 2" xfId="22"/>
    <cellStyle name="20% - Accent3 2 2" xfId="23"/>
    <cellStyle name="20% - Accent3 2 3" xfId="24"/>
    <cellStyle name="20% - Accent3 3" xfId="25"/>
    <cellStyle name="20% - Accent3 3 2" xfId="26"/>
    <cellStyle name="20% - Accent3 3 3" xfId="27"/>
    <cellStyle name="20% - Accent3 4" xfId="28"/>
    <cellStyle name="20% - Accent3 4 2" xfId="29"/>
    <cellStyle name="20% - Accent3 5" xfId="30"/>
    <cellStyle name="20% - Accent3 6" xfId="31"/>
    <cellStyle name="20% - Accent4 2" xfId="32"/>
    <cellStyle name="20% - Accent4 2 2" xfId="33"/>
    <cellStyle name="20% - Accent4 2 3" xfId="34"/>
    <cellStyle name="20% - Accent4 3" xfId="35"/>
    <cellStyle name="20% - Accent4 3 2" xfId="36"/>
    <cellStyle name="20% - Accent4 3 3" xfId="37"/>
    <cellStyle name="20% - Accent4 4" xfId="38"/>
    <cellStyle name="20% - Accent4 4 2" xfId="39"/>
    <cellStyle name="20% - Accent4 5" xfId="40"/>
    <cellStyle name="20% - Accent4 6" xfId="41"/>
    <cellStyle name="20% - Accent5 2" xfId="42"/>
    <cellStyle name="20% - Accent5 2 2" xfId="43"/>
    <cellStyle name="20% - Accent5 2 3" xfId="44"/>
    <cellStyle name="20% - Accent5 3" xfId="45"/>
    <cellStyle name="20% - Accent5 3 2" xfId="46"/>
    <cellStyle name="20% - Accent5 3 3" xfId="47"/>
    <cellStyle name="20% - Accent5 4" xfId="48"/>
    <cellStyle name="20% - Accent5 4 2" xfId="49"/>
    <cellStyle name="20% - Accent5 5" xfId="50"/>
    <cellStyle name="20% - Accent5 6" xfId="51"/>
    <cellStyle name="20% - Accent6 2" xfId="52"/>
    <cellStyle name="20% - Accent6 2 2" xfId="53"/>
    <cellStyle name="20% - Accent6 2 3" xfId="54"/>
    <cellStyle name="20% - Accent6 3" xfId="55"/>
    <cellStyle name="20% - Accent6 3 2" xfId="56"/>
    <cellStyle name="20% - Accent6 3 3" xfId="57"/>
    <cellStyle name="20% - Accent6 4" xfId="58"/>
    <cellStyle name="20% - Accent6 4 2" xfId="59"/>
    <cellStyle name="20% - Accent6 5" xfId="60"/>
    <cellStyle name="20% - Accent6 6" xfId="61"/>
    <cellStyle name="40% - Accent1 2" xfId="62"/>
    <cellStyle name="40% - Accent1 2 2" xfId="63"/>
    <cellStyle name="40% - Accent1 2 3" xfId="64"/>
    <cellStyle name="40% - Accent1 3" xfId="65"/>
    <cellStyle name="40% - Accent1 3 2" xfId="66"/>
    <cellStyle name="40% - Accent1 3 3" xfId="67"/>
    <cellStyle name="40% - Accent1 4" xfId="68"/>
    <cellStyle name="40% - Accent1 4 2" xfId="69"/>
    <cellStyle name="40% - Accent1 5" xfId="70"/>
    <cellStyle name="40% - Accent1 6" xfId="71"/>
    <cellStyle name="40% - Accent2 2" xfId="72"/>
    <cellStyle name="40% - Accent2 2 2" xfId="73"/>
    <cellStyle name="40% - Accent2 2 3" xfId="74"/>
    <cellStyle name="40% - Accent2 3" xfId="75"/>
    <cellStyle name="40% - Accent2 3 2" xfId="76"/>
    <cellStyle name="40% - Accent2 3 3" xfId="77"/>
    <cellStyle name="40% - Accent2 4" xfId="78"/>
    <cellStyle name="40% - Accent2 4 2" xfId="79"/>
    <cellStyle name="40% - Accent2 5" xfId="80"/>
    <cellStyle name="40% - Accent2 6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3 3" xfId="87"/>
    <cellStyle name="40% - Accent3 4" xfId="88"/>
    <cellStyle name="40% - Accent3 4 2" xfId="89"/>
    <cellStyle name="40% - Accent3 5" xfId="90"/>
    <cellStyle name="40% - Accent3 6" xfId="91"/>
    <cellStyle name="40% - Accent4 2" xfId="92"/>
    <cellStyle name="40% - Accent4 2 2" xfId="93"/>
    <cellStyle name="40% - Accent4 2 3" xfId="94"/>
    <cellStyle name="40% - Accent4 3" xfId="95"/>
    <cellStyle name="40% - Accent4 3 2" xfId="96"/>
    <cellStyle name="40% - Accent4 3 3" xfId="97"/>
    <cellStyle name="40% - Accent4 4" xfId="98"/>
    <cellStyle name="40% - Accent4 4 2" xfId="99"/>
    <cellStyle name="40% - Accent4 5" xfId="100"/>
    <cellStyle name="40% - Accent4 6" xfId="101"/>
    <cellStyle name="40% - Accent5 2" xfId="102"/>
    <cellStyle name="40% - Accent5 2 2" xfId="103"/>
    <cellStyle name="40% - Accent5 2 3" xfId="104"/>
    <cellStyle name="40% - Accent5 3" xfId="105"/>
    <cellStyle name="40% - Accent5 3 2" xfId="106"/>
    <cellStyle name="40% - Accent5 3 3" xfId="107"/>
    <cellStyle name="40% - Accent5 4" xfId="108"/>
    <cellStyle name="40% - Accent5 4 2" xfId="109"/>
    <cellStyle name="40% - Accent5 5" xfId="110"/>
    <cellStyle name="40% - Accent5 6" xfId="111"/>
    <cellStyle name="40% - Accent6 2" xfId="112"/>
    <cellStyle name="40% - Accent6 2 2" xfId="113"/>
    <cellStyle name="40% - Accent6 2 3" xfId="114"/>
    <cellStyle name="40% - Accent6 3" xfId="115"/>
    <cellStyle name="40% - Accent6 3 2" xfId="116"/>
    <cellStyle name="40% - Accent6 3 3" xfId="117"/>
    <cellStyle name="40% - Accent6 4" xfId="118"/>
    <cellStyle name="40% - Accent6 4 2" xfId="119"/>
    <cellStyle name="40% - Accent6 5" xfId="120"/>
    <cellStyle name="40% - Accent6 6" xfId="121"/>
    <cellStyle name="60% - Accent1 2" xfId="122"/>
    <cellStyle name="60% - Accent1 2 2" xfId="123"/>
    <cellStyle name="60% - Accent1 2 3" xfId="124"/>
    <cellStyle name="60% - Accent1 3" xfId="125"/>
    <cellStyle name="60% - Accent1 3 2" xfId="126"/>
    <cellStyle name="60% - Accent1 3 3" xfId="127"/>
    <cellStyle name="60% - Accent1 4" xfId="128"/>
    <cellStyle name="60% - Accent1 4 2" xfId="129"/>
    <cellStyle name="60% - Accent1 5" xfId="130"/>
    <cellStyle name="60% - Accent1 6" xfId="131"/>
    <cellStyle name="60% - Accent2 2" xfId="132"/>
    <cellStyle name="60% - Accent2 2 2" xfId="133"/>
    <cellStyle name="60% - Accent2 2 3" xfId="134"/>
    <cellStyle name="60% - Accent2 3" xfId="135"/>
    <cellStyle name="60% - Accent2 3 2" xfId="136"/>
    <cellStyle name="60% - Accent2 3 3" xfId="137"/>
    <cellStyle name="60% - Accent2 4" xfId="138"/>
    <cellStyle name="60% - Accent2 4 2" xfId="139"/>
    <cellStyle name="60% - Accent2 5" xfId="140"/>
    <cellStyle name="60% - Accent2 6" xfId="141"/>
    <cellStyle name="60% - Accent3 2" xfId="142"/>
    <cellStyle name="60% - Accent3 2 2" xfId="143"/>
    <cellStyle name="60% - Accent3 2 3" xfId="144"/>
    <cellStyle name="60% - Accent3 3" xfId="145"/>
    <cellStyle name="60% - Accent3 3 2" xfId="146"/>
    <cellStyle name="60% - Accent3 3 3" xfId="147"/>
    <cellStyle name="60% - Accent3 4" xfId="148"/>
    <cellStyle name="60% - Accent3 4 2" xfId="149"/>
    <cellStyle name="60% - Accent3 5" xfId="150"/>
    <cellStyle name="60% - Accent3 6" xfId="151"/>
    <cellStyle name="60% - Accent4 2" xfId="152"/>
    <cellStyle name="60% - Accent4 2 2" xfId="153"/>
    <cellStyle name="60% - Accent4 2 3" xfId="154"/>
    <cellStyle name="60% - Accent4 3" xfId="155"/>
    <cellStyle name="60% - Accent4 3 2" xfId="156"/>
    <cellStyle name="60% - Accent4 3 3" xfId="157"/>
    <cellStyle name="60% - Accent4 4" xfId="158"/>
    <cellStyle name="60% - Accent4 4 2" xfId="159"/>
    <cellStyle name="60% - Accent4 5" xfId="160"/>
    <cellStyle name="60% - Accent4 6" xfId="161"/>
    <cellStyle name="60% - Accent5 2" xfId="162"/>
    <cellStyle name="60% - Accent5 2 2" xfId="163"/>
    <cellStyle name="60% - Accent5 2 3" xfId="164"/>
    <cellStyle name="60% - Accent5 3" xfId="165"/>
    <cellStyle name="60% - Accent5 3 2" xfId="166"/>
    <cellStyle name="60% - Accent5 3 3" xfId="167"/>
    <cellStyle name="60% - Accent5 4" xfId="168"/>
    <cellStyle name="60% - Accent5 4 2" xfId="169"/>
    <cellStyle name="60% - Accent5 5" xfId="170"/>
    <cellStyle name="60% - Accent5 6" xfId="171"/>
    <cellStyle name="60% - Accent6 2" xfId="172"/>
    <cellStyle name="60% - Accent6 2 2" xfId="173"/>
    <cellStyle name="60% - Accent6 2 3" xfId="174"/>
    <cellStyle name="60% - Accent6 3" xfId="175"/>
    <cellStyle name="60% - Accent6 3 2" xfId="176"/>
    <cellStyle name="60% - Accent6 3 3" xfId="177"/>
    <cellStyle name="60% - Accent6 4" xfId="178"/>
    <cellStyle name="60% - Accent6 4 2" xfId="179"/>
    <cellStyle name="60% - Accent6 5" xfId="180"/>
    <cellStyle name="60% - Accent6 6" xfId="181"/>
    <cellStyle name="Comma" xfId="1" builtinId="3"/>
    <cellStyle name="Comma 10" xfId="182"/>
    <cellStyle name="Comma 10 13" xfId="183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3" xfId="230"/>
    <cellStyle name="Comma 3 4" xfId="231"/>
    <cellStyle name="Comma 3 4 3" xfId="232"/>
    <cellStyle name="Comma 3 4 4" xfId="233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Neutral 2" xfId="243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63"/>
    <cellStyle name="Normal 8" xfId="413"/>
    <cellStyle name="Normal 8 2" xfId="414"/>
    <cellStyle name="Normal 8 3" xfId="415"/>
    <cellStyle name="Normal 9" xfId="416"/>
    <cellStyle name="Normal 9 2" xfId="417"/>
    <cellStyle name="Normal 9 3" xfId="418"/>
    <cellStyle name="Note 10" xfId="419"/>
    <cellStyle name="Note 10 2" xfId="420"/>
    <cellStyle name="Note 10 3" xfId="421"/>
    <cellStyle name="Note 11" xfId="422"/>
    <cellStyle name="Note 11 2" xfId="423"/>
    <cellStyle name="Note 11 3" xfId="424"/>
    <cellStyle name="Note 12" xfId="425"/>
    <cellStyle name="Note 12 2" xfId="426"/>
    <cellStyle name="Note 12 3" xfId="427"/>
    <cellStyle name="Note 13" xfId="428"/>
    <cellStyle name="Note 13 2" xfId="429"/>
    <cellStyle name="Note 14" xfId="430"/>
    <cellStyle name="Note 14 2" xfId="431"/>
    <cellStyle name="Note 2" xfId="432"/>
    <cellStyle name="Note 2 2" xfId="433"/>
    <cellStyle name="Note 2 3" xfId="434"/>
    <cellStyle name="Note 3" xfId="435"/>
    <cellStyle name="Note 3 2" xfId="436"/>
    <cellStyle name="Note 3 3" xfId="437"/>
    <cellStyle name="Note 4" xfId="438"/>
    <cellStyle name="Note 4 2" xfId="439"/>
    <cellStyle name="Note 4 3" xfId="440"/>
    <cellStyle name="Note 5" xfId="441"/>
    <cellStyle name="Note 5 2" xfId="442"/>
    <cellStyle name="Note 5 3" xfId="443"/>
    <cellStyle name="Note 6" xfId="444"/>
    <cellStyle name="Note 6 2" xfId="445"/>
    <cellStyle name="Note 6 3" xfId="446"/>
    <cellStyle name="Note 7" xfId="447"/>
    <cellStyle name="Note 7 2" xfId="448"/>
    <cellStyle name="Note 7 3" xfId="449"/>
    <cellStyle name="Note 8" xfId="450"/>
    <cellStyle name="Note 8 2" xfId="451"/>
    <cellStyle name="Note 8 3" xfId="452"/>
    <cellStyle name="Note 9" xfId="453"/>
    <cellStyle name="Note 9 2" xfId="454"/>
    <cellStyle name="Note 9 3" xfId="455"/>
    <cellStyle name="Percent 2" xfId="456"/>
    <cellStyle name="Percent 2 2" xfId="457"/>
    <cellStyle name="Percent 2 2 2" xfId="458"/>
    <cellStyle name="Percent 3" xfId="459"/>
    <cellStyle name="Percent 4" xfId="460"/>
    <cellStyle name="Title 2" xfId="461"/>
    <cellStyle name="Title 3" xfId="462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Jan 2025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36.033458642393697</c:v>
                </c:pt>
                <c:pt idx="1">
                  <c:v>1914.5786195926196</c:v>
                </c:pt>
                <c:pt idx="2">
                  <c:v>190.81975741566711</c:v>
                </c:pt>
                <c:pt idx="3">
                  <c:v>1724.1396101226467</c:v>
                </c:pt>
                <c:pt idx="4">
                  <c:v>100.81898307284</c:v>
                </c:pt>
                <c:pt idx="5">
                  <c:v>55.822649090856117</c:v>
                </c:pt>
                <c:pt idx="6">
                  <c:v>6.0992284225799995</c:v>
                </c:pt>
                <c:pt idx="7">
                  <c:v>54.473855704545414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6ED-89A2-2B50ABB45C22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Feb 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38.254232063824439</c:v>
                </c:pt>
                <c:pt idx="1">
                  <c:v>2137.5508517731296</c:v>
                </c:pt>
                <c:pt idx="2">
                  <c:v>191.04383083871033</c:v>
                </c:pt>
                <c:pt idx="3">
                  <c:v>1787.1244946161137</c:v>
                </c:pt>
                <c:pt idx="4">
                  <c:v>101.14279538354</c:v>
                </c:pt>
                <c:pt idx="5">
                  <c:v>57.960605376102954</c:v>
                </c:pt>
                <c:pt idx="6">
                  <c:v>6.7148611995100005</c:v>
                </c:pt>
                <c:pt idx="7">
                  <c:v>54.400136303729944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6-46ED-89A2-2B50ABB45C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430612036398778"/>
          <c:y val="0.16516634114243717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Feb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18-4D5B-93F2-F392B61358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18-4D5B-93F2-F392B61358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18-4D5B-93F2-F392B61358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18-4D5B-93F2-F392B61358B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C18-4D5B-93F2-F392B61358B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C18-4D5B-93F2-F392B61358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C18-4D5B-93F2-F392B61358B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C18-4D5B-93F2-F392B61358BF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18-4D5B-93F2-F392B61358BF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18-4D5B-93F2-F392B61358BF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18-4D5B-93F2-F392B61358BF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18-4D5B-93F2-F392B61358BF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18-4D5B-93F2-F392B61358BF}"/>
                </c:ext>
              </c:extLst>
            </c:dLbl>
            <c:dLbl>
              <c:idx val="5"/>
              <c:layout>
                <c:manualLayout>
                  <c:x val="0.16387243416296915"/>
                  <c:y val="-0.1429328983576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C18-4D5B-93F2-F392B61358BF}"/>
                </c:ext>
              </c:extLst>
            </c:dLbl>
            <c:dLbl>
              <c:idx val="6"/>
              <c:layout>
                <c:manualLayout>
                  <c:x val="4.1958195051844678E-2"/>
                  <c:y val="0.136559003230298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C18-4D5B-93F2-F392B61358BF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C18-4D5B-93F2-F392B61358BF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6714861199.5100002</c:v>
                </c:pt>
                <c:pt idx="1">
                  <c:v>38254232063.82444</c:v>
                </c:pt>
                <c:pt idx="2" formatCode="#,##0.00">
                  <c:v>54400136303.729942</c:v>
                </c:pt>
                <c:pt idx="3" formatCode="#,##0.00">
                  <c:v>57960605376.102951</c:v>
                </c:pt>
                <c:pt idx="4" formatCode="#,##0.00">
                  <c:v>101142795383.54001</c:v>
                </c:pt>
                <c:pt idx="5" formatCode="#,##0.00">
                  <c:v>191043830838.71033</c:v>
                </c:pt>
                <c:pt idx="6" formatCode="#,##0.00">
                  <c:v>1787124494616.1138</c:v>
                </c:pt>
                <c:pt idx="7" formatCode="#,##0.00">
                  <c:v>2137550851773.1294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18-4D5B-93F2-F392B61358B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50395</c:v>
                </c:pt>
                <c:pt idx="1">
                  <c:v>364342</c:v>
                </c:pt>
                <c:pt idx="2">
                  <c:v>44273</c:v>
                </c:pt>
                <c:pt idx="3">
                  <c:v>20239</c:v>
                </c:pt>
                <c:pt idx="4">
                  <c:v>217093</c:v>
                </c:pt>
                <c:pt idx="5">
                  <c:v>68249</c:v>
                </c:pt>
                <c:pt idx="6">
                  <c:v>13475</c:v>
                </c:pt>
                <c:pt idx="7">
                  <c:v>29553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D7C-AC55-08D88FE24A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83820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1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4" customWidth="1"/>
    <col min="2" max="2" width="44.6640625" style="17" customWidth="1"/>
    <col min="3" max="3" width="43.88671875" style="17" customWidth="1"/>
    <col min="4" max="4" width="21.5546875" style="4" customWidth="1"/>
    <col min="5" max="6" width="19.33203125" style="4" customWidth="1"/>
    <col min="7" max="7" width="19.6640625" style="4" customWidth="1"/>
    <col min="8" max="8" width="20" style="4" customWidth="1"/>
    <col min="9" max="9" width="22" style="4" customWidth="1"/>
    <col min="10" max="10" width="9" style="4"/>
    <col min="11" max="11" width="24.5546875" style="4" customWidth="1"/>
    <col min="12" max="12" width="9" style="4"/>
    <col min="13" max="13" width="11.5546875" style="4" customWidth="1"/>
    <col min="14" max="14" width="12.109375" style="4" customWidth="1"/>
    <col min="15" max="15" width="12.5546875" style="4" customWidth="1"/>
    <col min="16" max="16" width="12.33203125" style="4" customWidth="1"/>
    <col min="17" max="17" width="12.6640625" style="4" customWidth="1"/>
    <col min="18" max="18" width="14.44140625" style="4" customWidth="1"/>
    <col min="19" max="19" width="13.33203125" style="4" customWidth="1"/>
    <col min="20" max="20" width="16.44140625" style="4" customWidth="1"/>
    <col min="21" max="22" width="20.109375" style="4" customWidth="1"/>
    <col min="23" max="16384" width="9" style="4"/>
  </cols>
  <sheetData>
    <row r="1" spans="1:23" ht="39.9" customHeight="1">
      <c r="A1" s="109" t="s">
        <v>266</v>
      </c>
      <c r="B1" s="109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5"/>
    </row>
    <row r="2" spans="1:23" ht="48" customHeight="1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40" t="s">
        <v>7</v>
      </c>
      <c r="I2" s="36" t="s">
        <v>267</v>
      </c>
      <c r="J2" s="36" t="s">
        <v>8</v>
      </c>
      <c r="K2" s="36" t="s">
        <v>9</v>
      </c>
      <c r="L2" s="36" t="s">
        <v>8</v>
      </c>
      <c r="M2" s="36" t="s">
        <v>10</v>
      </c>
      <c r="N2" s="36" t="s">
        <v>11</v>
      </c>
      <c r="O2" s="36" t="s">
        <v>12</v>
      </c>
      <c r="P2" s="36" t="s">
        <v>13</v>
      </c>
      <c r="Q2" s="36" t="s">
        <v>14</v>
      </c>
      <c r="R2" s="36" t="s">
        <v>15</v>
      </c>
      <c r="S2" s="36" t="s">
        <v>16</v>
      </c>
      <c r="T2" s="36" t="s">
        <v>17</v>
      </c>
      <c r="U2" s="36" t="s">
        <v>18</v>
      </c>
      <c r="V2" s="36" t="s">
        <v>19</v>
      </c>
    </row>
    <row r="3" spans="1:23" ht="6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</row>
    <row r="4" spans="1:23" ht="16.5" customHeight="1">
      <c r="A4" s="102" t="s">
        <v>20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3" ht="15" customHeight="1">
      <c r="A5" s="65">
        <v>1</v>
      </c>
      <c r="B5" s="22" t="s">
        <v>21</v>
      </c>
      <c r="C5" s="22" t="s">
        <v>22</v>
      </c>
      <c r="D5" s="11">
        <v>1568724086.4400001</v>
      </c>
      <c r="E5" s="11">
        <v>5406614.2199999997</v>
      </c>
      <c r="F5" s="11">
        <v>544697352.13</v>
      </c>
      <c r="G5" s="11">
        <v>2689362.97</v>
      </c>
      <c r="H5" s="13">
        <f>(E5+F5)-G5</f>
        <v>547414603.38</v>
      </c>
      <c r="I5" s="35">
        <v>1463650968.8199999</v>
      </c>
      <c r="J5" s="14">
        <f t="shared" ref="J5:J23" si="0">(I5/$I$24)</f>
        <v>4.0619219579937881E-2</v>
      </c>
      <c r="K5" s="35">
        <v>1612952858.3399999</v>
      </c>
      <c r="L5" s="14">
        <f>(K5/$K$24)</f>
        <v>4.2164037057361492E-2</v>
      </c>
      <c r="M5" s="14">
        <f t="shared" ref="M5:M24" si="1">((K5-I5)/I5)</f>
        <v>0.10200648426473399</v>
      </c>
      <c r="N5" s="24">
        <f t="shared" ref="N5" si="2">(G5/K5)</f>
        <v>1.6673537333061349E-3</v>
      </c>
      <c r="O5" s="25">
        <f t="shared" ref="O5" si="3">H5/K5</f>
        <v>0.33938661043285656</v>
      </c>
      <c r="P5" s="26">
        <f t="shared" ref="P5" si="4">K5/V5</f>
        <v>424.94689888031621</v>
      </c>
      <c r="Q5" s="26">
        <f t="shared" ref="Q5" si="5">H5/V5</f>
        <v>144.22128762494435</v>
      </c>
      <c r="R5" s="11">
        <v>424.94690000000003</v>
      </c>
      <c r="S5" s="11">
        <v>427.26209999999998</v>
      </c>
      <c r="T5" s="11">
        <v>1695</v>
      </c>
      <c r="U5" s="11">
        <v>3534564.42</v>
      </c>
      <c r="V5" s="11">
        <v>3795657.44</v>
      </c>
    </row>
    <row r="6" spans="1:23">
      <c r="A6" s="65">
        <v>2</v>
      </c>
      <c r="B6" s="22" t="s">
        <v>23</v>
      </c>
      <c r="C6" s="22" t="s">
        <v>24</v>
      </c>
      <c r="D6" s="11">
        <v>662594454.94000006</v>
      </c>
      <c r="E6" s="11">
        <v>2048732.04</v>
      </c>
      <c r="F6" s="11">
        <v>0</v>
      </c>
      <c r="G6" s="11">
        <v>848775.68000000005</v>
      </c>
      <c r="H6" s="13">
        <f t="shared" ref="H6:H23" si="6">(E6+F6)-G6</f>
        <v>1199956.3599999999</v>
      </c>
      <c r="I6" s="35">
        <v>646093877.62</v>
      </c>
      <c r="J6" s="14">
        <f t="shared" si="0"/>
        <v>1.7930387533209607E-2</v>
      </c>
      <c r="K6" s="35">
        <v>670108103.57000005</v>
      </c>
      <c r="L6" s="14">
        <f t="shared" ref="L6:L23" si="7">(K6/$K$24)</f>
        <v>1.7517227961914718E-2</v>
      </c>
      <c r="M6" s="14">
        <f t="shared" ref="M6:M23" si="8">((K6-I6)/I6)</f>
        <v>3.7168323028320058E-2</v>
      </c>
      <c r="N6" s="24">
        <f t="shared" ref="N6:N23" si="9">(G6/K6)</f>
        <v>1.2666250049479311E-3</v>
      </c>
      <c r="O6" s="25">
        <f t="shared" ref="O6:O23" si="10">H6/K6</f>
        <v>1.7906907163295503E-3</v>
      </c>
      <c r="P6" s="26">
        <f t="shared" ref="P6:P23" si="11">K6/V6</f>
        <v>281.60941687896593</v>
      </c>
      <c r="Q6" s="26">
        <f t="shared" ref="Q6:Q23" si="12">H6/V6</f>
        <v>0.5042753684361424</v>
      </c>
      <c r="R6" s="11">
        <v>279.92</v>
      </c>
      <c r="S6" s="11">
        <v>283.27999999999997</v>
      </c>
      <c r="T6" s="11">
        <v>353</v>
      </c>
      <c r="U6" s="11">
        <v>2395227.14</v>
      </c>
      <c r="V6" s="11">
        <v>2379565.6800000002</v>
      </c>
    </row>
    <row r="7" spans="1:23">
      <c r="A7" s="65">
        <v>3</v>
      </c>
      <c r="B7" s="22" t="s">
        <v>25</v>
      </c>
      <c r="C7" s="66" t="s">
        <v>26</v>
      </c>
      <c r="D7" s="11">
        <v>3819908629.6700001</v>
      </c>
      <c r="E7" s="11">
        <v>-7530416.3200000003</v>
      </c>
      <c r="F7" s="11">
        <v>143756994.31</v>
      </c>
      <c r="G7" s="11">
        <v>12175797.109999999</v>
      </c>
      <c r="H7" s="13">
        <f t="shared" si="6"/>
        <v>124050780.88000001</v>
      </c>
      <c r="I7" s="35">
        <v>3914744532</v>
      </c>
      <c r="J7" s="14">
        <f t="shared" si="0"/>
        <v>0.10864193112437635</v>
      </c>
      <c r="K7" s="35">
        <v>4045843175</v>
      </c>
      <c r="L7" s="14">
        <f t="shared" si="7"/>
        <v>0.10576197604097244</v>
      </c>
      <c r="M7" s="14">
        <f t="shared" si="8"/>
        <v>3.3488428664596191E-2</v>
      </c>
      <c r="N7" s="24">
        <f t="shared" si="9"/>
        <v>3.0094584943965354E-3</v>
      </c>
      <c r="O7" s="25">
        <f t="shared" si="10"/>
        <v>3.0661292470882787E-2</v>
      </c>
      <c r="P7" s="26">
        <f t="shared" si="11"/>
        <v>37.303106003180162</v>
      </c>
      <c r="Q7" s="26">
        <f t="shared" si="12"/>
        <v>1.1437614432358505</v>
      </c>
      <c r="R7" s="11">
        <v>37.116599999999998</v>
      </c>
      <c r="S7" s="11">
        <v>38.235700000000001</v>
      </c>
      <c r="T7" s="11">
        <v>6638</v>
      </c>
      <c r="U7" s="11">
        <v>108649950</v>
      </c>
      <c r="V7" s="11">
        <v>108458614</v>
      </c>
    </row>
    <row r="8" spans="1:23">
      <c r="A8" s="65">
        <v>4</v>
      </c>
      <c r="B8" s="67" t="s">
        <v>27</v>
      </c>
      <c r="C8" s="67" t="s">
        <v>28</v>
      </c>
      <c r="D8" s="11">
        <v>493740705.41000003</v>
      </c>
      <c r="E8" s="11">
        <v>3421297.33</v>
      </c>
      <c r="F8" s="11">
        <v>0</v>
      </c>
      <c r="G8" s="11">
        <v>1237045.6000000001</v>
      </c>
      <c r="H8" s="13">
        <f t="shared" si="6"/>
        <v>2184251.73</v>
      </c>
      <c r="I8" s="35">
        <v>587995085.10000002</v>
      </c>
      <c r="J8" s="14">
        <f t="shared" si="0"/>
        <v>1.6318030720709621E-2</v>
      </c>
      <c r="K8" s="35">
        <v>594587216.54999995</v>
      </c>
      <c r="L8" s="14">
        <f t="shared" si="7"/>
        <v>1.554304411490927E-2</v>
      </c>
      <c r="M8" s="14">
        <f t="shared" si="8"/>
        <v>1.1211201618936675E-2</v>
      </c>
      <c r="N8" s="24">
        <f t="shared" si="9"/>
        <v>2.0805115979078146E-3</v>
      </c>
      <c r="O8" s="25">
        <f t="shared" si="10"/>
        <v>3.673559856657837E-3</v>
      </c>
      <c r="P8" s="26">
        <f t="shared" si="11"/>
        <v>228.0162540774169</v>
      </c>
      <c r="Q8" s="26">
        <f t="shared" si="12"/>
        <v>0.83763135764429253</v>
      </c>
      <c r="R8" s="11">
        <v>228.0163</v>
      </c>
      <c r="S8" s="11">
        <v>228.0163</v>
      </c>
      <c r="T8" s="11">
        <v>1933</v>
      </c>
      <c r="U8" s="11">
        <v>2627329.29</v>
      </c>
      <c r="V8" s="11">
        <v>2607652.77</v>
      </c>
    </row>
    <row r="9" spans="1:23">
      <c r="A9" s="65">
        <v>5</v>
      </c>
      <c r="B9" s="22" t="s">
        <v>212</v>
      </c>
      <c r="C9" s="66" t="s">
        <v>105</v>
      </c>
      <c r="D9" s="11">
        <v>1030672895.78</v>
      </c>
      <c r="E9" s="11">
        <v>2811721.79</v>
      </c>
      <c r="F9" s="11">
        <v>45947522.159999996</v>
      </c>
      <c r="G9" s="11">
        <v>1588878.43</v>
      </c>
      <c r="H9" s="13">
        <f t="shared" si="6"/>
        <v>47170365.519999996</v>
      </c>
      <c r="I9" s="35">
        <v>1007823030.88</v>
      </c>
      <c r="J9" s="14">
        <f t="shared" si="0"/>
        <v>2.796908953098071E-2</v>
      </c>
      <c r="K9" s="35">
        <v>1023347637.88</v>
      </c>
      <c r="L9" s="14">
        <f t="shared" si="7"/>
        <v>2.6751226796884013E-2</v>
      </c>
      <c r="M9" s="14">
        <f t="shared" si="8"/>
        <v>1.540410024808065E-2</v>
      </c>
      <c r="N9" s="24">
        <f t="shared" si="9"/>
        <v>1.5526282283619395E-3</v>
      </c>
      <c r="O9" s="25">
        <f t="shared" si="10"/>
        <v>4.609417540428358E-2</v>
      </c>
      <c r="P9" s="26">
        <f t="shared" si="11"/>
        <v>1.3638094135214418</v>
      </c>
      <c r="Q9" s="26">
        <f t="shared" si="12"/>
        <v>6.286367032487046E-2</v>
      </c>
      <c r="R9" s="11">
        <v>1.3543000000000001</v>
      </c>
      <c r="S9" s="11">
        <v>1.3543000000000001</v>
      </c>
      <c r="T9" s="11">
        <v>501</v>
      </c>
      <c r="U9" s="11">
        <f>V9+29766979.33</f>
        <v>780126690.69000006</v>
      </c>
      <c r="V9" s="11">
        <v>750359711.36000001</v>
      </c>
    </row>
    <row r="10" spans="1:23">
      <c r="A10" s="65">
        <v>6</v>
      </c>
      <c r="B10" s="68" t="s">
        <v>211</v>
      </c>
      <c r="C10" s="69" t="s">
        <v>48</v>
      </c>
      <c r="D10" s="11">
        <v>99502810.189999998</v>
      </c>
      <c r="E10" s="11">
        <v>200332.28</v>
      </c>
      <c r="F10" s="20">
        <v>0</v>
      </c>
      <c r="G10" s="11">
        <v>7582.01</v>
      </c>
      <c r="H10" s="13">
        <f t="shared" si="6"/>
        <v>192750.27</v>
      </c>
      <c r="I10" s="35">
        <v>97327932.239999995</v>
      </c>
      <c r="J10" s="14">
        <f t="shared" si="0"/>
        <v>2.7010433054986504E-3</v>
      </c>
      <c r="K10" s="20">
        <v>101093677.8</v>
      </c>
      <c r="L10" s="14">
        <f t="shared" si="7"/>
        <v>2.6426795767676751E-3</v>
      </c>
      <c r="M10" s="14">
        <f t="shared" si="8"/>
        <v>3.8691313719828008E-2</v>
      </c>
      <c r="N10" s="24">
        <f t="shared" si="9"/>
        <v>7.4999843363102978E-5</v>
      </c>
      <c r="O10" s="25">
        <f t="shared" si="10"/>
        <v>1.9066500912285535E-3</v>
      </c>
      <c r="P10" s="26">
        <f t="shared" si="11"/>
        <v>182.84660923127453</v>
      </c>
      <c r="Q10" s="26">
        <f t="shared" si="12"/>
        <v>0.34862450417164126</v>
      </c>
      <c r="R10" s="11">
        <v>182.5703</v>
      </c>
      <c r="S10" s="11">
        <v>183.51439999999999</v>
      </c>
      <c r="T10" s="11">
        <v>103</v>
      </c>
      <c r="U10" s="11">
        <v>552251.01</v>
      </c>
      <c r="V10" s="11">
        <v>552887.9</v>
      </c>
    </row>
    <row r="11" spans="1:23">
      <c r="A11" s="65">
        <v>7</v>
      </c>
      <c r="B11" s="22" t="s">
        <v>29</v>
      </c>
      <c r="C11" s="22" t="s">
        <v>30</v>
      </c>
      <c r="D11" s="11">
        <v>1615498071.98</v>
      </c>
      <c r="E11" s="11">
        <v>4993832.3</v>
      </c>
      <c r="F11" s="11">
        <v>51000453.960000001</v>
      </c>
      <c r="G11" s="11">
        <v>2181451.73</v>
      </c>
      <c r="H11" s="13">
        <f t="shared" si="6"/>
        <v>53812834.530000001</v>
      </c>
      <c r="I11" s="35">
        <v>1252733355.3499999</v>
      </c>
      <c r="J11" s="14">
        <f t="shared" si="0"/>
        <v>3.4765837156585003E-2</v>
      </c>
      <c r="K11" s="35">
        <v>1514612124.4100001</v>
      </c>
      <c r="L11" s="14">
        <f t="shared" si="7"/>
        <v>3.9593321907050137E-2</v>
      </c>
      <c r="M11" s="14">
        <f t="shared" si="8"/>
        <v>0.20904589786933081</v>
      </c>
      <c r="N11" s="24">
        <f t="shared" si="9"/>
        <v>1.4402708751917325E-3</v>
      </c>
      <c r="O11" s="25">
        <f t="shared" si="10"/>
        <v>3.5529119081205152E-2</v>
      </c>
      <c r="P11" s="26">
        <f t="shared" si="11"/>
        <v>360.8362023568281</v>
      </c>
      <c r="Q11" s="26">
        <f t="shared" si="12"/>
        <v>12.820192402345583</v>
      </c>
      <c r="R11" s="11">
        <v>360.84</v>
      </c>
      <c r="S11" s="11">
        <v>365.17</v>
      </c>
      <c r="T11" s="11">
        <v>1670</v>
      </c>
      <c r="U11" s="11">
        <v>3648368</v>
      </c>
      <c r="V11" s="11">
        <v>4197506</v>
      </c>
    </row>
    <row r="12" spans="1:23">
      <c r="A12" s="65">
        <v>8</v>
      </c>
      <c r="B12" s="22" t="s">
        <v>31</v>
      </c>
      <c r="C12" s="66" t="s">
        <v>32</v>
      </c>
      <c r="D12" s="11">
        <v>454617682.13</v>
      </c>
      <c r="E12" s="11">
        <v>2795772.54</v>
      </c>
      <c r="F12" s="11">
        <v>57714809.280000001</v>
      </c>
      <c r="G12" s="11">
        <v>1519726.68</v>
      </c>
      <c r="H12" s="13">
        <f t="shared" si="6"/>
        <v>58990855.140000001</v>
      </c>
      <c r="I12" s="35">
        <v>448676262.56</v>
      </c>
      <c r="J12" s="14">
        <f t="shared" si="0"/>
        <v>1.2451656861829195E-2</v>
      </c>
      <c r="K12" s="35">
        <v>442079418.01999998</v>
      </c>
      <c r="L12" s="14">
        <f t="shared" si="7"/>
        <v>1.1556353223413874E-2</v>
      </c>
      <c r="M12" s="14">
        <f t="shared" si="8"/>
        <v>-1.4702905168997762E-2</v>
      </c>
      <c r="N12" s="24">
        <f t="shared" si="9"/>
        <v>3.4376779783293291E-3</v>
      </c>
      <c r="O12" s="25">
        <f t="shared" si="10"/>
        <v>0.13343949692163956</v>
      </c>
      <c r="P12" s="26">
        <f t="shared" si="11"/>
        <v>221.50853181759192</v>
      </c>
      <c r="Q12" s="26">
        <f t="shared" si="12"/>
        <v>29.557987049590459</v>
      </c>
      <c r="R12" s="11">
        <v>221.51</v>
      </c>
      <c r="S12" s="11">
        <v>231.31</v>
      </c>
      <c r="T12" s="11">
        <v>2472</v>
      </c>
      <c r="U12" s="11">
        <v>1994767</v>
      </c>
      <c r="V12" s="11">
        <v>1995767</v>
      </c>
    </row>
    <row r="13" spans="1:23">
      <c r="A13" s="65">
        <v>9</v>
      </c>
      <c r="B13" s="22" t="s">
        <v>33</v>
      </c>
      <c r="C13" s="22" t="s">
        <v>34</v>
      </c>
      <c r="D13" s="11">
        <v>67399226.549999997</v>
      </c>
      <c r="E13" s="11">
        <v>2798903.92</v>
      </c>
      <c r="F13" s="11">
        <v>12333015.039999999</v>
      </c>
      <c r="G13" s="11">
        <v>1590360.12</v>
      </c>
      <c r="H13" s="13">
        <f t="shared" si="6"/>
        <v>13541558.84</v>
      </c>
      <c r="I13" s="35">
        <v>65522955.509999998</v>
      </c>
      <c r="J13" s="14">
        <f t="shared" si="0"/>
        <v>1.8183920716650728E-3</v>
      </c>
      <c r="K13" s="35">
        <v>66540915.299999997</v>
      </c>
      <c r="L13" s="14">
        <f t="shared" si="7"/>
        <v>1.7394393171710062E-3</v>
      </c>
      <c r="M13" s="14">
        <f t="shared" si="8"/>
        <v>1.5535926028926455E-2</v>
      </c>
      <c r="N13" s="24">
        <f t="shared" si="9"/>
        <v>2.3900484578997069E-2</v>
      </c>
      <c r="O13" s="25">
        <f t="shared" si="10"/>
        <v>0.20350725232659972</v>
      </c>
      <c r="P13" s="26">
        <f t="shared" si="11"/>
        <v>240.24192288809709</v>
      </c>
      <c r="Q13" s="26">
        <f t="shared" si="12"/>
        <v>48.89097362061549</v>
      </c>
      <c r="R13" s="11">
        <v>236.15</v>
      </c>
      <c r="S13" s="11">
        <v>243.73</v>
      </c>
      <c r="T13" s="11">
        <v>16</v>
      </c>
      <c r="U13" s="11">
        <v>276954</v>
      </c>
      <c r="V13" s="11">
        <v>276974.62</v>
      </c>
      <c r="W13" s="6"/>
    </row>
    <row r="14" spans="1:23">
      <c r="A14" s="65">
        <v>10</v>
      </c>
      <c r="B14" s="66" t="s">
        <v>35</v>
      </c>
      <c r="C14" s="66" t="s">
        <v>36</v>
      </c>
      <c r="D14" s="11">
        <v>754354991.87</v>
      </c>
      <c r="E14" s="11">
        <v>2415729.58</v>
      </c>
      <c r="F14" s="11">
        <v>59997783.18</v>
      </c>
      <c r="G14" s="11">
        <v>1331213.53</v>
      </c>
      <c r="H14" s="13">
        <f t="shared" si="6"/>
        <v>61082299.229999997</v>
      </c>
      <c r="I14" s="35">
        <v>673328137.37</v>
      </c>
      <c r="J14" s="14">
        <f t="shared" si="0"/>
        <v>1.868619229844962E-2</v>
      </c>
      <c r="K14" s="35">
        <v>750708793.75999999</v>
      </c>
      <c r="L14" s="14">
        <f t="shared" si="7"/>
        <v>1.962420242830901E-2</v>
      </c>
      <c r="M14" s="14">
        <f t="shared" si="8"/>
        <v>0.11492265374835896</v>
      </c>
      <c r="N14" s="24">
        <f t="shared" si="9"/>
        <v>1.7732755244979669E-3</v>
      </c>
      <c r="O14" s="25">
        <f t="shared" si="10"/>
        <v>8.1366169862035584E-2</v>
      </c>
      <c r="P14" s="26">
        <f t="shared" si="11"/>
        <v>2.5464696955410209</v>
      </c>
      <c r="Q14" s="26">
        <f t="shared" si="12"/>
        <v>0.20719648579591673</v>
      </c>
      <c r="R14" s="11">
        <v>2.5</v>
      </c>
      <c r="S14" s="11">
        <v>2.57</v>
      </c>
      <c r="T14" s="11">
        <v>475</v>
      </c>
      <c r="U14" s="11">
        <v>289663684.16000003</v>
      </c>
      <c r="V14" s="11">
        <v>294803741.45999998</v>
      </c>
    </row>
    <row r="15" spans="1:23">
      <c r="A15" s="65">
        <v>11</v>
      </c>
      <c r="B15" s="68" t="s">
        <v>256</v>
      </c>
      <c r="C15" s="69" t="s">
        <v>257</v>
      </c>
      <c r="D15" s="11">
        <v>7395617.5999999996</v>
      </c>
      <c r="E15" s="11">
        <v>1117324.18</v>
      </c>
      <c r="F15" s="11">
        <v>1046498.21</v>
      </c>
      <c r="G15" s="11">
        <v>119275.76</v>
      </c>
      <c r="H15" s="13">
        <f t="shared" si="6"/>
        <v>2044546.6299999997</v>
      </c>
      <c r="I15" s="35">
        <v>17245241.129999999</v>
      </c>
      <c r="J15" s="14">
        <f t="shared" si="0"/>
        <v>4.7858967137034167E-4</v>
      </c>
      <c r="K15" s="35">
        <v>18553579.690000001</v>
      </c>
      <c r="L15" s="14">
        <f t="shared" si="7"/>
        <v>4.8500724466366717E-4</v>
      </c>
      <c r="M15" s="14">
        <f t="shared" si="8"/>
        <v>7.5866643448899249E-2</v>
      </c>
      <c r="N15" s="24">
        <f t="shared" si="9"/>
        <v>6.4287195243668896E-3</v>
      </c>
      <c r="O15" s="25">
        <f t="shared" si="10"/>
        <v>0.11019688190424883</v>
      </c>
      <c r="P15" s="26">
        <f t="shared" si="11"/>
        <v>15.6631094686545</v>
      </c>
      <c r="Q15" s="26">
        <f t="shared" si="12"/>
        <v>1.7260258243706414</v>
      </c>
      <c r="R15" s="11">
        <v>15.6631</v>
      </c>
      <c r="S15" s="11">
        <v>16.567499999999999</v>
      </c>
      <c r="T15" s="11">
        <v>30</v>
      </c>
      <c r="U15" s="20">
        <v>1211920</v>
      </c>
      <c r="V15" s="20">
        <v>1184540</v>
      </c>
    </row>
    <row r="16" spans="1:23">
      <c r="A16" s="65">
        <v>12</v>
      </c>
      <c r="B16" s="22" t="s">
        <v>37</v>
      </c>
      <c r="C16" s="66" t="s">
        <v>38</v>
      </c>
      <c r="D16" s="11">
        <v>1919177988.6500001</v>
      </c>
      <c r="E16" s="11">
        <v>5174480.38</v>
      </c>
      <c r="F16" s="11">
        <v>0</v>
      </c>
      <c r="G16" s="11">
        <v>3173651.86</v>
      </c>
      <c r="H16" s="13">
        <f t="shared" si="6"/>
        <v>2000828.52</v>
      </c>
      <c r="I16" s="35">
        <v>1835549940.9000001</v>
      </c>
      <c r="J16" s="14">
        <f t="shared" si="0"/>
        <v>5.0940154235998278E-2</v>
      </c>
      <c r="K16" s="35">
        <v>1907660889.5999999</v>
      </c>
      <c r="L16" s="14">
        <f t="shared" si="7"/>
        <v>4.9867969808339234E-2</v>
      </c>
      <c r="M16" s="14">
        <f t="shared" si="8"/>
        <v>3.9285745973570534E-2</v>
      </c>
      <c r="N16" s="24">
        <f t="shared" si="9"/>
        <v>1.6636352285156165E-3</v>
      </c>
      <c r="O16" s="25">
        <f t="shared" si="10"/>
        <v>1.0488386751062112E-3</v>
      </c>
      <c r="P16" s="26">
        <f t="shared" si="11"/>
        <v>3.9413440398384849</v>
      </c>
      <c r="Q16" s="26">
        <f t="shared" si="12"/>
        <v>4.1338340608819586E-3</v>
      </c>
      <c r="R16" s="11">
        <v>3.89</v>
      </c>
      <c r="S16" s="11">
        <v>3.97</v>
      </c>
      <c r="T16" s="11">
        <v>3650</v>
      </c>
      <c r="U16" s="11">
        <v>484641641</v>
      </c>
      <c r="V16" s="11">
        <v>484012781</v>
      </c>
    </row>
    <row r="17" spans="1:23">
      <c r="A17" s="65">
        <v>13</v>
      </c>
      <c r="B17" s="22" t="s">
        <v>39</v>
      </c>
      <c r="C17" s="22" t="s">
        <v>40</v>
      </c>
      <c r="D17" s="11">
        <v>1028636444.09</v>
      </c>
      <c r="E17" s="11">
        <v>6154202.0499999998</v>
      </c>
      <c r="F17" s="11">
        <v>18357816.550000001</v>
      </c>
      <c r="G17" s="11">
        <v>1328858.26</v>
      </c>
      <c r="H17" s="13">
        <f t="shared" si="6"/>
        <v>23183160.34</v>
      </c>
      <c r="I17" s="35">
        <v>942968890.19000006</v>
      </c>
      <c r="J17" s="14">
        <f t="shared" si="0"/>
        <v>2.6169258398098603E-2</v>
      </c>
      <c r="K17" s="35">
        <v>1035665620.75</v>
      </c>
      <c r="L17" s="14">
        <f t="shared" si="7"/>
        <v>2.7073229937593996E-2</v>
      </c>
      <c r="M17" s="14">
        <f t="shared" si="8"/>
        <v>9.8303063361212639E-2</v>
      </c>
      <c r="N17" s="24">
        <f t="shared" si="9"/>
        <v>1.2830958500270368E-3</v>
      </c>
      <c r="O17" s="25">
        <f t="shared" si="10"/>
        <v>2.2384792809103198E-2</v>
      </c>
      <c r="P17" s="26">
        <f t="shared" si="11"/>
        <v>26.482060270350001</v>
      </c>
      <c r="Q17" s="26">
        <f t="shared" si="12"/>
        <v>0.59279543230996823</v>
      </c>
      <c r="R17" s="11">
        <v>26.5</v>
      </c>
      <c r="S17" s="11">
        <v>26.62</v>
      </c>
      <c r="T17" s="11">
        <v>462</v>
      </c>
      <c r="U17" s="11">
        <v>36702475.939999998</v>
      </c>
      <c r="V17" s="11">
        <v>39108196.649999999</v>
      </c>
    </row>
    <row r="18" spans="1:23">
      <c r="A18" s="65">
        <v>14</v>
      </c>
      <c r="B18" s="67" t="s">
        <v>41</v>
      </c>
      <c r="C18" s="67" t="s">
        <v>42</v>
      </c>
      <c r="D18" s="11">
        <v>127455752.90000001</v>
      </c>
      <c r="E18" s="11">
        <v>1893666.46</v>
      </c>
      <c r="F18" s="11">
        <v>61543334.729999997</v>
      </c>
      <c r="G18" s="11">
        <v>233210.01</v>
      </c>
      <c r="H18" s="13">
        <f t="shared" si="6"/>
        <v>63203791.18</v>
      </c>
      <c r="I18" s="35">
        <v>134323251.96000001</v>
      </c>
      <c r="J18" s="14">
        <f t="shared" si="0"/>
        <v>3.727736859596582E-3</v>
      </c>
      <c r="K18" s="35">
        <v>129480225.19</v>
      </c>
      <c r="L18" s="14">
        <f t="shared" si="7"/>
        <v>3.3847294326539226E-3</v>
      </c>
      <c r="M18" s="14">
        <f t="shared" si="8"/>
        <v>-3.6055014298211084E-2</v>
      </c>
      <c r="N18" s="24">
        <f t="shared" si="9"/>
        <v>1.8011245320108638E-3</v>
      </c>
      <c r="O18" s="25">
        <f t="shared" si="10"/>
        <v>0.48813470232426925</v>
      </c>
      <c r="P18" s="26">
        <f t="shared" si="11"/>
        <v>1.3913382563507519</v>
      </c>
      <c r="Q18" s="26">
        <f t="shared" si="12"/>
        <v>0.67916048559614217</v>
      </c>
      <c r="R18" s="11">
        <v>1.46</v>
      </c>
      <c r="S18" s="11">
        <v>1.51</v>
      </c>
      <c r="T18" s="11">
        <v>23</v>
      </c>
      <c r="U18" s="11">
        <v>93061643.780000001</v>
      </c>
      <c r="V18" s="11">
        <v>93061643.780000001</v>
      </c>
    </row>
    <row r="19" spans="1:23">
      <c r="A19" s="65">
        <v>15</v>
      </c>
      <c r="B19" s="22" t="s">
        <v>43</v>
      </c>
      <c r="C19" s="22" t="s">
        <v>44</v>
      </c>
      <c r="D19" s="11">
        <v>2570803832.5799999</v>
      </c>
      <c r="E19" s="11">
        <v>2632633.4</v>
      </c>
      <c r="F19" s="11">
        <v>31088635.219999999</v>
      </c>
      <c r="G19" s="11">
        <v>4200990.42</v>
      </c>
      <c r="H19" s="13">
        <f t="shared" si="6"/>
        <v>29520278.199999996</v>
      </c>
      <c r="I19" s="35">
        <v>2499099584.5900002</v>
      </c>
      <c r="J19" s="14">
        <f t="shared" si="0"/>
        <v>6.9354973925533372E-2</v>
      </c>
      <c r="K19" s="35">
        <v>2559075056.5700002</v>
      </c>
      <c r="L19" s="14">
        <f t="shared" si="7"/>
        <v>6.6896521469843317E-2</v>
      </c>
      <c r="M19" s="14">
        <f t="shared" si="8"/>
        <v>2.3998832359391369E-2</v>
      </c>
      <c r="N19" s="24">
        <f t="shared" si="9"/>
        <v>1.6416050045951777E-3</v>
      </c>
      <c r="O19" s="25">
        <f t="shared" si="10"/>
        <v>1.1535526527137836E-2</v>
      </c>
      <c r="P19" s="26">
        <f t="shared" si="11"/>
        <v>34.010559398417499</v>
      </c>
      <c r="Q19" s="26">
        <f t="shared" si="12"/>
        <v>0.39232971014324214</v>
      </c>
      <c r="R19" s="11">
        <v>34.01</v>
      </c>
      <c r="S19" s="11">
        <v>34.159999999999997</v>
      </c>
      <c r="T19" s="11">
        <v>9752</v>
      </c>
      <c r="U19" s="11">
        <v>74360765</v>
      </c>
      <c r="V19" s="11">
        <v>75243545</v>
      </c>
    </row>
    <row r="20" spans="1:23">
      <c r="A20" s="65">
        <v>16</v>
      </c>
      <c r="B20" s="66" t="s">
        <v>45</v>
      </c>
      <c r="C20" s="22" t="s">
        <v>46</v>
      </c>
      <c r="D20" s="11">
        <v>909727824.49000001</v>
      </c>
      <c r="E20" s="11">
        <v>4015298.91</v>
      </c>
      <c r="F20" s="11">
        <v>23460076.710000001</v>
      </c>
      <c r="G20" s="11">
        <v>1368711.11</v>
      </c>
      <c r="H20" s="13">
        <f t="shared" si="6"/>
        <v>26106664.510000002</v>
      </c>
      <c r="I20" s="35">
        <v>820840366.91999996</v>
      </c>
      <c r="J20" s="14">
        <f t="shared" si="0"/>
        <v>2.2779949464919628E-2</v>
      </c>
      <c r="K20" s="35">
        <v>905099290.22000003</v>
      </c>
      <c r="L20" s="14">
        <f t="shared" si="7"/>
        <v>2.3660108735418E-2</v>
      </c>
      <c r="M20" s="14">
        <f t="shared" si="8"/>
        <v>0.10264958534649167</v>
      </c>
      <c r="N20" s="24">
        <f t="shared" si="9"/>
        <v>1.5122220565075366E-3</v>
      </c>
      <c r="O20" s="25">
        <f t="shared" si="10"/>
        <v>2.884397854698828E-2</v>
      </c>
      <c r="P20" s="26">
        <f t="shared" si="11"/>
        <v>8952.2991751732206</v>
      </c>
      <c r="Q20" s="26">
        <f t="shared" si="12"/>
        <v>258.21992535491728</v>
      </c>
      <c r="R20" s="11">
        <v>8881.11</v>
      </c>
      <c r="S20" s="11">
        <v>9001.09</v>
      </c>
      <c r="T20" s="11">
        <v>22</v>
      </c>
      <c r="U20" s="11">
        <v>94719.25</v>
      </c>
      <c r="V20" s="11">
        <v>101102.44</v>
      </c>
    </row>
    <row r="21" spans="1:23">
      <c r="A21" s="65">
        <v>17</v>
      </c>
      <c r="B21" s="22" t="s">
        <v>47</v>
      </c>
      <c r="C21" s="22" t="s">
        <v>46</v>
      </c>
      <c r="D21" s="11">
        <v>13984754391.17</v>
      </c>
      <c r="E21" s="11">
        <v>84251421.569999993</v>
      </c>
      <c r="F21" s="11">
        <v>399940053.91000003</v>
      </c>
      <c r="G21" s="11">
        <v>73165973.920000002</v>
      </c>
      <c r="H21" s="13">
        <f t="shared" si="6"/>
        <v>411025501.56</v>
      </c>
      <c r="I21" s="35">
        <v>13876689085.84</v>
      </c>
      <c r="J21" s="14">
        <f t="shared" si="0"/>
        <v>0.38510566591889533</v>
      </c>
      <c r="K21" s="35">
        <v>14569154518.870001</v>
      </c>
      <c r="L21" s="14">
        <f t="shared" si="7"/>
        <v>0.38085079043182496</v>
      </c>
      <c r="M21" s="14">
        <f t="shared" si="8"/>
        <v>4.9901343810938567E-2</v>
      </c>
      <c r="N21" s="24">
        <f t="shared" si="9"/>
        <v>5.0219780307247941E-3</v>
      </c>
      <c r="O21" s="25">
        <f t="shared" si="10"/>
        <v>2.8212035298797806E-2</v>
      </c>
      <c r="P21" s="26">
        <f t="shared" si="11"/>
        <v>28054.919505476104</v>
      </c>
      <c r="Q21" s="26">
        <f t="shared" si="12"/>
        <v>791.48637939342279</v>
      </c>
      <c r="R21" s="11">
        <v>27820.77</v>
      </c>
      <c r="S21" s="11">
        <v>28215.4</v>
      </c>
      <c r="T21" s="11">
        <v>17579</v>
      </c>
      <c r="U21" s="11">
        <v>511206.82</v>
      </c>
      <c r="V21" s="11">
        <v>519308.37</v>
      </c>
    </row>
    <row r="22" spans="1:23">
      <c r="A22" s="65">
        <v>18</v>
      </c>
      <c r="B22" s="22" t="s">
        <v>49</v>
      </c>
      <c r="C22" s="22" t="s">
        <v>50</v>
      </c>
      <c r="D22" s="11">
        <v>3406441731.6963015</v>
      </c>
      <c r="E22" s="11">
        <v>19527109</v>
      </c>
      <c r="F22" s="11">
        <v>186594398.99999976</v>
      </c>
      <c r="G22" s="11">
        <v>6469210</v>
      </c>
      <c r="H22" s="13">
        <f t="shared" ref="H22" si="13">(E22+F22)-G22</f>
        <v>199652297.99999976</v>
      </c>
      <c r="I22" s="35">
        <v>4013163593.2036982</v>
      </c>
      <c r="J22" s="14">
        <f t="shared" si="0"/>
        <v>0.11137325542439531</v>
      </c>
      <c r="K22" s="35">
        <v>4231567260.6544323</v>
      </c>
      <c r="L22" s="14">
        <f t="shared" si="7"/>
        <v>0.11061697052483935</v>
      </c>
      <c r="M22" s="14">
        <f t="shared" si="8"/>
        <v>5.4421820187096598E-2</v>
      </c>
      <c r="N22" s="24">
        <f t="shared" si="9"/>
        <v>1.5287976301715468E-3</v>
      </c>
      <c r="O22" s="25">
        <f t="shared" si="10"/>
        <v>4.7181643514540891E-2</v>
      </c>
      <c r="P22" s="26">
        <f t="shared" si="11"/>
        <v>1.6552489785665527</v>
      </c>
      <c r="Q22" s="26">
        <f t="shared" si="12"/>
        <v>7.8097367234535017E-2</v>
      </c>
      <c r="R22" s="11">
        <v>1.66</v>
      </c>
      <c r="S22" s="11">
        <v>1.67</v>
      </c>
      <c r="T22" s="11">
        <v>2987</v>
      </c>
      <c r="U22" s="11">
        <v>2536876988.8199997</v>
      </c>
      <c r="V22" s="11">
        <v>2556453630.5099998</v>
      </c>
    </row>
    <row r="23" spans="1:23">
      <c r="A23" s="65">
        <v>19</v>
      </c>
      <c r="B23" s="69" t="s">
        <v>258</v>
      </c>
      <c r="C23" s="69" t="s">
        <v>259</v>
      </c>
      <c r="D23" s="11">
        <v>2093056944.45</v>
      </c>
      <c r="E23" s="11">
        <v>14350584.189999999</v>
      </c>
      <c r="F23" s="11">
        <v>20420817.609999999</v>
      </c>
      <c r="G23" s="11">
        <v>7811464.3300000001</v>
      </c>
      <c r="H23" s="13">
        <f t="shared" si="6"/>
        <v>26959937.469999999</v>
      </c>
      <c r="I23" s="35">
        <v>1735682550.21</v>
      </c>
      <c r="J23" s="14">
        <f t="shared" si="0"/>
        <v>4.8168635917950807E-2</v>
      </c>
      <c r="K23" s="35">
        <v>2076101701.6500001</v>
      </c>
      <c r="L23" s="14">
        <f t="shared" si="7"/>
        <v>5.4271163990069739E-2</v>
      </c>
      <c r="M23" s="14">
        <f t="shared" si="8"/>
        <v>0.19612984609358017</v>
      </c>
      <c r="N23" s="24">
        <f t="shared" si="9"/>
        <v>3.7625634253812181E-3</v>
      </c>
      <c r="O23" s="25">
        <f t="shared" si="10"/>
        <v>1.2985846236999542E-2</v>
      </c>
      <c r="P23" s="26">
        <f t="shared" si="11"/>
        <v>130.76130602542011</v>
      </c>
      <c r="Q23" s="26">
        <f t="shared" si="12"/>
        <v>1.6980462137953474</v>
      </c>
      <c r="R23" s="11">
        <v>127.99</v>
      </c>
      <c r="S23" s="11">
        <v>132.54</v>
      </c>
      <c r="T23" s="11">
        <v>34</v>
      </c>
      <c r="U23" s="11">
        <v>13339400</v>
      </c>
      <c r="V23" s="11">
        <v>15877034</v>
      </c>
    </row>
    <row r="24" spans="1:23">
      <c r="A24" s="99" t="s">
        <v>51</v>
      </c>
      <c r="B24" s="99"/>
      <c r="C24" s="99"/>
      <c r="D24" s="99"/>
      <c r="E24" s="99"/>
      <c r="F24" s="99"/>
      <c r="G24" s="99"/>
      <c r="H24" s="99"/>
      <c r="I24" s="41">
        <f>SUM(I5:I23)</f>
        <v>36033458642.3937</v>
      </c>
      <c r="J24" s="42">
        <f>(I24/$I$209)</f>
        <v>8.825703138019881E-3</v>
      </c>
      <c r="K24" s="62">
        <f>SUM(K5:K23)</f>
        <v>38254232063.82444</v>
      </c>
      <c r="L24" s="42">
        <f>(K24/$K$209)</f>
        <v>8.745440014257172E-3</v>
      </c>
      <c r="M24" s="42">
        <f t="shared" si="1"/>
        <v>6.1630870449332326E-2</v>
      </c>
      <c r="N24" s="24"/>
      <c r="O24" s="24"/>
      <c r="P24" s="43"/>
      <c r="Q24" s="43"/>
      <c r="R24" s="44"/>
      <c r="S24" s="44"/>
      <c r="T24" s="44">
        <f>SUM(T5:T23)</f>
        <v>50395</v>
      </c>
      <c r="U24" s="44"/>
      <c r="V24" s="44"/>
    </row>
    <row r="25" spans="1:23" ht="6" customHeight="1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5"/>
    </row>
    <row r="26" spans="1:23">
      <c r="A26" s="102" t="s">
        <v>52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</row>
    <row r="27" spans="1:23" ht="12.9" customHeight="1">
      <c r="A27" s="65">
        <v>20</v>
      </c>
      <c r="B27" s="22" t="s">
        <v>53</v>
      </c>
      <c r="C27" s="22" t="s">
        <v>22</v>
      </c>
      <c r="D27" s="21">
        <v>2395506798.9200001</v>
      </c>
      <c r="E27" s="21">
        <v>38146250.369999997</v>
      </c>
      <c r="F27" s="21">
        <v>0</v>
      </c>
      <c r="G27" s="21">
        <v>4055325.98</v>
      </c>
      <c r="H27" s="13">
        <f>(E27+F27)-G27</f>
        <v>34090924.390000001</v>
      </c>
      <c r="I27" s="56">
        <v>2098871559.4000001</v>
      </c>
      <c r="J27" s="14">
        <f>(I27/$I$65)</f>
        <v>1.0962577028289357E-3</v>
      </c>
      <c r="K27" s="56">
        <v>2341503193.8899999</v>
      </c>
      <c r="L27" s="14">
        <f>(K27/$K$65)</f>
        <v>1.095414030476837E-3</v>
      </c>
      <c r="M27" s="14">
        <f t="shared" ref="M27:M65" si="14">((K27-I27)/I27)</f>
        <v>0.11560099206802361</v>
      </c>
      <c r="N27" s="24">
        <f t="shared" ref="N27" si="15">(G27/K27)</f>
        <v>1.7319327133877541E-3</v>
      </c>
      <c r="O27" s="25">
        <f t="shared" ref="O27" si="16">H27/K27</f>
        <v>1.4559418274106159E-2</v>
      </c>
      <c r="P27" s="28">
        <f t="shared" ref="P27" si="17">K27/V27</f>
        <v>100.56711762063205</v>
      </c>
      <c r="Q27" s="28">
        <f t="shared" ref="Q27" si="18">H27/V27</f>
        <v>1.4641987300600139</v>
      </c>
      <c r="R27" s="11">
        <v>100</v>
      </c>
      <c r="S27" s="11">
        <v>100</v>
      </c>
      <c r="T27" s="11">
        <v>827</v>
      </c>
      <c r="U27" s="21">
        <v>20856290</v>
      </c>
      <c r="V27" s="21">
        <v>23282990</v>
      </c>
    </row>
    <row r="28" spans="1:23" ht="15" customHeight="1">
      <c r="A28" s="65">
        <v>21</v>
      </c>
      <c r="B28" s="22" t="s">
        <v>54</v>
      </c>
      <c r="C28" s="22" t="s">
        <v>55</v>
      </c>
      <c r="D28" s="21">
        <v>14718903502.379999</v>
      </c>
      <c r="E28" s="21">
        <v>261128253.83000001</v>
      </c>
      <c r="F28" s="21">
        <v>0</v>
      </c>
      <c r="G28" s="21">
        <v>21033246.190000001</v>
      </c>
      <c r="H28" s="13">
        <f t="shared" ref="H28:H64" si="19">(E28+F28)-G28</f>
        <v>240095007.64000002</v>
      </c>
      <c r="I28" s="56">
        <v>13164558897.07</v>
      </c>
      <c r="J28" s="14">
        <f t="shared" ref="J28:J64" si="20">(I28/$I$65)</f>
        <v>6.8759562873793763E-3</v>
      </c>
      <c r="K28" s="56">
        <v>14994288560.01</v>
      </c>
      <c r="L28" s="14">
        <f t="shared" ref="L28:L64" si="21">(K28/$K$65)</f>
        <v>7.0147049589823892E-3</v>
      </c>
      <c r="M28" s="14">
        <f t="shared" ref="M28:M64" si="22">((K28-I28)/I28)</f>
        <v>0.13898905973577577</v>
      </c>
      <c r="N28" s="24">
        <f t="shared" ref="N28:N64" si="23">(G28/K28)</f>
        <v>1.4027505276973256E-3</v>
      </c>
      <c r="O28" s="25">
        <f t="shared" ref="O28:O64" si="24">H28/K28</f>
        <v>1.601243077849903E-2</v>
      </c>
      <c r="P28" s="28">
        <f t="shared" ref="P28:P64" si="25">K28/V28</f>
        <v>103.3573343061647</v>
      </c>
      <c r="Q28" s="28">
        <f t="shared" ref="Q28:Q64" si="26">H28/V28</f>
        <v>1.6550021610276453</v>
      </c>
      <c r="R28" s="11">
        <v>100</v>
      </c>
      <c r="S28" s="11">
        <v>100</v>
      </c>
      <c r="T28" s="11">
        <v>2336</v>
      </c>
      <c r="U28" s="21">
        <v>129101880.06</v>
      </c>
      <c r="V28" s="21">
        <v>145072322.74000001</v>
      </c>
    </row>
    <row r="29" spans="1:23">
      <c r="A29" s="65">
        <v>22</v>
      </c>
      <c r="B29" s="22" t="s">
        <v>56</v>
      </c>
      <c r="C29" s="22" t="s">
        <v>24</v>
      </c>
      <c r="D29" s="21">
        <v>1483683492.9100001</v>
      </c>
      <c r="E29" s="21">
        <v>25777333.079999998</v>
      </c>
      <c r="F29" s="21">
        <v>0</v>
      </c>
      <c r="G29" s="21">
        <v>1714262.9</v>
      </c>
      <c r="H29" s="13">
        <f t="shared" si="19"/>
        <v>24063070.18</v>
      </c>
      <c r="I29" s="56">
        <v>1359548784.1500001</v>
      </c>
      <c r="J29" s="14">
        <f t="shared" si="20"/>
        <v>7.1010339833382362E-4</v>
      </c>
      <c r="K29" s="56">
        <v>1508320404.5999999</v>
      </c>
      <c r="L29" s="14">
        <f t="shared" si="21"/>
        <v>7.0563018575620139E-4</v>
      </c>
      <c r="M29" s="14">
        <f t="shared" si="22"/>
        <v>0.10942720274875088</v>
      </c>
      <c r="N29" s="24">
        <f t="shared" si="23"/>
        <v>1.1365376313758847E-3</v>
      </c>
      <c r="O29" s="25">
        <f t="shared" si="24"/>
        <v>1.5953553440378885E-2</v>
      </c>
      <c r="P29" s="28">
        <f t="shared" si="25"/>
        <v>192.72938980739258</v>
      </c>
      <c r="Q29" s="28">
        <f t="shared" si="26"/>
        <v>3.0747186198238508</v>
      </c>
      <c r="R29" s="11">
        <v>100</v>
      </c>
      <c r="S29" s="11">
        <v>100</v>
      </c>
      <c r="T29" s="11">
        <v>1479</v>
      </c>
      <c r="U29" s="21">
        <v>6550754.8399999999</v>
      </c>
      <c r="V29" s="21">
        <v>7826104.8099999996</v>
      </c>
    </row>
    <row r="30" spans="1:23">
      <c r="A30" s="65">
        <v>23</v>
      </c>
      <c r="B30" s="22" t="s">
        <v>57</v>
      </c>
      <c r="C30" s="66" t="s">
        <v>58</v>
      </c>
      <c r="D30" s="21">
        <v>66140142869.449997</v>
      </c>
      <c r="E30" s="21">
        <v>2565963889.8400002</v>
      </c>
      <c r="F30" s="21">
        <v>0</v>
      </c>
      <c r="G30" s="21">
        <v>264636447.50999999</v>
      </c>
      <c r="H30" s="13">
        <f t="shared" si="19"/>
        <v>2301327442.3299999</v>
      </c>
      <c r="I30" s="56">
        <v>139613829228</v>
      </c>
      <c r="J30" s="14">
        <f t="shared" si="20"/>
        <v>7.2921439631299531E-2</v>
      </c>
      <c r="K30" s="56">
        <v>147693842596</v>
      </c>
      <c r="L30" s="14">
        <f t="shared" si="21"/>
        <v>6.9094890759434244E-2</v>
      </c>
      <c r="M30" s="14">
        <f t="shared" si="22"/>
        <v>5.7874018732089381E-2</v>
      </c>
      <c r="N30" s="24">
        <f t="shared" si="23"/>
        <v>1.7917906586930872E-3</v>
      </c>
      <c r="O30" s="25">
        <f t="shared" si="24"/>
        <v>1.5581742622981405E-2</v>
      </c>
      <c r="P30" s="28">
        <f t="shared" si="25"/>
        <v>1</v>
      </c>
      <c r="Q30" s="28">
        <f t="shared" si="26"/>
        <v>1.5581742622981405E-2</v>
      </c>
      <c r="R30" s="11">
        <v>1</v>
      </c>
      <c r="S30" s="11">
        <v>1</v>
      </c>
      <c r="T30" s="11">
        <v>66504</v>
      </c>
      <c r="U30" s="21">
        <v>139613829228</v>
      </c>
      <c r="V30" s="21">
        <v>147693842596</v>
      </c>
    </row>
    <row r="31" spans="1:23">
      <c r="A31" s="65">
        <v>24</v>
      </c>
      <c r="B31" s="22" t="s">
        <v>278</v>
      </c>
      <c r="C31" s="66" t="s">
        <v>103</v>
      </c>
      <c r="D31" s="21">
        <v>154822594.19</v>
      </c>
      <c r="E31" s="21">
        <v>3316085.86</v>
      </c>
      <c r="F31" s="21">
        <v>0</v>
      </c>
      <c r="G31" s="21">
        <v>423794.93</v>
      </c>
      <c r="H31" s="13">
        <f t="shared" si="19"/>
        <v>2892290.9299999997</v>
      </c>
      <c r="I31" s="20">
        <v>0</v>
      </c>
      <c r="J31" s="14">
        <f t="shared" si="20"/>
        <v>0</v>
      </c>
      <c r="K31" s="56">
        <v>301807698.70999998</v>
      </c>
      <c r="L31" s="14">
        <f t="shared" si="21"/>
        <v>1.4119322516217386E-4</v>
      </c>
      <c r="M31" s="14" t="e">
        <f t="shared" si="22"/>
        <v>#DIV/0!</v>
      </c>
      <c r="N31" s="24">
        <f t="shared" si="23"/>
        <v>1.4041886002623635E-3</v>
      </c>
      <c r="O31" s="25">
        <f t="shared" si="24"/>
        <v>9.5832244914969347E-3</v>
      </c>
      <c r="P31" s="28" t="e">
        <f t="shared" si="25"/>
        <v>#DIV/0!</v>
      </c>
      <c r="Q31" s="28" t="e">
        <f t="shared" si="26"/>
        <v>#DIV/0!</v>
      </c>
      <c r="R31" s="11">
        <v>1</v>
      </c>
      <c r="S31" s="11">
        <v>1</v>
      </c>
      <c r="T31" s="11">
        <v>163</v>
      </c>
      <c r="U31" s="21">
        <v>0</v>
      </c>
      <c r="V31" s="21">
        <v>0</v>
      </c>
    </row>
    <row r="32" spans="1:23" ht="15" customHeight="1">
      <c r="A32" s="65">
        <v>25</v>
      </c>
      <c r="B32" s="22" t="s">
        <v>59</v>
      </c>
      <c r="C32" s="22" t="s">
        <v>28</v>
      </c>
      <c r="D32" s="21">
        <v>50586625881.360001</v>
      </c>
      <c r="E32" s="21">
        <v>1611046733.2</v>
      </c>
      <c r="F32" s="21">
        <v>0</v>
      </c>
      <c r="G32" s="21">
        <v>117278406.37</v>
      </c>
      <c r="H32" s="13">
        <f t="shared" si="19"/>
        <v>1493768326.8299999</v>
      </c>
      <c r="I32" s="56">
        <v>91708183237.25</v>
      </c>
      <c r="J32" s="14">
        <f t="shared" si="20"/>
        <v>4.7899930720402328E-2</v>
      </c>
      <c r="K32" s="56">
        <v>98381564075.229996</v>
      </c>
      <c r="L32" s="14">
        <f t="shared" si="21"/>
        <v>4.6025367767798864E-2</v>
      </c>
      <c r="M32" s="14">
        <f t="shared" si="22"/>
        <v>7.2767561218783403E-2</v>
      </c>
      <c r="N32" s="24">
        <f t="shared" si="23"/>
        <v>1.1920770672066165E-3</v>
      </c>
      <c r="O32" s="25">
        <f t="shared" si="24"/>
        <v>1.5183417145998529E-2</v>
      </c>
      <c r="P32" s="28">
        <f t="shared" si="25"/>
        <v>1.0304073629829249</v>
      </c>
      <c r="Q32" s="28">
        <f t="shared" si="26"/>
        <v>1.5645104822478072E-2</v>
      </c>
      <c r="R32" s="11">
        <v>1</v>
      </c>
      <c r="S32" s="11">
        <v>1</v>
      </c>
      <c r="T32" s="11">
        <v>32046</v>
      </c>
      <c r="U32" s="21">
        <v>90233913524.589996</v>
      </c>
      <c r="V32" s="21">
        <v>95478320137.800003</v>
      </c>
    </row>
    <row r="33" spans="1:22" ht="15" customHeight="1">
      <c r="A33" s="65">
        <v>26</v>
      </c>
      <c r="B33" s="22" t="s">
        <v>273</v>
      </c>
      <c r="C33" s="22" t="s">
        <v>105</v>
      </c>
      <c r="D33" s="21">
        <v>4160621211.25</v>
      </c>
      <c r="E33" s="21">
        <v>57706766.329999998</v>
      </c>
      <c r="F33" s="21">
        <v>0</v>
      </c>
      <c r="G33" s="21">
        <v>4227906.04</v>
      </c>
      <c r="H33" s="13">
        <f t="shared" si="19"/>
        <v>53478860.289999999</v>
      </c>
      <c r="I33" s="20">
        <v>0</v>
      </c>
      <c r="J33" s="14">
        <f t="shared" si="20"/>
        <v>0</v>
      </c>
      <c r="K33" s="56">
        <v>4448822437.3599997</v>
      </c>
      <c r="L33" s="14">
        <f t="shared" si="21"/>
        <v>2.0812709244646213E-3</v>
      </c>
      <c r="M33" s="14" t="e">
        <f t="shared" si="22"/>
        <v>#DIV/0!</v>
      </c>
      <c r="N33" s="24">
        <f t="shared" si="23"/>
        <v>9.5034272541317816E-4</v>
      </c>
      <c r="O33" s="25">
        <f t="shared" si="24"/>
        <v>1.2020902394507609E-2</v>
      </c>
      <c r="P33" s="28">
        <f t="shared" si="25"/>
        <v>0.99999999999999978</v>
      </c>
      <c r="Q33" s="28">
        <f t="shared" si="26"/>
        <v>1.2020902394507607E-2</v>
      </c>
      <c r="R33" s="11">
        <v>1</v>
      </c>
      <c r="S33" s="11">
        <v>1</v>
      </c>
      <c r="T33" s="11">
        <v>485</v>
      </c>
      <c r="U33" s="21">
        <v>2981621479.3600001</v>
      </c>
      <c r="V33" s="21">
        <f>(U33+1977822837)-510621879</f>
        <v>4448822437.3600006</v>
      </c>
    </row>
    <row r="34" spans="1:22">
      <c r="A34" s="65">
        <v>27</v>
      </c>
      <c r="B34" s="66" t="s">
        <v>265</v>
      </c>
      <c r="C34" s="66" t="s">
        <v>44</v>
      </c>
      <c r="D34" s="21">
        <v>16058360415.09</v>
      </c>
      <c r="E34" s="21">
        <v>269417028.56</v>
      </c>
      <c r="F34" s="21">
        <v>0</v>
      </c>
      <c r="G34" s="21">
        <v>23421500.640000001</v>
      </c>
      <c r="H34" s="13">
        <f t="shared" si="19"/>
        <v>245995527.92000002</v>
      </c>
      <c r="I34" s="56">
        <v>14470745589.870001</v>
      </c>
      <c r="J34" s="14">
        <f t="shared" si="20"/>
        <v>7.5581882309690984E-3</v>
      </c>
      <c r="K34" s="56">
        <v>15522181493.459999</v>
      </c>
      <c r="L34" s="14">
        <f t="shared" si="21"/>
        <v>7.2616665379371557E-3</v>
      </c>
      <c r="M34" s="14">
        <f t="shared" si="22"/>
        <v>7.2659414614132806E-2</v>
      </c>
      <c r="N34" s="24">
        <f t="shared" si="23"/>
        <v>1.5089052173412765E-3</v>
      </c>
      <c r="O34" s="25">
        <f t="shared" si="24"/>
        <v>1.5847999717284966E-2</v>
      </c>
      <c r="P34" s="28">
        <f t="shared" si="25"/>
        <v>100.00000000296349</v>
      </c>
      <c r="Q34" s="28">
        <f t="shared" si="26"/>
        <v>1.5847999717754622</v>
      </c>
      <c r="R34" s="11">
        <v>100</v>
      </c>
      <c r="S34" s="11">
        <v>100</v>
      </c>
      <c r="T34" s="11">
        <v>2532</v>
      </c>
      <c r="U34" s="21">
        <v>144707455.88999999</v>
      </c>
      <c r="V34" s="21">
        <v>155221814.93000001</v>
      </c>
    </row>
    <row r="35" spans="1:22">
      <c r="A35" s="65">
        <v>28</v>
      </c>
      <c r="B35" s="29" t="s">
        <v>218</v>
      </c>
      <c r="C35" s="29" t="s">
        <v>219</v>
      </c>
      <c r="D35" s="21">
        <v>575535820.09000003</v>
      </c>
      <c r="E35" s="21">
        <v>22899890.07</v>
      </c>
      <c r="F35" s="21">
        <v>0</v>
      </c>
      <c r="G35" s="21">
        <v>455946.12</v>
      </c>
      <c r="H35" s="13">
        <f t="shared" si="19"/>
        <v>22443943.949999999</v>
      </c>
      <c r="I35" s="56">
        <v>348873332.5</v>
      </c>
      <c r="J35" s="14">
        <f t="shared" si="20"/>
        <v>1.8221938181584447E-4</v>
      </c>
      <c r="K35" s="56">
        <v>562897481.84000003</v>
      </c>
      <c r="L35" s="14">
        <f t="shared" si="21"/>
        <v>2.6333758627219018E-4</v>
      </c>
      <c r="M35" s="14">
        <f t="shared" si="22"/>
        <v>0.61347236776832181</v>
      </c>
      <c r="N35" s="24">
        <f t="shared" si="23"/>
        <v>8.0999850720526003E-4</v>
      </c>
      <c r="O35" s="25">
        <f t="shared" si="24"/>
        <v>3.9872169753958048E-2</v>
      </c>
      <c r="P35" s="28">
        <f t="shared" si="25"/>
        <v>1.0137295449891728</v>
      </c>
      <c r="Q35" s="28">
        <f t="shared" si="26"/>
        <v>4.0419596502410955E-2</v>
      </c>
      <c r="R35" s="11">
        <v>1</v>
      </c>
      <c r="S35" s="11">
        <v>1</v>
      </c>
      <c r="T35" s="11">
        <v>353</v>
      </c>
      <c r="U35" s="21">
        <f>(V35+31120831.23)-239244684.34</f>
        <v>347149971.76999998</v>
      </c>
      <c r="V35" s="21">
        <v>555273824.88</v>
      </c>
    </row>
    <row r="36" spans="1:22">
      <c r="A36" s="65">
        <v>29</v>
      </c>
      <c r="B36" s="22" t="s">
        <v>234</v>
      </c>
      <c r="C36" s="22" t="s">
        <v>60</v>
      </c>
      <c r="D36" s="21">
        <v>41960091115.169998</v>
      </c>
      <c r="E36" s="21">
        <v>736884544.35000002</v>
      </c>
      <c r="F36" s="21">
        <v>0</v>
      </c>
      <c r="G36" s="21">
        <v>57848623.649999999</v>
      </c>
      <c r="H36" s="13">
        <f t="shared" si="19"/>
        <v>679035920.70000005</v>
      </c>
      <c r="I36" s="56">
        <v>37862090252.790001</v>
      </c>
      <c r="J36" s="14">
        <f t="shared" si="20"/>
        <v>1.9775677982263391E-2</v>
      </c>
      <c r="K36" s="56">
        <v>40467457967.620003</v>
      </c>
      <c r="L36" s="14">
        <f t="shared" si="21"/>
        <v>1.8931693687685446E-2</v>
      </c>
      <c r="M36" s="14">
        <f t="shared" si="22"/>
        <v>6.8812041211539193E-2</v>
      </c>
      <c r="N36" s="24">
        <f t="shared" si="23"/>
        <v>1.4295096987877894E-3</v>
      </c>
      <c r="O36" s="25">
        <f t="shared" si="24"/>
        <v>1.677980171730406E-2</v>
      </c>
      <c r="P36" s="28">
        <f t="shared" si="25"/>
        <v>99.999999999060975</v>
      </c>
      <c r="Q36" s="28">
        <f t="shared" si="26"/>
        <v>1.6779801717146496</v>
      </c>
      <c r="R36" s="11">
        <v>100</v>
      </c>
      <c r="S36" s="11">
        <v>100</v>
      </c>
      <c r="T36" s="11">
        <v>3734</v>
      </c>
      <c r="U36" s="21">
        <v>378620902.52999997</v>
      </c>
      <c r="V36" s="21">
        <v>404674579.68000001</v>
      </c>
    </row>
    <row r="37" spans="1:22">
      <c r="A37" s="65">
        <v>30</v>
      </c>
      <c r="B37" s="22" t="s">
        <v>61</v>
      </c>
      <c r="C37" s="22" t="s">
        <v>62</v>
      </c>
      <c r="D37" s="21">
        <v>8326530825.7600002</v>
      </c>
      <c r="E37" s="21">
        <v>348696659.44999999</v>
      </c>
      <c r="F37" s="21">
        <v>0</v>
      </c>
      <c r="G37" s="21">
        <v>19629098.170000002</v>
      </c>
      <c r="H37" s="13">
        <f t="shared" si="19"/>
        <v>329067561.27999997</v>
      </c>
      <c r="I37" s="56">
        <v>17816119300</v>
      </c>
      <c r="J37" s="14">
        <f t="shared" si="20"/>
        <v>9.3055041551601998E-3</v>
      </c>
      <c r="K37" s="56">
        <v>19337051400</v>
      </c>
      <c r="L37" s="14">
        <f t="shared" si="21"/>
        <v>9.0463585387733046E-3</v>
      </c>
      <c r="M37" s="14">
        <f t="shared" si="22"/>
        <v>8.5368315871122397E-2</v>
      </c>
      <c r="N37" s="24">
        <f t="shared" si="23"/>
        <v>1.0151029629057097E-3</v>
      </c>
      <c r="O37" s="25">
        <f t="shared" si="24"/>
        <v>1.7017463235372069E-2</v>
      </c>
      <c r="P37" s="28">
        <f t="shared" si="25"/>
        <v>100</v>
      </c>
      <c r="Q37" s="28">
        <f t="shared" si="26"/>
        <v>1.7017463235372068</v>
      </c>
      <c r="R37" s="11">
        <v>100</v>
      </c>
      <c r="S37" s="11">
        <v>100</v>
      </c>
      <c r="T37" s="11">
        <f>6289+263+140</f>
        <v>6692</v>
      </c>
      <c r="U37" s="21">
        <v>178161193</v>
      </c>
      <c r="V37" s="21">
        <v>193370514</v>
      </c>
    </row>
    <row r="38" spans="1:22">
      <c r="A38" s="65">
        <v>31</v>
      </c>
      <c r="B38" s="22" t="s">
        <v>63</v>
      </c>
      <c r="C38" s="66" t="s">
        <v>64</v>
      </c>
      <c r="D38" s="11">
        <v>39263942.280000001</v>
      </c>
      <c r="E38" s="11">
        <v>275433.01</v>
      </c>
      <c r="F38" s="11"/>
      <c r="G38" s="11">
        <v>41437.480000000003</v>
      </c>
      <c r="H38" s="13">
        <f t="shared" si="19"/>
        <v>233995.53</v>
      </c>
      <c r="I38" s="11">
        <v>39203248.560000002</v>
      </c>
      <c r="J38" s="14">
        <f t="shared" si="20"/>
        <v>2.0476175884770715E-5</v>
      </c>
      <c r="K38" s="11">
        <v>39203248.560000002</v>
      </c>
      <c r="L38" s="14">
        <f t="shared" si="21"/>
        <v>1.8340264760242004E-5</v>
      </c>
      <c r="M38" s="14">
        <f t="shared" si="22"/>
        <v>0</v>
      </c>
      <c r="N38" s="24">
        <f t="shared" si="23"/>
        <v>1.056990977076314E-3</v>
      </c>
      <c r="O38" s="25">
        <f t="shared" si="24"/>
        <v>5.9687790832403404E-3</v>
      </c>
      <c r="P38" s="28">
        <f t="shared" si="25"/>
        <v>101.87107246798604</v>
      </c>
      <c r="Q38" s="28">
        <f t="shared" si="26"/>
        <v>0.608045926534176</v>
      </c>
      <c r="R38" s="11">
        <v>10</v>
      </c>
      <c r="S38" s="11">
        <v>10</v>
      </c>
      <c r="T38" s="11">
        <v>86</v>
      </c>
      <c r="U38" s="11">
        <v>384832</v>
      </c>
      <c r="V38" s="11">
        <v>384832</v>
      </c>
    </row>
    <row r="39" spans="1:22">
      <c r="A39" s="65">
        <v>32</v>
      </c>
      <c r="B39" s="22" t="s">
        <v>65</v>
      </c>
      <c r="C39" s="22" t="s">
        <v>66</v>
      </c>
      <c r="D39" s="21">
        <v>15902656217.209999</v>
      </c>
      <c r="E39" s="21">
        <v>257379683.38999999</v>
      </c>
      <c r="F39" s="21">
        <v>0</v>
      </c>
      <c r="G39" s="21">
        <v>22784220.600000001</v>
      </c>
      <c r="H39" s="13">
        <f t="shared" si="19"/>
        <v>234595462.78999999</v>
      </c>
      <c r="I39" s="56">
        <v>13593505807.790001</v>
      </c>
      <c r="J39" s="14">
        <f t="shared" si="20"/>
        <v>7.0999987509953498E-3</v>
      </c>
      <c r="K39" s="56">
        <v>16030714443.049999</v>
      </c>
      <c r="L39" s="14">
        <f t="shared" si="21"/>
        <v>7.4995710299721238E-3</v>
      </c>
      <c r="M39" s="14">
        <f t="shared" si="22"/>
        <v>0.17929213182542744</v>
      </c>
      <c r="N39" s="24">
        <f t="shared" si="23"/>
        <v>1.4212854131325343E-3</v>
      </c>
      <c r="O39" s="25">
        <f t="shared" si="24"/>
        <v>1.4634123988884798E-2</v>
      </c>
      <c r="P39" s="28">
        <f t="shared" si="25"/>
        <v>0.99998627653298799</v>
      </c>
      <c r="Q39" s="28">
        <f t="shared" si="26"/>
        <v>1.4633923157966987E-2</v>
      </c>
      <c r="R39" s="11">
        <v>1</v>
      </c>
      <c r="S39" s="11">
        <v>1</v>
      </c>
      <c r="T39" s="11">
        <v>3577</v>
      </c>
      <c r="U39" s="21">
        <v>13593505807.790001</v>
      </c>
      <c r="V39" s="21">
        <v>16030934443.049999</v>
      </c>
    </row>
    <row r="40" spans="1:22">
      <c r="A40" s="65">
        <v>33</v>
      </c>
      <c r="B40" s="22" t="s">
        <v>67</v>
      </c>
      <c r="C40" s="22" t="s">
        <v>68</v>
      </c>
      <c r="D40" s="21">
        <v>15058512040.08</v>
      </c>
      <c r="E40" s="21">
        <v>608352893.07000005</v>
      </c>
      <c r="F40" s="21"/>
      <c r="G40" s="21">
        <v>48959662.960000001</v>
      </c>
      <c r="H40" s="13">
        <f t="shared" si="19"/>
        <v>559393230.11000001</v>
      </c>
      <c r="I40" s="56">
        <v>33239101369.5</v>
      </c>
      <c r="J40" s="14">
        <f t="shared" si="20"/>
        <v>1.7361053251797282E-2</v>
      </c>
      <c r="K40" s="56">
        <v>36404099330.169998</v>
      </c>
      <c r="L40" s="14">
        <f t="shared" si="21"/>
        <v>1.7030752414602099E-2</v>
      </c>
      <c r="M40" s="14">
        <f t="shared" si="22"/>
        <v>9.5219119358448762E-2</v>
      </c>
      <c r="N40" s="24">
        <f t="shared" si="23"/>
        <v>1.3448942251243817E-3</v>
      </c>
      <c r="O40" s="25">
        <f t="shared" si="24"/>
        <v>1.5366215354939473E-2</v>
      </c>
      <c r="P40" s="28">
        <f t="shared" si="25"/>
        <v>99.999999808180945</v>
      </c>
      <c r="Q40" s="28">
        <f t="shared" si="26"/>
        <v>1.5366215325464143</v>
      </c>
      <c r="R40" s="11">
        <v>100</v>
      </c>
      <c r="S40" s="11">
        <v>100</v>
      </c>
      <c r="T40" s="11">
        <v>6404</v>
      </c>
      <c r="U40" s="21">
        <v>336072483</v>
      </c>
      <c r="V40" s="21">
        <v>364040994</v>
      </c>
    </row>
    <row r="41" spans="1:22">
      <c r="A41" s="65">
        <v>34</v>
      </c>
      <c r="B41" s="22" t="s">
        <v>69</v>
      </c>
      <c r="C41" s="22" t="s">
        <v>68</v>
      </c>
      <c r="D41" s="21">
        <v>1889020949.4100001</v>
      </c>
      <c r="E41" s="21">
        <v>48687932.740000002</v>
      </c>
      <c r="F41" s="21">
        <v>0</v>
      </c>
      <c r="G41" s="21">
        <v>2453298.12</v>
      </c>
      <c r="H41" s="13">
        <f t="shared" si="19"/>
        <v>46234634.620000005</v>
      </c>
      <c r="I41" s="56">
        <v>2115334854.0799999</v>
      </c>
      <c r="J41" s="14">
        <f t="shared" si="20"/>
        <v>1.1048566156714405E-3</v>
      </c>
      <c r="K41" s="56">
        <v>4217001443.9699998</v>
      </c>
      <c r="L41" s="14">
        <f t="shared" si="21"/>
        <v>1.972819238649661E-3</v>
      </c>
      <c r="M41" s="14">
        <f t="shared" si="22"/>
        <v>0.99353848674897161</v>
      </c>
      <c r="N41" s="24">
        <f t="shared" si="23"/>
        <v>5.8176364238813217E-4</v>
      </c>
      <c r="O41" s="25">
        <f t="shared" si="24"/>
        <v>1.0963865019802664E-2</v>
      </c>
      <c r="P41" s="28">
        <f t="shared" si="25"/>
        <v>1000000.3424164098</v>
      </c>
      <c r="Q41" s="28">
        <f t="shared" si="26"/>
        <v>10963.868774009961</v>
      </c>
      <c r="R41" s="11">
        <v>1000000</v>
      </c>
      <c r="S41" s="11">
        <v>1000000</v>
      </c>
      <c r="T41" s="11">
        <v>35</v>
      </c>
      <c r="U41" s="21">
        <v>1960</v>
      </c>
      <c r="V41" s="21">
        <v>4217</v>
      </c>
    </row>
    <row r="42" spans="1:22">
      <c r="A42" s="65">
        <v>35</v>
      </c>
      <c r="B42" s="66" t="s">
        <v>70</v>
      </c>
      <c r="C42" s="66" t="s">
        <v>71</v>
      </c>
      <c r="D42" s="21">
        <v>4098174471.9299998</v>
      </c>
      <c r="E42" s="21">
        <v>70882152.829999998</v>
      </c>
      <c r="F42" s="21">
        <v>0</v>
      </c>
      <c r="G42" s="21">
        <v>5933929.1600000001</v>
      </c>
      <c r="H42" s="13">
        <f t="shared" si="19"/>
        <v>64948223.670000002</v>
      </c>
      <c r="I42" s="56">
        <v>3628868390.29</v>
      </c>
      <c r="J42" s="14">
        <f t="shared" si="20"/>
        <v>1.895387503628419E-3</v>
      </c>
      <c r="K42" s="56">
        <v>3980841311.1799998</v>
      </c>
      <c r="L42" s="14">
        <f t="shared" si="21"/>
        <v>1.8623375943911857E-3</v>
      </c>
      <c r="M42" s="14">
        <f t="shared" si="22"/>
        <v>9.6992473420032754E-2</v>
      </c>
      <c r="N42" s="24">
        <f t="shared" si="23"/>
        <v>1.4906218801877E-3</v>
      </c>
      <c r="O42" s="25">
        <f t="shared" si="24"/>
        <v>1.6315200379275623E-2</v>
      </c>
      <c r="P42" s="28">
        <f t="shared" si="25"/>
        <v>0.99465553634456016</v>
      </c>
      <c r="Q42" s="28">
        <f t="shared" si="26"/>
        <v>1.6228004383817368E-2</v>
      </c>
      <c r="R42" s="11">
        <v>1</v>
      </c>
      <c r="S42" s="11">
        <v>1</v>
      </c>
      <c r="T42" s="11">
        <v>855</v>
      </c>
      <c r="U42" s="21">
        <v>3649745013.3699999</v>
      </c>
      <c r="V42" s="21">
        <v>4002231089.7800002</v>
      </c>
    </row>
    <row r="43" spans="1:22">
      <c r="A43" s="65">
        <v>36</v>
      </c>
      <c r="B43" s="22" t="s">
        <v>72</v>
      </c>
      <c r="C43" s="22" t="s">
        <v>73</v>
      </c>
      <c r="D43" s="21">
        <v>971665982.42999995</v>
      </c>
      <c r="E43" s="21">
        <v>2702854.68</v>
      </c>
      <c r="F43" s="21">
        <v>0</v>
      </c>
      <c r="G43" s="21">
        <v>1638765.7</v>
      </c>
      <c r="H43" s="13">
        <f>(E43+F43)-G43</f>
        <v>1064088.9800000002</v>
      </c>
      <c r="I43" s="56">
        <v>1178223949.47</v>
      </c>
      <c r="J43" s="14">
        <f t="shared" si="20"/>
        <v>6.1539596097688598E-4</v>
      </c>
      <c r="K43" s="56">
        <v>1544393214.49</v>
      </c>
      <c r="L43" s="14">
        <f t="shared" si="21"/>
        <v>7.2250595264618082E-4</v>
      </c>
      <c r="M43" s="14">
        <f t="shared" si="22"/>
        <v>0.31078070105832917</v>
      </c>
      <c r="N43" s="24">
        <f t="shared" si="23"/>
        <v>1.0611065139529018E-3</v>
      </c>
      <c r="O43" s="25">
        <f t="shared" si="24"/>
        <v>6.8900133075979028E-4</v>
      </c>
      <c r="P43" s="28">
        <f t="shared" si="25"/>
        <v>1.1352827758151129</v>
      </c>
      <c r="Q43" s="28">
        <f t="shared" si="26"/>
        <v>7.822113433252815E-4</v>
      </c>
      <c r="R43" s="11">
        <v>1</v>
      </c>
      <c r="S43" s="11">
        <v>1</v>
      </c>
      <c r="T43" s="11">
        <f>988+34+11</f>
        <v>1033</v>
      </c>
      <c r="U43" s="21">
        <v>1031545263.11</v>
      </c>
      <c r="V43" s="21">
        <v>1360359945.02</v>
      </c>
    </row>
    <row r="44" spans="1:22">
      <c r="A44" s="65">
        <v>37</v>
      </c>
      <c r="B44" s="22" t="s">
        <v>74</v>
      </c>
      <c r="C44" s="22" t="s">
        <v>75</v>
      </c>
      <c r="D44" s="21">
        <v>425856038040.59998</v>
      </c>
      <c r="E44" s="21">
        <v>7574895339.2799997</v>
      </c>
      <c r="F44" s="21">
        <v>0</v>
      </c>
      <c r="G44" s="21">
        <v>592291141.05999994</v>
      </c>
      <c r="H44" s="13">
        <f t="shared" ref="H44" si="27">(E44+F44)-G44</f>
        <v>6982604198.2199993</v>
      </c>
      <c r="I44" s="56">
        <v>388972255661.25</v>
      </c>
      <c r="J44" s="14">
        <f t="shared" si="20"/>
        <v>0.20316337583672317</v>
      </c>
      <c r="K44" s="56">
        <v>411077199600.46002</v>
      </c>
      <c r="L44" s="14">
        <f t="shared" si="21"/>
        <v>0.19231224335994884</v>
      </c>
      <c r="M44" s="14">
        <f t="shared" si="22"/>
        <v>5.6829101863915148E-2</v>
      </c>
      <c r="N44" s="24">
        <f t="shared" si="23"/>
        <v>1.4408270311164616E-3</v>
      </c>
      <c r="O44" s="25">
        <f t="shared" si="24"/>
        <v>1.6986114055964747E-2</v>
      </c>
      <c r="P44" s="28">
        <f t="shared" si="25"/>
        <v>100.06006590117963</v>
      </c>
      <c r="Q44" s="28">
        <f t="shared" si="26"/>
        <v>1.699631691844786</v>
      </c>
      <c r="R44" s="11">
        <v>100</v>
      </c>
      <c r="S44" s="11">
        <v>100</v>
      </c>
      <c r="T44" s="11">
        <v>31472</v>
      </c>
      <c r="U44" s="21">
        <v>3887282067</v>
      </c>
      <c r="V44" s="21">
        <v>4108304306</v>
      </c>
    </row>
    <row r="45" spans="1:22">
      <c r="A45" s="65">
        <v>38</v>
      </c>
      <c r="B45" s="22" t="s">
        <v>274</v>
      </c>
      <c r="C45" s="22" t="s">
        <v>275</v>
      </c>
      <c r="D45" s="21">
        <v>523163013</v>
      </c>
      <c r="E45" s="21">
        <v>5503078.04</v>
      </c>
      <c r="F45" s="21">
        <v>0</v>
      </c>
      <c r="G45" s="21">
        <v>2845711.46</v>
      </c>
      <c r="H45" s="13">
        <f t="shared" si="19"/>
        <v>2657366.58</v>
      </c>
      <c r="I45" s="20">
        <v>0</v>
      </c>
      <c r="J45" s="14">
        <f t="shared" si="20"/>
        <v>0</v>
      </c>
      <c r="K45" s="56">
        <v>523163013</v>
      </c>
      <c r="L45" s="14">
        <f t="shared" si="21"/>
        <v>2.4474880331666903E-4</v>
      </c>
      <c r="M45" s="14" t="e">
        <f t="shared" si="22"/>
        <v>#DIV/0!</v>
      </c>
      <c r="N45" s="24">
        <f t="shared" si="23"/>
        <v>5.4394354900620624E-3</v>
      </c>
      <c r="O45" s="25">
        <f t="shared" si="24"/>
        <v>5.0794236480169522E-3</v>
      </c>
      <c r="P45" s="28">
        <f t="shared" si="25"/>
        <v>1</v>
      </c>
      <c r="Q45" s="28">
        <f t="shared" si="26"/>
        <v>5.0794236480169522E-3</v>
      </c>
      <c r="R45" s="11">
        <v>1</v>
      </c>
      <c r="S45" s="11">
        <v>1</v>
      </c>
      <c r="T45" s="11">
        <v>95</v>
      </c>
      <c r="U45" s="21">
        <f>V45+32275000</f>
        <v>555438013</v>
      </c>
      <c r="V45" s="21">
        <v>523163013</v>
      </c>
    </row>
    <row r="46" spans="1:22" ht="16.95" customHeight="1">
      <c r="A46" s="65">
        <v>39</v>
      </c>
      <c r="B46" s="22" t="s">
        <v>76</v>
      </c>
      <c r="C46" s="22" t="s">
        <v>77</v>
      </c>
      <c r="D46" s="21">
        <v>818101428.61000001</v>
      </c>
      <c r="E46" s="21">
        <v>10886527.949999999</v>
      </c>
      <c r="F46" s="21">
        <v>0</v>
      </c>
      <c r="G46" s="21">
        <v>1844494.96</v>
      </c>
      <c r="H46" s="13">
        <f t="shared" si="19"/>
        <v>9042032.9899999984</v>
      </c>
      <c r="I46" s="56">
        <v>672259241.41999996</v>
      </c>
      <c r="J46" s="14">
        <f t="shared" si="20"/>
        <v>3.5112647479738489E-4</v>
      </c>
      <c r="K46" s="56">
        <v>792006290.66999996</v>
      </c>
      <c r="L46" s="14">
        <f t="shared" si="21"/>
        <v>3.7052044399927105E-4</v>
      </c>
      <c r="M46" s="14">
        <f t="shared" si="22"/>
        <v>0.17812629692834073</v>
      </c>
      <c r="N46" s="24">
        <f t="shared" si="23"/>
        <v>2.3288892799571631E-3</v>
      </c>
      <c r="O46" s="25">
        <f t="shared" si="24"/>
        <v>1.141661764119432E-2</v>
      </c>
      <c r="P46" s="28">
        <f t="shared" si="25"/>
        <v>10.069385661489243</v>
      </c>
      <c r="Q46" s="28">
        <f t="shared" si="26"/>
        <v>0.11495832597894723</v>
      </c>
      <c r="R46" s="11">
        <v>10</v>
      </c>
      <c r="S46" s="11">
        <v>10</v>
      </c>
      <c r="T46" s="11">
        <v>427</v>
      </c>
      <c r="U46" s="21">
        <v>70070007</v>
      </c>
      <c r="V46" s="21">
        <v>78654877</v>
      </c>
    </row>
    <row r="47" spans="1:22">
      <c r="A47" s="65">
        <v>40</v>
      </c>
      <c r="B47" s="22" t="s">
        <v>78</v>
      </c>
      <c r="C47" s="22" t="s">
        <v>79</v>
      </c>
      <c r="D47" s="21">
        <v>2308998625.0700002</v>
      </c>
      <c r="E47" s="21">
        <v>81934618.329999998</v>
      </c>
      <c r="F47" s="21">
        <v>0</v>
      </c>
      <c r="G47" s="21">
        <v>9926485.3200000003</v>
      </c>
      <c r="H47" s="13">
        <f t="shared" si="19"/>
        <v>72008133.00999999</v>
      </c>
      <c r="I47" s="56">
        <v>5654783095.9300003</v>
      </c>
      <c r="J47" s="14">
        <f t="shared" si="20"/>
        <v>2.9535392477814332E-3</v>
      </c>
      <c r="K47" s="56">
        <v>6165091381.3999996</v>
      </c>
      <c r="L47" s="14">
        <f t="shared" si="21"/>
        <v>2.8841846622203009E-3</v>
      </c>
      <c r="M47" s="14">
        <f t="shared" si="22"/>
        <v>9.0243653348488453E-2</v>
      </c>
      <c r="N47" s="24">
        <f t="shared" si="23"/>
        <v>1.6101116278581169E-3</v>
      </c>
      <c r="O47" s="25">
        <f t="shared" si="24"/>
        <v>1.1679978212042013E-2</v>
      </c>
      <c r="P47" s="28">
        <f t="shared" si="25"/>
        <v>102.25681912106515</v>
      </c>
      <c r="Q47" s="28">
        <f t="shared" si="26"/>
        <v>1.1943574193667621</v>
      </c>
      <c r="R47" s="11">
        <v>100</v>
      </c>
      <c r="S47" s="11">
        <v>100</v>
      </c>
      <c r="T47" s="11">
        <v>803</v>
      </c>
      <c r="U47" s="21">
        <v>55589603.439999998</v>
      </c>
      <c r="V47" s="21">
        <v>60290271.439999998</v>
      </c>
    </row>
    <row r="48" spans="1:22">
      <c r="A48" s="65">
        <v>41</v>
      </c>
      <c r="B48" s="68" t="s">
        <v>254</v>
      </c>
      <c r="C48" s="68" t="s">
        <v>230</v>
      </c>
      <c r="D48" s="21">
        <v>85535479.4261792</v>
      </c>
      <c r="E48" s="21">
        <v>5782654.1661792397</v>
      </c>
      <c r="F48" s="21">
        <v>0</v>
      </c>
      <c r="G48" s="21">
        <v>81844.75</v>
      </c>
      <c r="H48" s="13">
        <f t="shared" si="19"/>
        <v>5700809.4161792397</v>
      </c>
      <c r="I48" s="56">
        <v>76127241.840000004</v>
      </c>
      <c r="J48" s="14">
        <f t="shared" si="20"/>
        <v>3.9761878180901344E-5</v>
      </c>
      <c r="K48" s="56">
        <v>85453634.680000007</v>
      </c>
      <c r="L48" s="14">
        <f t="shared" si="21"/>
        <v>3.9977357548764271E-5</v>
      </c>
      <c r="M48" s="14">
        <f t="shared" si="22"/>
        <v>0.12251058378814901</v>
      </c>
      <c r="N48" s="24">
        <f t="shared" si="23"/>
        <v>9.5776792065645569E-4</v>
      </c>
      <c r="O48" s="25">
        <f t="shared" si="24"/>
        <v>6.671231057083972E-2</v>
      </c>
      <c r="P48" s="28">
        <f t="shared" si="25"/>
        <v>1.0679077949266853</v>
      </c>
      <c r="Q48" s="28">
        <f t="shared" si="26"/>
        <v>7.1242596476169637E-2</v>
      </c>
      <c r="R48" s="11">
        <v>1</v>
      </c>
      <c r="S48" s="11">
        <v>1</v>
      </c>
      <c r="T48" s="11">
        <v>61</v>
      </c>
      <c r="U48" s="21">
        <v>75365726</v>
      </c>
      <c r="V48" s="21">
        <v>80019675</v>
      </c>
    </row>
    <row r="49" spans="1:22">
      <c r="A49" s="65">
        <v>42</v>
      </c>
      <c r="B49" s="66" t="s">
        <v>276</v>
      </c>
      <c r="C49" s="66" t="s">
        <v>36</v>
      </c>
      <c r="D49" s="21">
        <v>344414442.76999998</v>
      </c>
      <c r="E49" s="21">
        <v>4017963.72</v>
      </c>
      <c r="F49" s="21">
        <v>0</v>
      </c>
      <c r="G49" s="21">
        <v>374903.99</v>
      </c>
      <c r="H49" s="13">
        <f t="shared" si="19"/>
        <v>3643059.7300000004</v>
      </c>
      <c r="I49" s="56">
        <v>189092553</v>
      </c>
      <c r="J49" s="14">
        <f t="shared" si="20"/>
        <v>9.8764579874100307E-5</v>
      </c>
      <c r="K49" s="56">
        <v>342328641.39999998</v>
      </c>
      <c r="L49" s="14">
        <f t="shared" si="21"/>
        <v>1.6014994034693183E-4</v>
      </c>
      <c r="M49" s="14">
        <f t="shared" si="22"/>
        <v>0.81037611460034586</v>
      </c>
      <c r="N49" s="24">
        <f t="shared" si="23"/>
        <v>1.0951581160921233E-3</v>
      </c>
      <c r="O49" s="25">
        <f t="shared" si="24"/>
        <v>1.0641995116450694E-2</v>
      </c>
      <c r="P49" s="28">
        <f t="shared" si="25"/>
        <v>100.00000011684676</v>
      </c>
      <c r="Q49" s="28">
        <f t="shared" si="26"/>
        <v>1.0641995128885522</v>
      </c>
      <c r="R49" s="11">
        <v>100</v>
      </c>
      <c r="S49" s="11">
        <v>100</v>
      </c>
      <c r="T49" s="11">
        <v>1375</v>
      </c>
      <c r="U49" s="21">
        <v>1890925.53</v>
      </c>
      <c r="V49" s="21">
        <v>3423286.41</v>
      </c>
    </row>
    <row r="50" spans="1:22">
      <c r="A50" s="65">
        <v>43</v>
      </c>
      <c r="B50" s="66" t="s">
        <v>80</v>
      </c>
      <c r="C50" s="66" t="s">
        <v>36</v>
      </c>
      <c r="D50" s="21">
        <v>65201853010.580002</v>
      </c>
      <c r="E50" s="21">
        <v>1040311432.47</v>
      </c>
      <c r="F50" s="21">
        <v>0</v>
      </c>
      <c r="G50" s="21">
        <v>62838354.770000003</v>
      </c>
      <c r="H50" s="13">
        <f t="shared" si="19"/>
        <v>977473077.70000005</v>
      </c>
      <c r="I50" s="56">
        <v>57295185548.589996</v>
      </c>
      <c r="J50" s="14">
        <f t="shared" si="20"/>
        <v>2.9925741864171216E-2</v>
      </c>
      <c r="K50" s="56">
        <v>64286175422.290001</v>
      </c>
      <c r="L50" s="14">
        <f t="shared" si="21"/>
        <v>3.0074688220382541E-2</v>
      </c>
      <c r="M50" s="14">
        <f t="shared" si="22"/>
        <v>0.12201705617605857</v>
      </c>
      <c r="N50" s="24">
        <f t="shared" si="23"/>
        <v>9.7747850696079837E-4</v>
      </c>
      <c r="O50" s="25">
        <f t="shared" si="24"/>
        <v>1.5205027694975923E-2</v>
      </c>
      <c r="P50" s="28">
        <f t="shared" si="25"/>
        <v>100.00000000045111</v>
      </c>
      <c r="Q50" s="28">
        <f t="shared" si="26"/>
        <v>1.5205027695044515</v>
      </c>
      <c r="R50" s="11">
        <v>100</v>
      </c>
      <c r="S50" s="11">
        <v>100</v>
      </c>
      <c r="T50" s="11">
        <v>12123</v>
      </c>
      <c r="U50" s="21">
        <v>572951855.49000001</v>
      </c>
      <c r="V50" s="21">
        <v>642861754.22000003</v>
      </c>
    </row>
    <row r="51" spans="1:22">
      <c r="A51" s="65">
        <v>44</v>
      </c>
      <c r="B51" s="22" t="s">
        <v>81</v>
      </c>
      <c r="C51" s="22" t="s">
        <v>38</v>
      </c>
      <c r="D51" s="21">
        <v>12122675592.879999</v>
      </c>
      <c r="E51" s="21">
        <v>202804303.81</v>
      </c>
      <c r="F51" s="21">
        <v>0</v>
      </c>
      <c r="G51" s="21">
        <v>14536041.779999999</v>
      </c>
      <c r="H51" s="13">
        <f t="shared" si="19"/>
        <v>188268262.03</v>
      </c>
      <c r="I51" s="56">
        <v>9789190042.7700005</v>
      </c>
      <c r="J51" s="14">
        <f t="shared" si="20"/>
        <v>5.1129736551915146E-3</v>
      </c>
      <c r="K51" s="56">
        <v>12066771445.82</v>
      </c>
      <c r="L51" s="14">
        <f t="shared" si="21"/>
        <v>5.6451388914609624E-3</v>
      </c>
      <c r="M51" s="14">
        <f t="shared" si="22"/>
        <v>0.23266290603196041</v>
      </c>
      <c r="N51" s="24">
        <f t="shared" si="23"/>
        <v>1.2046338861448618E-3</v>
      </c>
      <c r="O51" s="25">
        <f t="shared" si="24"/>
        <v>1.5602206677679076E-2</v>
      </c>
      <c r="P51" s="28">
        <f t="shared" si="25"/>
        <v>0.9995260783132861</v>
      </c>
      <c r="Q51" s="28">
        <f t="shared" si="26"/>
        <v>1.5594812453573931E-2</v>
      </c>
      <c r="R51" s="11">
        <v>1</v>
      </c>
      <c r="S51" s="11">
        <v>1</v>
      </c>
      <c r="T51" s="11">
        <v>1381</v>
      </c>
      <c r="U51" s="21">
        <v>9794891361</v>
      </c>
      <c r="V51" s="21">
        <v>12072492862</v>
      </c>
    </row>
    <row r="52" spans="1:22">
      <c r="A52" s="65">
        <v>45</v>
      </c>
      <c r="B52" s="22" t="s">
        <v>82</v>
      </c>
      <c r="C52" s="22" t="s">
        <v>40</v>
      </c>
      <c r="D52" s="21">
        <v>27323197441.5</v>
      </c>
      <c r="E52" s="21">
        <v>442924875.33999997</v>
      </c>
      <c r="F52" s="21">
        <v>0</v>
      </c>
      <c r="G52" s="21">
        <v>28549433.77</v>
      </c>
      <c r="H52" s="13">
        <f t="shared" si="19"/>
        <v>414375441.56999999</v>
      </c>
      <c r="I52" s="56">
        <v>566616482.89999998</v>
      </c>
      <c r="J52" s="14">
        <f t="shared" si="20"/>
        <v>2.9594840196249739E-4</v>
      </c>
      <c r="K52" s="56">
        <v>26953286605.18</v>
      </c>
      <c r="L52" s="14">
        <f t="shared" si="21"/>
        <v>1.2609424745531485E-2</v>
      </c>
      <c r="M52" s="14">
        <f t="shared" si="22"/>
        <v>46.568836097443501</v>
      </c>
      <c r="N52" s="24">
        <f t="shared" si="23"/>
        <v>1.0592190180070005E-3</v>
      </c>
      <c r="O52" s="25">
        <f t="shared" si="24"/>
        <v>1.5373837248121107E-2</v>
      </c>
      <c r="P52" s="28">
        <f t="shared" si="25"/>
        <v>10.028794892438338</v>
      </c>
      <c r="Q52" s="28">
        <f t="shared" si="26"/>
        <v>0.15418106047113522</v>
      </c>
      <c r="R52" s="11">
        <v>10</v>
      </c>
      <c r="S52" s="11">
        <v>10</v>
      </c>
      <c r="T52" s="11">
        <v>3815</v>
      </c>
      <c r="U52" s="21">
        <v>2167673745.5</v>
      </c>
      <c r="V52" s="21">
        <v>2687589774.6700001</v>
      </c>
    </row>
    <row r="53" spans="1:22" ht="14.1" customHeight="1">
      <c r="A53" s="65">
        <v>46</v>
      </c>
      <c r="B53" s="22" t="s">
        <v>83</v>
      </c>
      <c r="C53" s="22" t="s">
        <v>268</v>
      </c>
      <c r="D53" s="21">
        <v>7418721176.5799999</v>
      </c>
      <c r="E53" s="21">
        <v>272035775.89999998</v>
      </c>
      <c r="F53" s="21">
        <v>0</v>
      </c>
      <c r="G53" s="21">
        <v>16239366.76</v>
      </c>
      <c r="H53" s="13">
        <f t="shared" si="19"/>
        <v>255796409.13999999</v>
      </c>
      <c r="I53" s="56">
        <v>14324121136</v>
      </c>
      <c r="J53" s="14">
        <f t="shared" si="20"/>
        <v>7.4816050850123137E-3</v>
      </c>
      <c r="K53" s="56">
        <v>15644888836</v>
      </c>
      <c r="L53" s="14">
        <f t="shared" si="21"/>
        <v>7.3190721161194077E-3</v>
      </c>
      <c r="M53" s="14">
        <f t="shared" si="22"/>
        <v>9.220584547282204E-2</v>
      </c>
      <c r="N53" s="24">
        <f t="shared" si="23"/>
        <v>1.0379982197528986E-3</v>
      </c>
      <c r="O53" s="25">
        <f t="shared" si="24"/>
        <v>1.6350158305464869E-2</v>
      </c>
      <c r="P53" s="28">
        <f t="shared" si="25"/>
        <v>100.0000002301071</v>
      </c>
      <c r="Q53" s="28">
        <f t="shared" si="26"/>
        <v>1.6350158343087744</v>
      </c>
      <c r="R53" s="11">
        <v>100</v>
      </c>
      <c r="S53" s="11">
        <v>100</v>
      </c>
      <c r="T53" s="11">
        <f>3447+104+70</f>
        <v>3621</v>
      </c>
      <c r="U53" s="21">
        <v>143241211</v>
      </c>
      <c r="V53" s="21">
        <v>156448888</v>
      </c>
    </row>
    <row r="54" spans="1:22">
      <c r="A54" s="65">
        <v>47</v>
      </c>
      <c r="B54" s="22" t="s">
        <v>84</v>
      </c>
      <c r="C54" s="66" t="s">
        <v>85</v>
      </c>
      <c r="D54" s="21">
        <v>249787515.55000001</v>
      </c>
      <c r="E54" s="21">
        <v>4008356.59</v>
      </c>
      <c r="F54" s="21">
        <v>0</v>
      </c>
      <c r="G54" s="21">
        <v>3804542.39</v>
      </c>
      <c r="H54" s="13">
        <f t="shared" si="19"/>
        <v>203814.19999999972</v>
      </c>
      <c r="I54" s="56">
        <v>288338867.47000003</v>
      </c>
      <c r="J54" s="14">
        <f t="shared" si="20"/>
        <v>1.5060173790687803E-4</v>
      </c>
      <c r="K54" s="56">
        <v>231533093.31</v>
      </c>
      <c r="L54" s="14">
        <f t="shared" si="21"/>
        <v>1.0831699892329576E-4</v>
      </c>
      <c r="M54" s="14">
        <f t="shared" si="22"/>
        <v>-0.19701046431386962</v>
      </c>
      <c r="N54" s="24">
        <f t="shared" si="23"/>
        <v>1.6431959404205311E-2</v>
      </c>
      <c r="O54" s="25">
        <f t="shared" si="24"/>
        <v>8.8028107380361644E-4</v>
      </c>
      <c r="P54" s="28">
        <f t="shared" si="25"/>
        <v>1.012134077895837</v>
      </c>
      <c r="Q54" s="28">
        <f t="shared" si="26"/>
        <v>8.909624729233805E-4</v>
      </c>
      <c r="R54" s="11">
        <v>1</v>
      </c>
      <c r="S54" s="11">
        <v>1</v>
      </c>
      <c r="T54" s="11">
        <v>83</v>
      </c>
      <c r="U54" s="21">
        <v>285412969</v>
      </c>
      <c r="V54" s="21">
        <v>228757334</v>
      </c>
    </row>
    <row r="55" spans="1:22" ht="15" customHeight="1">
      <c r="A55" s="65">
        <v>48</v>
      </c>
      <c r="B55" s="66" t="s">
        <v>86</v>
      </c>
      <c r="C55" s="66" t="s">
        <v>42</v>
      </c>
      <c r="D55" s="21">
        <f>33421877.42+75172609.32+969159904.3+175917959.36</f>
        <v>1253672350.4000001</v>
      </c>
      <c r="E55" s="21">
        <v>53373533.880000003</v>
      </c>
      <c r="F55" s="21">
        <v>0</v>
      </c>
      <c r="G55" s="21">
        <v>1293452.52</v>
      </c>
      <c r="H55" s="13">
        <f t="shared" si="19"/>
        <v>52080081.359999999</v>
      </c>
      <c r="I55" s="56">
        <v>1236368604.9300001</v>
      </c>
      <c r="J55" s="14">
        <f t="shared" si="20"/>
        <v>6.457653878914997E-4</v>
      </c>
      <c r="K55" s="56">
        <v>1273888549.8399999</v>
      </c>
      <c r="L55" s="14">
        <f t="shared" si="21"/>
        <v>5.9595707338765342E-4</v>
      </c>
      <c r="M55" s="14">
        <f t="shared" si="22"/>
        <v>3.0346892310585748E-2</v>
      </c>
      <c r="N55" s="24">
        <f t="shared" si="23"/>
        <v>1.0153576780028812E-3</v>
      </c>
      <c r="O55" s="25">
        <f t="shared" si="24"/>
        <v>4.0882761185459471E-2</v>
      </c>
      <c r="P55" s="28">
        <f t="shared" si="25"/>
        <v>12.146739873533138</v>
      </c>
      <c r="Q55" s="28">
        <f t="shared" si="26"/>
        <v>0.49659226543155338</v>
      </c>
      <c r="R55" s="11">
        <v>10</v>
      </c>
      <c r="S55" s="11">
        <v>10</v>
      </c>
      <c r="T55" s="11">
        <v>751</v>
      </c>
      <c r="U55" s="21">
        <v>104662789.59999999</v>
      </c>
      <c r="V55" s="21">
        <v>104874934.59999999</v>
      </c>
    </row>
    <row r="56" spans="1:22" ht="15" customHeight="1">
      <c r="A56" s="65">
        <v>49</v>
      </c>
      <c r="B56" s="11" t="s">
        <v>213</v>
      </c>
      <c r="C56" s="11" t="s">
        <v>214</v>
      </c>
      <c r="D56" s="21">
        <v>414367202.92000002</v>
      </c>
      <c r="E56" s="21">
        <v>12122217.960000001</v>
      </c>
      <c r="F56" s="21">
        <v>0</v>
      </c>
      <c r="G56" s="21">
        <v>1604788.86</v>
      </c>
      <c r="H56" s="13">
        <f t="shared" si="19"/>
        <v>10517429.100000001</v>
      </c>
      <c r="I56" s="56">
        <v>748486894.16999996</v>
      </c>
      <c r="J56" s="14">
        <f t="shared" si="20"/>
        <v>3.9094079841404559E-4</v>
      </c>
      <c r="K56" s="56">
        <v>776361894.16999996</v>
      </c>
      <c r="L56" s="14">
        <f t="shared" si="21"/>
        <v>3.6320160221030366E-4</v>
      </c>
      <c r="M56" s="14">
        <f t="shared" si="22"/>
        <v>3.7241801048381346E-2</v>
      </c>
      <c r="N56" s="24">
        <f t="shared" si="23"/>
        <v>2.0670628891641604E-3</v>
      </c>
      <c r="O56" s="25">
        <f t="shared" si="24"/>
        <v>1.3547070224568492E-2</v>
      </c>
      <c r="P56" s="28">
        <f t="shared" si="25"/>
        <v>1.0000065294331637</v>
      </c>
      <c r="Q56" s="28">
        <f t="shared" si="26"/>
        <v>1.3547158679258087E-2</v>
      </c>
      <c r="R56" s="11">
        <v>1</v>
      </c>
      <c r="S56" s="11">
        <v>1</v>
      </c>
      <c r="T56" s="11">
        <v>74</v>
      </c>
      <c r="U56" s="21">
        <v>748486825</v>
      </c>
      <c r="V56" s="21">
        <v>776356825</v>
      </c>
    </row>
    <row r="57" spans="1:22" ht="15" customHeight="1">
      <c r="A57" s="65">
        <v>50</v>
      </c>
      <c r="B57" s="68" t="s">
        <v>215</v>
      </c>
      <c r="C57" s="69" t="s">
        <v>216</v>
      </c>
      <c r="D57" s="21">
        <v>9120301141.2695465</v>
      </c>
      <c r="E57" s="21">
        <v>152189981.24919999</v>
      </c>
      <c r="F57" s="21">
        <v>0</v>
      </c>
      <c r="G57" s="21">
        <v>10320355.039999999</v>
      </c>
      <c r="H57" s="13">
        <f t="shared" si="19"/>
        <v>141869626.20919999</v>
      </c>
      <c r="I57" s="56">
        <v>7175498209.9899998</v>
      </c>
      <c r="J57" s="14">
        <f t="shared" si="20"/>
        <v>3.7478211323162007E-3</v>
      </c>
      <c r="K57" s="56">
        <v>9070703445.4099998</v>
      </c>
      <c r="L57" s="14">
        <f t="shared" si="21"/>
        <v>4.2435029968460021E-3</v>
      </c>
      <c r="M57" s="14">
        <f t="shared" si="22"/>
        <v>0.26412176269257842</v>
      </c>
      <c r="N57" s="24">
        <f t="shared" si="23"/>
        <v>1.1377678811914365E-3</v>
      </c>
      <c r="O57" s="25">
        <f t="shared" si="24"/>
        <v>1.5640421612613687E-2</v>
      </c>
      <c r="P57" s="28">
        <f t="shared" si="25"/>
        <v>762.05978499187006</v>
      </c>
      <c r="Q57" s="28">
        <f t="shared" si="26"/>
        <v>11.918936331290583</v>
      </c>
      <c r="R57" s="11">
        <v>100</v>
      </c>
      <c r="S57" s="11">
        <v>100</v>
      </c>
      <c r="T57" s="11">
        <v>102</v>
      </c>
      <c r="U57" s="21">
        <v>100000000</v>
      </c>
      <c r="V57" s="21">
        <v>11902876.42</v>
      </c>
    </row>
    <row r="58" spans="1:22" ht="15" customHeight="1">
      <c r="A58" s="65">
        <v>51</v>
      </c>
      <c r="B58" s="68" t="s">
        <v>217</v>
      </c>
      <c r="C58" s="69" t="s">
        <v>112</v>
      </c>
      <c r="D58" s="21">
        <v>50000000</v>
      </c>
      <c r="E58" s="21">
        <v>908551.31</v>
      </c>
      <c r="F58" s="21">
        <v>0</v>
      </c>
      <c r="G58" s="21">
        <v>58662.47</v>
      </c>
      <c r="H58" s="13">
        <f t="shared" si="19"/>
        <v>849888.84000000008</v>
      </c>
      <c r="I58" s="56">
        <v>51544253.399999999</v>
      </c>
      <c r="J58" s="14">
        <f t="shared" si="20"/>
        <v>2.6921983183415831E-5</v>
      </c>
      <c r="K58" s="56">
        <v>52474888.850000001</v>
      </c>
      <c r="L58" s="14">
        <f t="shared" si="21"/>
        <v>2.4549071572482741E-5</v>
      </c>
      <c r="M58" s="14">
        <f t="shared" si="22"/>
        <v>1.8055076727525227E-2</v>
      </c>
      <c r="N58" s="24">
        <f t="shared" si="23"/>
        <v>1.1179150882565424E-3</v>
      </c>
      <c r="O58" s="25">
        <f t="shared" si="24"/>
        <v>1.619610557783964E-2</v>
      </c>
      <c r="P58" s="28">
        <f t="shared" si="25"/>
        <v>1016.4627380145279</v>
      </c>
      <c r="Q58" s="28">
        <f t="shared" si="26"/>
        <v>16.462737820823246</v>
      </c>
      <c r="R58" s="11">
        <v>1000</v>
      </c>
      <c r="S58" s="11">
        <v>1000</v>
      </c>
      <c r="T58" s="11">
        <v>23</v>
      </c>
      <c r="U58" s="21">
        <v>51603</v>
      </c>
      <c r="V58" s="21">
        <v>51625</v>
      </c>
    </row>
    <row r="59" spans="1:22">
      <c r="A59" s="65">
        <v>52</v>
      </c>
      <c r="B59" s="22" t="s">
        <v>87</v>
      </c>
      <c r="C59" s="22" t="s">
        <v>46</v>
      </c>
      <c r="D59" s="21">
        <v>1002526081563.08</v>
      </c>
      <c r="E59" s="21">
        <v>17644953554.490002</v>
      </c>
      <c r="F59" s="21">
        <v>0</v>
      </c>
      <c r="G59" s="21">
        <v>1463618500.8099999</v>
      </c>
      <c r="H59" s="13">
        <f t="shared" si="19"/>
        <v>16181335053.680002</v>
      </c>
      <c r="I59" s="56">
        <v>893965831055.31995</v>
      </c>
      <c r="J59" s="14">
        <f t="shared" si="20"/>
        <v>0.46692563152383698</v>
      </c>
      <c r="K59" s="56">
        <v>1000033677468.4399</v>
      </c>
      <c r="L59" s="14">
        <f t="shared" si="21"/>
        <v>0.46784088277427294</v>
      </c>
      <c r="M59" s="14">
        <f t="shared" si="22"/>
        <v>0.11864865829145584</v>
      </c>
      <c r="N59" s="24">
        <f t="shared" si="23"/>
        <v>1.4635692115040698E-3</v>
      </c>
      <c r="O59" s="25">
        <f t="shared" si="24"/>
        <v>1.6180790125631214E-2</v>
      </c>
      <c r="P59" s="28">
        <f t="shared" si="25"/>
        <v>1</v>
      </c>
      <c r="Q59" s="28">
        <f t="shared" si="26"/>
        <v>1.6180790125631214E-2</v>
      </c>
      <c r="R59" s="11">
        <v>100</v>
      </c>
      <c r="S59" s="11">
        <v>100</v>
      </c>
      <c r="T59" s="11">
        <v>162041</v>
      </c>
      <c r="U59" s="21">
        <v>878936562103.28003</v>
      </c>
      <c r="V59" s="21">
        <v>1000033677468.4399</v>
      </c>
    </row>
    <row r="60" spans="1:22">
      <c r="A60" s="65">
        <v>53</v>
      </c>
      <c r="B60" s="22" t="s">
        <v>88</v>
      </c>
      <c r="C60" s="22" t="s">
        <v>89</v>
      </c>
      <c r="D60" s="21">
        <v>3882304705.5100002</v>
      </c>
      <c r="E60" s="21">
        <v>65723971.909999996</v>
      </c>
      <c r="F60" s="21">
        <v>0</v>
      </c>
      <c r="G60" s="21">
        <v>4975113.6399999997</v>
      </c>
      <c r="H60" s="13">
        <f t="shared" si="19"/>
        <v>60748858.269999996</v>
      </c>
      <c r="I60" s="56">
        <v>3644121798.1700001</v>
      </c>
      <c r="J60" s="14">
        <f t="shared" si="20"/>
        <v>1.9033544827453412E-3</v>
      </c>
      <c r="K60" s="56">
        <v>3891445650.2199998</v>
      </c>
      <c r="L60" s="14">
        <f t="shared" si="21"/>
        <v>1.8205160578949452E-3</v>
      </c>
      <c r="M60" s="14">
        <f t="shared" si="22"/>
        <v>6.7869260619719263E-2</v>
      </c>
      <c r="N60" s="24">
        <f t="shared" si="23"/>
        <v>1.2784743992810836E-3</v>
      </c>
      <c r="O60" s="25">
        <f t="shared" si="24"/>
        <v>1.56108715707145E-2</v>
      </c>
      <c r="P60" s="28">
        <f t="shared" si="25"/>
        <v>1.0316810828197724</v>
      </c>
      <c r="Q60" s="28">
        <f t="shared" si="26"/>
        <v>1.6105440885835137E-2</v>
      </c>
      <c r="R60" s="11">
        <v>1</v>
      </c>
      <c r="S60" s="11">
        <v>1</v>
      </c>
      <c r="T60" s="11">
        <v>435</v>
      </c>
      <c r="U60" s="21">
        <v>3581406105.5900002</v>
      </c>
      <c r="V60" s="21">
        <v>3771946306.8800001</v>
      </c>
    </row>
    <row r="61" spans="1:22">
      <c r="A61" s="65">
        <v>54</v>
      </c>
      <c r="B61" s="22" t="s">
        <v>90</v>
      </c>
      <c r="C61" s="22" t="s">
        <v>50</v>
      </c>
      <c r="D61" s="21">
        <v>35946432848.239723</v>
      </c>
      <c r="E61" s="21">
        <v>1691691792</v>
      </c>
      <c r="F61" s="21">
        <v>0</v>
      </c>
      <c r="G61" s="21">
        <v>128474113</v>
      </c>
      <c r="H61" s="13">
        <f t="shared" si="19"/>
        <v>1563217679</v>
      </c>
      <c r="I61" s="56">
        <v>92286533382.419373</v>
      </c>
      <c r="J61" s="14">
        <f t="shared" si="20"/>
        <v>4.8202007709694329E-2</v>
      </c>
      <c r="K61" s="56">
        <v>98844216092.389252</v>
      </c>
      <c r="L61" s="14">
        <f t="shared" si="21"/>
        <v>4.6241808006764633E-2</v>
      </c>
      <c r="M61" s="14">
        <f t="shared" si="22"/>
        <v>7.1057850691996202E-2</v>
      </c>
      <c r="N61" s="24">
        <f t="shared" si="23"/>
        <v>1.2997635883916143E-3</v>
      </c>
      <c r="O61" s="25">
        <f t="shared" si="24"/>
        <v>1.5814963594216452E-2</v>
      </c>
      <c r="P61" s="28">
        <f t="shared" si="25"/>
        <v>1.0158183632446316</v>
      </c>
      <c r="Q61" s="28">
        <f t="shared" si="26"/>
        <v>1.6065130433050391E-2</v>
      </c>
      <c r="R61" s="11">
        <v>1</v>
      </c>
      <c r="S61" s="11">
        <v>1</v>
      </c>
      <c r="T61" s="11">
        <v>11459</v>
      </c>
      <c r="U61" s="21">
        <v>91267554548.110001</v>
      </c>
      <c r="V61" s="21">
        <v>97305010097.149994</v>
      </c>
    </row>
    <row r="62" spans="1:22">
      <c r="A62" s="65">
        <v>55</v>
      </c>
      <c r="B62" s="70" t="s">
        <v>91</v>
      </c>
      <c r="C62" s="22" t="s">
        <v>92</v>
      </c>
      <c r="D62" s="21">
        <v>1004486128.4400001</v>
      </c>
      <c r="E62" s="21">
        <v>26819010.969999999</v>
      </c>
      <c r="F62" s="21">
        <v>0</v>
      </c>
      <c r="G62" s="21">
        <v>1888213.85</v>
      </c>
      <c r="H62" s="13">
        <f t="shared" si="19"/>
        <v>24930797.119999997</v>
      </c>
      <c r="I62" s="56">
        <v>1501672037.21</v>
      </c>
      <c r="J62" s="14">
        <f t="shared" si="20"/>
        <v>7.8433553046232331E-4</v>
      </c>
      <c r="K62" s="56">
        <v>1568846781.6199999</v>
      </c>
      <c r="L62" s="14">
        <f t="shared" si="21"/>
        <v>7.3394594580925118E-4</v>
      </c>
      <c r="M62" s="14">
        <f t="shared" si="22"/>
        <v>4.4733299112904676E-2</v>
      </c>
      <c r="N62" s="24">
        <f t="shared" si="23"/>
        <v>1.2035680425402792E-3</v>
      </c>
      <c r="O62" s="25">
        <f t="shared" si="24"/>
        <v>1.5891161209672953E-2</v>
      </c>
      <c r="P62" s="28">
        <f t="shared" si="25"/>
        <v>1.0808902809655272</v>
      </c>
      <c r="Q62" s="28">
        <f t="shared" si="26"/>
        <v>1.7176601704791888E-2</v>
      </c>
      <c r="R62" s="11">
        <v>1</v>
      </c>
      <c r="S62" s="11">
        <v>1</v>
      </c>
      <c r="T62" s="11">
        <v>149</v>
      </c>
      <c r="U62" s="21">
        <v>1407690393.0699999</v>
      </c>
      <c r="V62" s="21">
        <v>1451439437.7</v>
      </c>
    </row>
    <row r="63" spans="1:22">
      <c r="A63" s="65">
        <v>56</v>
      </c>
      <c r="B63" s="22" t="s">
        <v>93</v>
      </c>
      <c r="C63" s="22" t="s">
        <v>94</v>
      </c>
      <c r="D63" s="21">
        <v>3432671707.9000001</v>
      </c>
      <c r="E63" s="21">
        <v>49950056.619999997</v>
      </c>
      <c r="F63" s="21">
        <v>0</v>
      </c>
      <c r="G63" s="21">
        <v>4292914.2699999996</v>
      </c>
      <c r="H63" s="13">
        <f t="shared" si="19"/>
        <v>45657142.349999994</v>
      </c>
      <c r="I63" s="56">
        <v>2849898222.8299999</v>
      </c>
      <c r="J63" s="14">
        <f t="shared" si="20"/>
        <v>1.4885250434042744E-3</v>
      </c>
      <c r="K63" s="56">
        <v>3535352693.5900002</v>
      </c>
      <c r="L63" s="14">
        <f t="shared" si="21"/>
        <v>1.6539268250190978E-3</v>
      </c>
      <c r="M63" s="14">
        <f t="shared" si="22"/>
        <v>0.24051892985825005</v>
      </c>
      <c r="N63" s="24">
        <f t="shared" si="23"/>
        <v>1.2142817540619201E-3</v>
      </c>
      <c r="O63" s="25">
        <f t="shared" si="24"/>
        <v>1.2914451911058727E-2</v>
      </c>
      <c r="P63" s="28">
        <f t="shared" si="25"/>
        <v>1.026073368067824</v>
      </c>
      <c r="Q63" s="28">
        <f t="shared" si="26"/>
        <v>1.3251175169129974E-2</v>
      </c>
      <c r="R63" s="11">
        <v>1</v>
      </c>
      <c r="S63" s="11">
        <v>1</v>
      </c>
      <c r="T63" s="11">
        <v>377</v>
      </c>
      <c r="U63" s="21">
        <v>2804680411.9499998</v>
      </c>
      <c r="V63" s="21">
        <v>3445516474.3699999</v>
      </c>
    </row>
    <row r="64" spans="1:22">
      <c r="A64" s="65">
        <v>57</v>
      </c>
      <c r="B64" s="22" t="s">
        <v>95</v>
      </c>
      <c r="C64" s="22" t="s">
        <v>96</v>
      </c>
      <c r="D64" s="21">
        <v>71468378169.690002</v>
      </c>
      <c r="E64" s="21">
        <v>1192605012.3399999</v>
      </c>
      <c r="F64" s="21">
        <v>0</v>
      </c>
      <c r="G64" s="21">
        <v>72301372.129999995</v>
      </c>
      <c r="H64" s="13">
        <f t="shared" si="19"/>
        <v>1120303640.21</v>
      </c>
      <c r="I64" s="56">
        <v>61053637462.290001</v>
      </c>
      <c r="J64" s="14">
        <f t="shared" si="20"/>
        <v>3.1888811897043373E-2</v>
      </c>
      <c r="K64" s="56">
        <v>72559996044.25</v>
      </c>
      <c r="L64" s="14">
        <f t="shared" si="21"/>
        <v>3.3945389408659182E-2</v>
      </c>
      <c r="M64" s="14">
        <f t="shared" si="22"/>
        <v>0.18846311309570937</v>
      </c>
      <c r="N64" s="24">
        <f t="shared" si="23"/>
        <v>9.9643572314843734E-4</v>
      </c>
      <c r="O64" s="25">
        <f t="shared" si="24"/>
        <v>1.5439687173174512E-2</v>
      </c>
      <c r="P64" s="28">
        <f t="shared" si="25"/>
        <v>1.0311715843836005</v>
      </c>
      <c r="Q64" s="28">
        <f t="shared" si="26"/>
        <v>1.5920966684749516E-2</v>
      </c>
      <c r="R64" s="11">
        <v>1</v>
      </c>
      <c r="S64" s="11">
        <v>1</v>
      </c>
      <c r="T64" s="11">
        <v>4534</v>
      </c>
      <c r="U64" s="21">
        <v>59956740096.839996</v>
      </c>
      <c r="V64" s="21">
        <v>70366558915.240005</v>
      </c>
    </row>
    <row r="65" spans="1:24" ht="15" customHeight="1">
      <c r="A65" s="99" t="s">
        <v>51</v>
      </c>
      <c r="B65" s="99"/>
      <c r="C65" s="99"/>
      <c r="D65" s="99"/>
      <c r="E65" s="99"/>
      <c r="F65" s="99"/>
      <c r="G65" s="99"/>
      <c r="H65" s="99"/>
      <c r="I65" s="30">
        <f>SUM(I27:I64)</f>
        <v>1914578619592.6196</v>
      </c>
      <c r="J65" s="42">
        <f>(I65/$I$209)</f>
        <v>0.46893923502098367</v>
      </c>
      <c r="K65" s="44">
        <f>SUM(K27:K64)</f>
        <v>2137550851773.1294</v>
      </c>
      <c r="L65" s="42">
        <f>(K65/$K$209)</f>
        <v>0.48867332431133181</v>
      </c>
      <c r="M65" s="42">
        <f t="shared" si="14"/>
        <v>0.11646021213166653</v>
      </c>
      <c r="N65" s="24"/>
      <c r="O65" s="24"/>
      <c r="P65" s="45"/>
      <c r="Q65" s="45"/>
      <c r="R65" s="44"/>
      <c r="S65" s="44"/>
      <c r="T65" s="44">
        <f>SUM(T27:T64)</f>
        <v>364342</v>
      </c>
      <c r="U65" s="44"/>
      <c r="V65" s="44"/>
    </row>
    <row r="66" spans="1:24" ht="6.9" customHeight="1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5"/>
    </row>
    <row r="67" spans="1:24">
      <c r="A67" s="102" t="s">
        <v>97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</row>
    <row r="68" spans="1:24">
      <c r="A68" s="65">
        <v>58</v>
      </c>
      <c r="B68" s="22" t="s">
        <v>98</v>
      </c>
      <c r="C68" s="22" t="s">
        <v>24</v>
      </c>
      <c r="D68" s="11">
        <v>531840330.23000002</v>
      </c>
      <c r="E68" s="11">
        <v>7439709.1900000004</v>
      </c>
      <c r="F68" s="11">
        <v>0</v>
      </c>
      <c r="G68" s="11">
        <v>668865.61</v>
      </c>
      <c r="H68" s="13">
        <f>(E68+F68)-G68</f>
        <v>6770843.5800000001</v>
      </c>
      <c r="I68" s="11">
        <v>499079528.32999998</v>
      </c>
      <c r="J68" s="14">
        <f t="shared" ref="J68:J103" si="28">(I68/$I$104)</f>
        <v>2.6154499674938977E-3</v>
      </c>
      <c r="K68" s="11">
        <v>544697235.75999999</v>
      </c>
      <c r="L68" s="14">
        <f t="shared" ref="L68" si="29">(K68/$K$104)</f>
        <v>2.8511637008570207E-3</v>
      </c>
      <c r="M68" s="14">
        <f t="shared" ref="M68:M104" si="30">((K68-I68)/I68)</f>
        <v>9.1403683863059179E-2</v>
      </c>
      <c r="N68" s="24">
        <f t="shared" ref="N68" si="31">(G68/K68)</f>
        <v>1.2279585172976903E-3</v>
      </c>
      <c r="O68" s="25">
        <f t="shared" ref="O68" si="32">H68/K68</f>
        <v>1.2430471710679496E-2</v>
      </c>
      <c r="P68" s="28">
        <f t="shared" ref="P68" si="33">K68/V68</f>
        <v>1.4726797830609184</v>
      </c>
      <c r="Q68" s="28">
        <f t="shared" ref="Q68" si="34">H68/V68</f>
        <v>1.8306104382228364E-2</v>
      </c>
      <c r="R68" s="11">
        <v>1.42</v>
      </c>
      <c r="S68" s="11">
        <v>1.42</v>
      </c>
      <c r="T68" s="20">
        <v>360</v>
      </c>
      <c r="U68" s="11">
        <v>369899881.66000003</v>
      </c>
      <c r="V68" s="11">
        <v>369868074.52999997</v>
      </c>
    </row>
    <row r="69" spans="1:24" ht="12.9" customHeight="1">
      <c r="A69" s="65">
        <v>59</v>
      </c>
      <c r="B69" s="22" t="s">
        <v>99</v>
      </c>
      <c r="C69" s="66" t="s">
        <v>26</v>
      </c>
      <c r="D69" s="11">
        <v>1165937626.3800001</v>
      </c>
      <c r="E69" s="11">
        <v>15963912.289999999</v>
      </c>
      <c r="F69" s="11">
        <v>18881493.73</v>
      </c>
      <c r="G69" s="11">
        <v>2489197.38</v>
      </c>
      <c r="H69" s="13">
        <f t="shared" ref="H69:H103" si="35">(E69+F69)-G69</f>
        <v>32356208.639999997</v>
      </c>
      <c r="I69" s="11">
        <v>1310608640</v>
      </c>
      <c r="J69" s="14">
        <f t="shared" si="28"/>
        <v>6.8683068134557509E-3</v>
      </c>
      <c r="K69" s="11">
        <v>1328339630</v>
      </c>
      <c r="L69" s="14">
        <f t="shared" ref="L69:L103" si="36">(K69/$K$104)</f>
        <v>6.9530621542103453E-3</v>
      </c>
      <c r="M69" s="14">
        <f t="shared" ref="M69:M103" si="37">((K69-I69)/I69)</f>
        <v>1.3528821235300265E-2</v>
      </c>
      <c r="N69" s="24">
        <f t="shared" ref="N69:N103" si="38">(G69/K69)</f>
        <v>1.8739163718242749E-3</v>
      </c>
      <c r="O69" s="25">
        <f t="shared" ref="O69:O103" si="39">H69/K69</f>
        <v>2.4358385392747785E-2</v>
      </c>
      <c r="P69" s="28">
        <f t="shared" ref="P69:P103" si="40">K69/V69</f>
        <v>1.2222249545542418</v>
      </c>
      <c r="Q69" s="28">
        <f t="shared" ref="Q69:Q103" si="41">H69/V69</f>
        <v>2.977142647966587E-2</v>
      </c>
      <c r="R69" s="11">
        <v>1.2222</v>
      </c>
      <c r="S69" s="11">
        <v>1.2222</v>
      </c>
      <c r="T69" s="20">
        <v>867</v>
      </c>
      <c r="U69" s="11">
        <v>1099015702</v>
      </c>
      <c r="V69" s="11">
        <v>1086820904</v>
      </c>
    </row>
    <row r="70" spans="1:24" ht="15" customHeight="1">
      <c r="A70" s="65">
        <v>60</v>
      </c>
      <c r="B70" s="22" t="s">
        <v>100</v>
      </c>
      <c r="C70" s="22" t="s">
        <v>101</v>
      </c>
      <c r="D70" s="11">
        <v>725155643.54999995</v>
      </c>
      <c r="E70" s="11">
        <v>9406208.6799999997</v>
      </c>
      <c r="F70" s="11">
        <v>0</v>
      </c>
      <c r="G70" s="11">
        <v>1895583.95</v>
      </c>
      <c r="H70" s="13">
        <f t="shared" si="35"/>
        <v>7510624.7299999995</v>
      </c>
      <c r="I70" s="11">
        <v>847458073</v>
      </c>
      <c r="J70" s="14">
        <f t="shared" si="28"/>
        <v>4.4411442739336598E-3</v>
      </c>
      <c r="K70" s="11">
        <v>844796989</v>
      </c>
      <c r="L70" s="14">
        <f t="shared" si="36"/>
        <v>4.422006119178085E-3</v>
      </c>
      <c r="M70" s="14">
        <f t="shared" si="37"/>
        <v>-3.1400774678796411E-3</v>
      </c>
      <c r="N70" s="24">
        <f t="shared" si="38"/>
        <v>2.2438336957661671E-3</v>
      </c>
      <c r="O70" s="25">
        <f t="shared" si="39"/>
        <v>8.8904492177350782E-3</v>
      </c>
      <c r="P70" s="28">
        <f t="shared" si="40"/>
        <v>1.0941451014556784</v>
      </c>
      <c r="Q70" s="28">
        <f t="shared" si="41"/>
        <v>9.7274414613253042E-3</v>
      </c>
      <c r="R70" s="11">
        <v>1.0941000000000001</v>
      </c>
      <c r="S70" s="11">
        <v>1.0941000000000001</v>
      </c>
      <c r="T70" s="20">
        <v>226</v>
      </c>
      <c r="U70" s="11">
        <v>781465596</v>
      </c>
      <c r="V70" s="11">
        <v>772106906</v>
      </c>
    </row>
    <row r="71" spans="1:24">
      <c r="A71" s="65">
        <v>61</v>
      </c>
      <c r="B71" s="22" t="s">
        <v>102</v>
      </c>
      <c r="C71" s="66" t="s">
        <v>103</v>
      </c>
      <c r="D71" s="11">
        <v>226993726.88</v>
      </c>
      <c r="E71" s="11">
        <v>3475683.71</v>
      </c>
      <c r="F71" s="11">
        <v>0</v>
      </c>
      <c r="G71" s="11">
        <v>405954.65</v>
      </c>
      <c r="H71" s="13">
        <f t="shared" si="35"/>
        <v>3069729.06</v>
      </c>
      <c r="I71" s="11">
        <v>260891098.21000001</v>
      </c>
      <c r="J71" s="14">
        <f t="shared" si="28"/>
        <v>1.3672121888389935E-3</v>
      </c>
      <c r="K71" s="11">
        <v>274499174.75999999</v>
      </c>
      <c r="L71" s="14">
        <f t="shared" si="36"/>
        <v>1.436838727295765E-3</v>
      </c>
      <c r="M71" s="14">
        <f t="shared" si="37"/>
        <v>5.2159987992562259E-2</v>
      </c>
      <c r="N71" s="24">
        <f t="shared" si="38"/>
        <v>1.4788920598939291E-3</v>
      </c>
      <c r="O71" s="25">
        <f t="shared" si="39"/>
        <v>1.1183017445075834E-2</v>
      </c>
      <c r="P71" s="28">
        <f t="shared" si="40"/>
        <v>1094.9308925408855</v>
      </c>
      <c r="Q71" s="28">
        <f t="shared" si="41"/>
        <v>12.244631272437177</v>
      </c>
      <c r="R71" s="11">
        <v>1094.93</v>
      </c>
      <c r="S71" s="11">
        <v>1094.93</v>
      </c>
      <c r="T71" s="20">
        <v>112</v>
      </c>
      <c r="U71" s="11">
        <v>250750</v>
      </c>
      <c r="V71" s="11">
        <v>250700</v>
      </c>
    </row>
    <row r="72" spans="1:24">
      <c r="A72" s="65">
        <v>62</v>
      </c>
      <c r="B72" s="22" t="s">
        <v>104</v>
      </c>
      <c r="C72" s="66" t="s">
        <v>105</v>
      </c>
      <c r="D72" s="11">
        <v>1552995588.1400001</v>
      </c>
      <c r="E72" s="11">
        <v>9512898.7599999998</v>
      </c>
      <c r="F72" s="11">
        <v>0</v>
      </c>
      <c r="G72" s="11">
        <v>2189591.79</v>
      </c>
      <c r="H72" s="13">
        <f t="shared" si="35"/>
        <v>7323306.9699999997</v>
      </c>
      <c r="I72" s="11">
        <v>1622006655.1800001</v>
      </c>
      <c r="J72" s="14">
        <f t="shared" si="28"/>
        <v>8.5002028990464815E-3</v>
      </c>
      <c r="K72" s="11">
        <f>1713009987.63-17822372.7</f>
        <v>1695187614.9300001</v>
      </c>
      <c r="L72" s="14">
        <f t="shared" si="36"/>
        <v>8.8732915765344471E-3</v>
      </c>
      <c r="M72" s="14">
        <f t="shared" si="37"/>
        <v>4.511754592146161E-2</v>
      </c>
      <c r="N72" s="24">
        <f t="shared" si="38"/>
        <v>1.2916515969770199E-3</v>
      </c>
      <c r="O72" s="25">
        <f t="shared" si="39"/>
        <v>4.3200569102213524E-3</v>
      </c>
      <c r="P72" s="28">
        <f t="shared" si="40"/>
        <v>1.0470955664738617</v>
      </c>
      <c r="Q72" s="28">
        <f t="shared" si="41"/>
        <v>4.5235124376075478E-3</v>
      </c>
      <c r="R72" s="11">
        <v>1.0627</v>
      </c>
      <c r="S72" s="11">
        <v>1.0627</v>
      </c>
      <c r="T72" s="20">
        <v>889</v>
      </c>
      <c r="U72" s="11">
        <v>1556770511.1400001</v>
      </c>
      <c r="V72" s="11">
        <v>1618942596.27</v>
      </c>
    </row>
    <row r="73" spans="1:24">
      <c r="A73" s="65">
        <v>63</v>
      </c>
      <c r="B73" s="22" t="s">
        <v>106</v>
      </c>
      <c r="C73" s="22" t="s">
        <v>107</v>
      </c>
      <c r="D73" s="11">
        <v>440196501.63999999</v>
      </c>
      <c r="E73" s="11">
        <v>5249177.4800000004</v>
      </c>
      <c r="F73" s="11">
        <v>0</v>
      </c>
      <c r="G73" s="11">
        <v>773610.48</v>
      </c>
      <c r="H73" s="13">
        <f t="shared" si="35"/>
        <v>4475567</v>
      </c>
      <c r="I73" s="11">
        <v>432937670.38999999</v>
      </c>
      <c r="J73" s="14">
        <f t="shared" si="28"/>
        <v>2.26883042014838E-3</v>
      </c>
      <c r="K73" s="11">
        <v>437413237.39999998</v>
      </c>
      <c r="L73" s="14">
        <f t="shared" si="36"/>
        <v>2.2895962433316583E-3</v>
      </c>
      <c r="M73" s="14">
        <f t="shared" si="37"/>
        <v>1.0337670561141744E-2</v>
      </c>
      <c r="N73" s="24">
        <f t="shared" si="38"/>
        <v>1.76860326541183E-3</v>
      </c>
      <c r="O73" s="25">
        <f t="shared" si="39"/>
        <v>1.0231896562168377E-2</v>
      </c>
      <c r="P73" s="28">
        <f t="shared" si="40"/>
        <v>2.5161792368965239</v>
      </c>
      <c r="Q73" s="28">
        <f t="shared" si="41"/>
        <v>2.5745285683800995E-2</v>
      </c>
      <c r="R73" s="11">
        <v>2.516</v>
      </c>
      <c r="S73" s="11">
        <v>2.516</v>
      </c>
      <c r="T73" s="20">
        <v>1392</v>
      </c>
      <c r="U73" s="11">
        <v>173840253.90000001</v>
      </c>
      <c r="V73" s="11">
        <v>173840253.90000001</v>
      </c>
    </row>
    <row r="74" spans="1:24">
      <c r="A74" s="65">
        <v>64</v>
      </c>
      <c r="B74" s="68" t="s">
        <v>250</v>
      </c>
      <c r="C74" s="69" t="s">
        <v>219</v>
      </c>
      <c r="D74" s="11">
        <v>145255155.49000001</v>
      </c>
      <c r="E74" s="11">
        <v>12002363.48</v>
      </c>
      <c r="F74" s="11">
        <v>0</v>
      </c>
      <c r="G74" s="11">
        <v>321583.95</v>
      </c>
      <c r="H74" s="13">
        <f t="shared" si="35"/>
        <v>11680779.530000001</v>
      </c>
      <c r="I74" s="11">
        <v>138469280.91999999</v>
      </c>
      <c r="J74" s="14">
        <f t="shared" si="28"/>
        <v>7.2565484201077323E-4</v>
      </c>
      <c r="K74" s="11">
        <v>149343134.22</v>
      </c>
      <c r="L74" s="14">
        <f t="shared" si="36"/>
        <v>7.8172183610620573E-4</v>
      </c>
      <c r="M74" s="14">
        <f t="shared" si="37"/>
        <v>7.8528993779366354E-2</v>
      </c>
      <c r="N74" s="24">
        <f t="shared" si="38"/>
        <v>2.1533226263101527E-3</v>
      </c>
      <c r="O74" s="25">
        <f t="shared" si="39"/>
        <v>7.8214372498656953E-2</v>
      </c>
      <c r="P74" s="28">
        <f t="shared" si="40"/>
        <v>11.493657968191201</v>
      </c>
      <c r="Q74" s="28">
        <f t="shared" si="41"/>
        <v>0.89896924569626313</v>
      </c>
      <c r="R74" s="11">
        <v>11.41</v>
      </c>
      <c r="S74" s="11">
        <v>11.49</v>
      </c>
      <c r="T74" s="20">
        <v>29</v>
      </c>
      <c r="U74" s="11">
        <v>12993525.18</v>
      </c>
      <c r="V74" s="11">
        <v>12993525.18</v>
      </c>
    </row>
    <row r="75" spans="1:24">
      <c r="A75" s="65">
        <v>65</v>
      </c>
      <c r="B75" s="66" t="s">
        <v>108</v>
      </c>
      <c r="C75" s="22" t="s">
        <v>60</v>
      </c>
      <c r="D75" s="11">
        <v>2052944510.5699999</v>
      </c>
      <c r="E75" s="11">
        <v>18802946.100000001</v>
      </c>
      <c r="F75" s="11">
        <v>0</v>
      </c>
      <c r="G75" s="11">
        <v>3406982.03</v>
      </c>
      <c r="H75" s="13">
        <f t="shared" si="35"/>
        <v>15395964.070000002</v>
      </c>
      <c r="I75" s="11">
        <v>2010044243.8599999</v>
      </c>
      <c r="J75" s="14">
        <f t="shared" si="28"/>
        <v>1.0533732308869221E-2</v>
      </c>
      <c r="K75" s="11">
        <v>2037860878</v>
      </c>
      <c r="L75" s="14">
        <f t="shared" si="36"/>
        <v>1.0666980813007638E-2</v>
      </c>
      <c r="M75" s="14">
        <f t="shared" si="37"/>
        <v>1.3838816844440336E-2</v>
      </c>
      <c r="N75" s="24">
        <f t="shared" si="38"/>
        <v>1.6718423062047712E-3</v>
      </c>
      <c r="O75" s="25">
        <f t="shared" si="39"/>
        <v>7.5549632637876285E-3</v>
      </c>
      <c r="P75" s="28">
        <f t="shared" si="40"/>
        <v>4474.3574763867118</v>
      </c>
      <c r="Q75" s="28">
        <f t="shared" si="41"/>
        <v>33.803606363155133</v>
      </c>
      <c r="R75" s="11">
        <v>4474.3599999999997</v>
      </c>
      <c r="S75" s="11">
        <v>4474.3599999999997</v>
      </c>
      <c r="T75" s="20">
        <v>1069</v>
      </c>
      <c r="U75" s="11">
        <v>454463.76</v>
      </c>
      <c r="V75" s="11">
        <v>455453.3</v>
      </c>
    </row>
    <row r="76" spans="1:24">
      <c r="A76" s="65">
        <v>66</v>
      </c>
      <c r="B76" s="22" t="s">
        <v>109</v>
      </c>
      <c r="C76" s="22" t="s">
        <v>62</v>
      </c>
      <c r="D76" s="11">
        <v>328221904.41000003</v>
      </c>
      <c r="E76" s="11">
        <v>4314640.87</v>
      </c>
      <c r="F76" s="11">
        <v>0</v>
      </c>
      <c r="G76" s="11">
        <v>680773.21</v>
      </c>
      <c r="H76" s="13">
        <f t="shared" si="35"/>
        <v>3633867.66</v>
      </c>
      <c r="I76" s="11">
        <v>357897863.97000003</v>
      </c>
      <c r="J76" s="14">
        <f t="shared" si="28"/>
        <v>1.8755807512656187E-3</v>
      </c>
      <c r="K76" s="11">
        <v>363956727.31999999</v>
      </c>
      <c r="L76" s="14">
        <f t="shared" si="36"/>
        <v>1.90509542088942E-3</v>
      </c>
      <c r="M76" s="14">
        <f t="shared" si="37"/>
        <v>1.6929029088890664E-2</v>
      </c>
      <c r="N76" s="24">
        <f t="shared" si="38"/>
        <v>1.8704784357549376E-3</v>
      </c>
      <c r="O76" s="25">
        <f t="shared" si="39"/>
        <v>9.9843398602851244E-3</v>
      </c>
      <c r="P76" s="28">
        <f t="shared" si="40"/>
        <v>112.18907441948352</v>
      </c>
      <c r="Q76" s="28">
        <f t="shared" si="41"/>
        <v>1.1201338476149436</v>
      </c>
      <c r="R76" s="11">
        <v>112.16</v>
      </c>
      <c r="S76" s="11">
        <v>112.16</v>
      </c>
      <c r="T76" s="20">
        <v>136</v>
      </c>
      <c r="U76" s="11">
        <v>3224468</v>
      </c>
      <c r="V76" s="11">
        <v>3244137</v>
      </c>
      <c r="W76" s="17"/>
      <c r="X76" s="17"/>
    </row>
    <row r="77" spans="1:24">
      <c r="A77" s="65">
        <v>67</v>
      </c>
      <c r="B77" s="66" t="s">
        <v>110</v>
      </c>
      <c r="C77" s="66" t="s">
        <v>66</v>
      </c>
      <c r="D77" s="11">
        <v>349419599.43000001</v>
      </c>
      <c r="E77" s="11">
        <v>4872078.26</v>
      </c>
      <c r="F77" s="11">
        <v>4838852.5599999996</v>
      </c>
      <c r="G77" s="11">
        <v>668466.4</v>
      </c>
      <c r="H77" s="13">
        <f t="shared" si="35"/>
        <v>9042464.4199999999</v>
      </c>
      <c r="I77" s="11">
        <v>349699286.05000001</v>
      </c>
      <c r="J77" s="14">
        <f t="shared" si="28"/>
        <v>1.8326157143583508E-3</v>
      </c>
      <c r="K77" s="11">
        <v>359748140.76999998</v>
      </c>
      <c r="L77" s="14">
        <f t="shared" si="36"/>
        <v>1.8830659916661695E-3</v>
      </c>
      <c r="M77" s="14">
        <f t="shared" si="37"/>
        <v>2.8735702704760981E-2</v>
      </c>
      <c r="N77" s="24">
        <f t="shared" si="38"/>
        <v>1.8581510902856196E-3</v>
      </c>
      <c r="O77" s="25">
        <f t="shared" si="39"/>
        <v>2.5135541772768118E-2</v>
      </c>
      <c r="P77" s="28">
        <f t="shared" si="40"/>
        <v>1.4004797059373906</v>
      </c>
      <c r="Q77" s="28">
        <f t="shared" si="41"/>
        <v>3.5201816150503287E-2</v>
      </c>
      <c r="R77" s="11">
        <v>1.4005000000000001</v>
      </c>
      <c r="S77" s="11">
        <v>1.4005000000000001</v>
      </c>
      <c r="T77" s="20">
        <v>241</v>
      </c>
      <c r="U77" s="11">
        <v>256152836.15000001</v>
      </c>
      <c r="V77" s="11">
        <v>256874940.24000001</v>
      </c>
    </row>
    <row r="78" spans="1:24">
      <c r="A78" s="65">
        <v>68</v>
      </c>
      <c r="B78" s="68" t="s">
        <v>263</v>
      </c>
      <c r="C78" s="69" t="s">
        <v>66</v>
      </c>
      <c r="D78" s="19">
        <v>20054051.600000001</v>
      </c>
      <c r="E78" s="11">
        <v>284248.07</v>
      </c>
      <c r="F78" s="11">
        <v>0</v>
      </c>
      <c r="G78" s="11">
        <v>339810.11</v>
      </c>
      <c r="H78" s="13">
        <f t="shared" si="35"/>
        <v>-55562.039999999979</v>
      </c>
      <c r="I78" s="11">
        <v>22378223.879999999</v>
      </c>
      <c r="J78" s="14">
        <f t="shared" si="28"/>
        <v>1.1727414489503303E-4</v>
      </c>
      <c r="K78" s="11">
        <v>22332661.829999998</v>
      </c>
      <c r="L78" s="14">
        <f t="shared" si="36"/>
        <v>1.1689810517280957E-4</v>
      </c>
      <c r="M78" s="14">
        <f t="shared" si="37"/>
        <v>-2.0359993824496827E-3</v>
      </c>
      <c r="N78" s="24">
        <f t="shared" si="38"/>
        <v>1.5215835558998388E-2</v>
      </c>
      <c r="O78" s="25">
        <f t="shared" si="39"/>
        <v>-2.4879273426046404E-3</v>
      </c>
      <c r="P78" s="28">
        <f t="shared" si="40"/>
        <v>0.89131595183330692</v>
      </c>
      <c r="Q78" s="28">
        <f t="shared" si="41"/>
        <v>-2.2175293274657648E-3</v>
      </c>
      <c r="R78" s="20">
        <v>0.89559999999999995</v>
      </c>
      <c r="S78" s="21">
        <v>0.89559999999999995</v>
      </c>
      <c r="T78" s="20">
        <v>1</v>
      </c>
      <c r="U78" s="11">
        <v>25055830.969999999</v>
      </c>
      <c r="V78" s="11">
        <v>25055830.969999999</v>
      </c>
    </row>
    <row r="79" spans="1:24">
      <c r="A79" s="65">
        <v>69</v>
      </c>
      <c r="B79" s="22" t="s">
        <v>244</v>
      </c>
      <c r="C79" s="22" t="s">
        <v>48</v>
      </c>
      <c r="D79" s="11">
        <v>108460894.7</v>
      </c>
      <c r="E79" s="11">
        <v>582137.06000000006</v>
      </c>
      <c r="F79" s="11">
        <v>0</v>
      </c>
      <c r="G79" s="11">
        <v>51325.65</v>
      </c>
      <c r="H79" s="13">
        <f t="shared" si="35"/>
        <v>530811.41</v>
      </c>
      <c r="I79" s="11">
        <v>121377855.45</v>
      </c>
      <c r="J79" s="14">
        <f t="shared" si="28"/>
        <v>6.3608641523214913E-4</v>
      </c>
      <c r="K79" s="11">
        <v>128786472.63</v>
      </c>
      <c r="L79" s="14">
        <f t="shared" si="36"/>
        <v>6.7412002818729381E-4</v>
      </c>
      <c r="M79" s="14">
        <f t="shared" si="37"/>
        <v>6.1037634521824896E-2</v>
      </c>
      <c r="N79" s="24">
        <f t="shared" si="38"/>
        <v>3.9853292781344505E-4</v>
      </c>
      <c r="O79" s="25">
        <f t="shared" si="39"/>
        <v>4.1216394793652487E-3</v>
      </c>
      <c r="P79" s="28">
        <f t="shared" si="40"/>
        <v>133.74256414229274</v>
      </c>
      <c r="Q79" s="28">
        <f t="shared" si="41"/>
        <v>0.55123863244041271</v>
      </c>
      <c r="R79" s="11">
        <v>132.12139999999999</v>
      </c>
      <c r="S79" s="11">
        <v>132.12139999999999</v>
      </c>
      <c r="T79" s="20">
        <v>36</v>
      </c>
      <c r="U79" s="11">
        <v>916500.07</v>
      </c>
      <c r="V79" s="11">
        <v>962943.05</v>
      </c>
    </row>
    <row r="80" spans="1:24">
      <c r="A80" s="65">
        <v>70</v>
      </c>
      <c r="B80" s="22" t="s">
        <v>111</v>
      </c>
      <c r="C80" s="22" t="s">
        <v>112</v>
      </c>
      <c r="D80" s="11">
        <v>1967573894.53</v>
      </c>
      <c r="E80" s="11">
        <v>22881403.559999999</v>
      </c>
      <c r="F80" s="11">
        <v>0</v>
      </c>
      <c r="G80" s="11">
        <v>2567384.9900000002</v>
      </c>
      <c r="H80" s="13">
        <f t="shared" si="35"/>
        <v>20314018.57</v>
      </c>
      <c r="I80" s="11">
        <v>1630654541.95</v>
      </c>
      <c r="J80" s="14">
        <f t="shared" si="28"/>
        <v>8.5455225603180453E-3</v>
      </c>
      <c r="K80" s="11">
        <v>1621009109.5</v>
      </c>
      <c r="L80" s="14">
        <f t="shared" si="36"/>
        <v>8.4850115409826794E-3</v>
      </c>
      <c r="M80" s="14">
        <f t="shared" si="37"/>
        <v>-5.9150679692497373E-3</v>
      </c>
      <c r="N80" s="24">
        <f t="shared" si="38"/>
        <v>1.5838189772985976E-3</v>
      </c>
      <c r="O80" s="25">
        <f t="shared" si="39"/>
        <v>1.2531711543722204E-2</v>
      </c>
      <c r="P80" s="28">
        <f t="shared" si="40"/>
        <v>1060.4090369787543</v>
      </c>
      <c r="Q80" s="28">
        <f t="shared" si="41"/>
        <v>13.288740169774</v>
      </c>
      <c r="R80" s="11">
        <v>1000</v>
      </c>
      <c r="S80" s="11">
        <v>1000</v>
      </c>
      <c r="T80" s="20">
        <v>338</v>
      </c>
      <c r="U80" s="11">
        <v>1538292.99</v>
      </c>
      <c r="V80" s="11">
        <v>1528663.99</v>
      </c>
    </row>
    <row r="81" spans="1:22">
      <c r="A81" s="65">
        <v>71</v>
      </c>
      <c r="B81" s="22" t="s">
        <v>113</v>
      </c>
      <c r="C81" s="22" t="s">
        <v>68</v>
      </c>
      <c r="D81" s="11">
        <v>159862532.09999999</v>
      </c>
      <c r="E81" s="11">
        <v>1823160.13</v>
      </c>
      <c r="F81" s="11">
        <v>0</v>
      </c>
      <c r="G81" s="11">
        <v>551185.74</v>
      </c>
      <c r="H81" s="13">
        <f t="shared" si="35"/>
        <v>1271974.3899999999</v>
      </c>
      <c r="I81" s="11">
        <v>190450946.75999999</v>
      </c>
      <c r="J81" s="14">
        <f t="shared" si="28"/>
        <v>9.9806723024564096E-4</v>
      </c>
      <c r="K81" s="11">
        <v>174454971.08000001</v>
      </c>
      <c r="L81" s="14">
        <f t="shared" si="36"/>
        <v>9.1316725755611792E-4</v>
      </c>
      <c r="M81" s="14">
        <f t="shared" si="37"/>
        <v>-8.399000347400519E-2</v>
      </c>
      <c r="N81" s="24">
        <f t="shared" si="38"/>
        <v>3.1594728232034277E-3</v>
      </c>
      <c r="O81" s="25">
        <f t="shared" si="39"/>
        <v>7.2911329618501339E-3</v>
      </c>
      <c r="P81" s="28">
        <f t="shared" si="40"/>
        <v>1045.009740447224</v>
      </c>
      <c r="Q81" s="28">
        <f t="shared" si="41"/>
        <v>7.6193049640292072</v>
      </c>
      <c r="R81" s="11">
        <v>1045.01</v>
      </c>
      <c r="S81" s="11">
        <v>1051.2</v>
      </c>
      <c r="T81" s="20">
        <v>281</v>
      </c>
      <c r="U81" s="11">
        <v>186267</v>
      </c>
      <c r="V81" s="11">
        <v>166941</v>
      </c>
    </row>
    <row r="82" spans="1:22">
      <c r="A82" s="65">
        <v>72</v>
      </c>
      <c r="B82" s="22" t="s">
        <v>114</v>
      </c>
      <c r="C82" s="66" t="s">
        <v>71</v>
      </c>
      <c r="D82" s="11">
        <v>653242898.70000005</v>
      </c>
      <c r="E82" s="11">
        <v>6778564.8799999999</v>
      </c>
      <c r="F82" s="11">
        <v>0</v>
      </c>
      <c r="G82" s="11">
        <v>998002.6</v>
      </c>
      <c r="H82" s="13">
        <f t="shared" si="35"/>
        <v>5780562.2800000003</v>
      </c>
      <c r="I82" s="11">
        <v>624417413.99000001</v>
      </c>
      <c r="J82" s="14">
        <f t="shared" si="28"/>
        <v>3.2722891090874676E-3</v>
      </c>
      <c r="K82" s="11">
        <v>644634392.96000004</v>
      </c>
      <c r="L82" s="14">
        <f t="shared" si="36"/>
        <v>3.3742748464054605E-3</v>
      </c>
      <c r="M82" s="14">
        <f t="shared" si="37"/>
        <v>3.2377346494573904E-2</v>
      </c>
      <c r="N82" s="24">
        <f t="shared" si="38"/>
        <v>1.5481684050666633E-3</v>
      </c>
      <c r="O82" s="25">
        <f t="shared" si="39"/>
        <v>8.9671949606304792E-3</v>
      </c>
      <c r="P82" s="28">
        <f t="shared" si="40"/>
        <v>1.1703645992087401</v>
      </c>
      <c r="Q82" s="28">
        <f t="shared" si="41"/>
        <v>1.0494887536124925E-2</v>
      </c>
      <c r="R82" s="11">
        <v>1.1687000000000001</v>
      </c>
      <c r="S82" s="11">
        <v>1.1687000000000001</v>
      </c>
      <c r="T82" s="20">
        <v>47</v>
      </c>
      <c r="U82" s="11">
        <v>546664348.17999995</v>
      </c>
      <c r="V82" s="11">
        <v>550797925.19000006</v>
      </c>
    </row>
    <row r="83" spans="1:22">
      <c r="A83" s="65">
        <v>73</v>
      </c>
      <c r="B83" s="22" t="s">
        <v>251</v>
      </c>
      <c r="C83" s="22" t="s">
        <v>30</v>
      </c>
      <c r="D83" s="11">
        <v>13331036253.540001</v>
      </c>
      <c r="E83" s="11">
        <v>145461315.49000001</v>
      </c>
      <c r="F83" s="11">
        <v>0</v>
      </c>
      <c r="G83" s="11">
        <v>14226688.949999999</v>
      </c>
      <c r="H83" s="13">
        <f t="shared" si="35"/>
        <v>131234626.54000001</v>
      </c>
      <c r="I83" s="11">
        <v>13209840595.09</v>
      </c>
      <c r="J83" s="14">
        <f t="shared" si="28"/>
        <v>6.9226796920796294E-2</v>
      </c>
      <c r="K83" s="11">
        <v>13031085733.559999</v>
      </c>
      <c r="L83" s="14">
        <f t="shared" si="36"/>
        <v>6.8209926886158165E-2</v>
      </c>
      <c r="M83" s="14">
        <f t="shared" si="37"/>
        <v>-1.3531946903011271E-2</v>
      </c>
      <c r="N83" s="24">
        <f t="shared" si="38"/>
        <v>1.0917500844431457E-3</v>
      </c>
      <c r="O83" s="25">
        <f t="shared" si="39"/>
        <v>1.0070889657491927E-2</v>
      </c>
      <c r="P83" s="28">
        <f t="shared" si="40"/>
        <v>1700.7493919710835</v>
      </c>
      <c r="Q83" s="28">
        <f t="shared" si="41"/>
        <v>17.128059461587267</v>
      </c>
      <c r="R83" s="11">
        <v>1700.74</v>
      </c>
      <c r="S83" s="11">
        <v>1700.74</v>
      </c>
      <c r="T83" s="20">
        <v>2145</v>
      </c>
      <c r="U83" s="11">
        <v>7782969.9000000004</v>
      </c>
      <c r="V83" s="11">
        <v>7661967.0099999998</v>
      </c>
    </row>
    <row r="84" spans="1:22" ht="14.4" customHeight="1">
      <c r="A84" s="65">
        <v>74</v>
      </c>
      <c r="B84" s="22" t="s">
        <v>115</v>
      </c>
      <c r="C84" s="22" t="s">
        <v>77</v>
      </c>
      <c r="D84" s="11">
        <v>22854438.91</v>
      </c>
      <c r="E84" s="11">
        <v>244379.87</v>
      </c>
      <c r="F84" s="11">
        <v>0</v>
      </c>
      <c r="G84" s="11">
        <v>239122.62</v>
      </c>
      <c r="H84" s="13">
        <f t="shared" si="35"/>
        <v>5257.25</v>
      </c>
      <c r="I84" s="11">
        <v>23786026.649999999</v>
      </c>
      <c r="J84" s="14">
        <f t="shared" si="28"/>
        <v>1.246518021621123E-4</v>
      </c>
      <c r="K84" s="11">
        <v>23619927.739999998</v>
      </c>
      <c r="L84" s="14">
        <f t="shared" si="36"/>
        <v>1.236361710101031E-4</v>
      </c>
      <c r="M84" s="14">
        <f t="shared" si="37"/>
        <v>-6.9830456529821538E-3</v>
      </c>
      <c r="N84" s="24">
        <f t="shared" si="38"/>
        <v>1.012376594171579E-2</v>
      </c>
      <c r="O84" s="25">
        <f t="shared" si="39"/>
        <v>2.2257688752776855E-4</v>
      </c>
      <c r="P84" s="28">
        <f t="shared" si="40"/>
        <v>0.72042666200907268</v>
      </c>
      <c r="Q84" s="28">
        <f t="shared" si="41"/>
        <v>1.6035032412199909E-4</v>
      </c>
      <c r="R84" s="11">
        <v>0.72040000000000004</v>
      </c>
      <c r="S84" s="11">
        <v>0.72040000000000004</v>
      </c>
      <c r="T84" s="20">
        <v>746</v>
      </c>
      <c r="U84" s="11">
        <v>32786026.649999999</v>
      </c>
      <c r="V84" s="11">
        <v>32786026.649999999</v>
      </c>
    </row>
    <row r="85" spans="1:22" ht="14.4" customHeight="1">
      <c r="A85" s="65">
        <v>75</v>
      </c>
      <c r="B85" s="22" t="s">
        <v>245</v>
      </c>
      <c r="C85" s="66" t="s">
        <v>36</v>
      </c>
      <c r="D85" s="11">
        <v>12051599633.360001</v>
      </c>
      <c r="E85" s="11">
        <v>108349006.38</v>
      </c>
      <c r="F85" s="11">
        <v>0</v>
      </c>
      <c r="G85" s="11">
        <v>2898246.6</v>
      </c>
      <c r="H85" s="13">
        <f t="shared" si="35"/>
        <v>105450759.78</v>
      </c>
      <c r="I85" s="11">
        <v>9751162475.4200001</v>
      </c>
      <c r="J85" s="14">
        <f t="shared" si="28"/>
        <v>5.110142999594542E-2</v>
      </c>
      <c r="K85" s="11">
        <v>9785999432.7600002</v>
      </c>
      <c r="L85" s="14">
        <f t="shared" si="36"/>
        <v>5.1223844234058923E-2</v>
      </c>
      <c r="M85" s="14">
        <f t="shared" si="37"/>
        <v>3.572595311360522E-3</v>
      </c>
      <c r="N85" s="24">
        <f t="shared" si="38"/>
        <v>2.9616255548694544E-4</v>
      </c>
      <c r="O85" s="25">
        <f t="shared" si="39"/>
        <v>1.077567605685617E-2</v>
      </c>
      <c r="P85" s="28">
        <f t="shared" si="40"/>
        <v>1</v>
      </c>
      <c r="Q85" s="28">
        <f t="shared" si="41"/>
        <v>1.077567605685617E-2</v>
      </c>
      <c r="R85" s="11">
        <v>1</v>
      </c>
      <c r="S85" s="11">
        <v>1</v>
      </c>
      <c r="T85" s="20">
        <v>4286</v>
      </c>
      <c r="U85" s="11">
        <v>9751162475.4200001</v>
      </c>
      <c r="V85" s="11">
        <v>9785999432.7600002</v>
      </c>
    </row>
    <row r="86" spans="1:22">
      <c r="A86" s="65">
        <v>76</v>
      </c>
      <c r="B86" s="66" t="s">
        <v>116</v>
      </c>
      <c r="C86" s="66" t="s">
        <v>117</v>
      </c>
      <c r="D86" s="11">
        <v>1142160907.45</v>
      </c>
      <c r="E86" s="11">
        <v>14684548.369999999</v>
      </c>
      <c r="F86" s="11">
        <v>0</v>
      </c>
      <c r="G86" s="11">
        <v>1922170.74</v>
      </c>
      <c r="H86" s="13">
        <f t="shared" si="35"/>
        <v>12762377.629999999</v>
      </c>
      <c r="I86" s="11">
        <v>1107691967.1300001</v>
      </c>
      <c r="J86" s="14">
        <f t="shared" si="28"/>
        <v>5.804912353583434E-3</v>
      </c>
      <c r="K86" s="11">
        <v>1120925974.0899999</v>
      </c>
      <c r="L86" s="14">
        <f t="shared" si="36"/>
        <v>5.8673759271313346E-3</v>
      </c>
      <c r="M86" s="14">
        <f t="shared" si="37"/>
        <v>1.1947371067688388E-2</v>
      </c>
      <c r="N86" s="24">
        <f t="shared" si="38"/>
        <v>1.7148061374529873E-3</v>
      </c>
      <c r="O86" s="25">
        <f t="shared" si="39"/>
        <v>1.1385566866144631E-2</v>
      </c>
      <c r="P86" s="28">
        <f t="shared" si="40"/>
        <v>242.15986796105463</v>
      </c>
      <c r="Q86" s="28">
        <f t="shared" si="41"/>
        <v>2.7571273689673426</v>
      </c>
      <c r="R86" s="11">
        <v>242.15989999999999</v>
      </c>
      <c r="S86" s="11">
        <v>246.7474</v>
      </c>
      <c r="T86" s="20">
        <v>520</v>
      </c>
      <c r="U86" s="11">
        <v>4636219.7300000004</v>
      </c>
      <c r="V86" s="11">
        <v>4628867.63</v>
      </c>
    </row>
    <row r="87" spans="1:22">
      <c r="A87" s="65">
        <v>77</v>
      </c>
      <c r="B87" s="22" t="s">
        <v>118</v>
      </c>
      <c r="C87" s="66" t="s">
        <v>38</v>
      </c>
      <c r="D87" s="11">
        <v>1113804038.51</v>
      </c>
      <c r="E87" s="11">
        <v>12137974.380000001</v>
      </c>
      <c r="F87" s="11">
        <v>0</v>
      </c>
      <c r="G87" s="11">
        <v>1507799.26</v>
      </c>
      <c r="H87" s="13">
        <f t="shared" si="35"/>
        <v>10630175.120000001</v>
      </c>
      <c r="I87" s="11">
        <v>1094548526.25</v>
      </c>
      <c r="J87" s="14">
        <f t="shared" si="28"/>
        <v>5.7360335275226217E-3</v>
      </c>
      <c r="K87" s="11">
        <v>1104298631.8299999</v>
      </c>
      <c r="L87" s="14">
        <f t="shared" si="36"/>
        <v>5.7803417518480843E-3</v>
      </c>
      <c r="M87" s="14">
        <f t="shared" si="37"/>
        <v>8.9078787702583356E-3</v>
      </c>
      <c r="N87" s="24">
        <f t="shared" si="38"/>
        <v>1.3653908612576426E-3</v>
      </c>
      <c r="O87" s="25">
        <f t="shared" si="39"/>
        <v>9.6261779319459055E-3</v>
      </c>
      <c r="P87" s="28">
        <f t="shared" si="40"/>
        <v>3.6774796218156922</v>
      </c>
      <c r="Q87" s="28">
        <f t="shared" si="41"/>
        <v>3.5400073180702991E-2</v>
      </c>
      <c r="R87" s="11">
        <v>3.68</v>
      </c>
      <c r="S87" s="11">
        <v>3.68</v>
      </c>
      <c r="T87" s="20">
        <v>773</v>
      </c>
      <c r="U87" s="11">
        <v>299850993</v>
      </c>
      <c r="V87" s="11">
        <v>300286812</v>
      </c>
    </row>
    <row r="88" spans="1:22">
      <c r="A88" s="65">
        <v>78</v>
      </c>
      <c r="B88" s="68" t="s">
        <v>249</v>
      </c>
      <c r="C88" s="69" t="s">
        <v>40</v>
      </c>
      <c r="D88" s="11">
        <v>604821584.66999996</v>
      </c>
      <c r="E88" s="11">
        <v>7097818.2800000003</v>
      </c>
      <c r="F88" s="11">
        <v>0</v>
      </c>
      <c r="G88" s="11">
        <v>1095472.5</v>
      </c>
      <c r="H88" s="13">
        <f t="shared" si="35"/>
        <v>6002345.7800000003</v>
      </c>
      <c r="I88" s="11">
        <v>566616482.89999998</v>
      </c>
      <c r="J88" s="14">
        <f t="shared" si="28"/>
        <v>2.9693805849764607E-3</v>
      </c>
      <c r="K88" s="11">
        <v>601533815.53999996</v>
      </c>
      <c r="L88" s="14">
        <f t="shared" si="36"/>
        <v>3.1486691451861003E-3</v>
      </c>
      <c r="M88" s="14">
        <f t="shared" si="37"/>
        <v>6.1624279726720223E-2</v>
      </c>
      <c r="N88" s="24">
        <f t="shared" si="38"/>
        <v>1.8211320323140749E-3</v>
      </c>
      <c r="O88" s="25">
        <f t="shared" si="39"/>
        <v>9.9784012551508254E-3</v>
      </c>
      <c r="P88" s="28">
        <f t="shared" si="40"/>
        <v>113.87134564445907</v>
      </c>
      <c r="Q88" s="28">
        <f t="shared" si="41"/>
        <v>1.1362539783043837</v>
      </c>
      <c r="R88" s="11">
        <v>106.75</v>
      </c>
      <c r="S88" s="11">
        <v>106.75</v>
      </c>
      <c r="T88" s="20">
        <v>56</v>
      </c>
      <c r="U88" s="11">
        <v>5287027.6399999997</v>
      </c>
      <c r="V88" s="11">
        <v>5282574.05</v>
      </c>
    </row>
    <row r="89" spans="1:22">
      <c r="A89" s="65">
        <v>79</v>
      </c>
      <c r="B89" s="22" t="s">
        <v>248</v>
      </c>
      <c r="C89" s="22" t="s">
        <v>44</v>
      </c>
      <c r="D89" s="11">
        <v>1423175150.48</v>
      </c>
      <c r="E89" s="11">
        <v>13890625.01</v>
      </c>
      <c r="F89" s="11">
        <v>0</v>
      </c>
      <c r="G89" s="11">
        <v>2380490.87</v>
      </c>
      <c r="H89" s="13">
        <f t="shared" si="35"/>
        <v>11510134.140000001</v>
      </c>
      <c r="I89" s="11">
        <v>1405619810.0699999</v>
      </c>
      <c r="J89" s="14">
        <f t="shared" si="28"/>
        <v>7.3662173619061131E-3</v>
      </c>
      <c r="K89" s="11">
        <v>1415907755.26</v>
      </c>
      <c r="L89" s="14">
        <f t="shared" si="36"/>
        <v>7.4114288278452024E-3</v>
      </c>
      <c r="M89" s="14">
        <f t="shared" si="37"/>
        <v>7.3191521037880916E-3</v>
      </c>
      <c r="N89" s="24">
        <f t="shared" si="38"/>
        <v>1.6812471442130606E-3</v>
      </c>
      <c r="O89" s="25">
        <f t="shared" si="39"/>
        <v>8.12915537558195E-3</v>
      </c>
      <c r="P89" s="28">
        <f t="shared" si="40"/>
        <v>98.900626632167473</v>
      </c>
      <c r="Q89" s="28">
        <f t="shared" si="41"/>
        <v>0.80397856063530748</v>
      </c>
      <c r="R89" s="11">
        <v>98.89</v>
      </c>
      <c r="S89" s="11">
        <v>99.41</v>
      </c>
      <c r="T89" s="20">
        <v>444</v>
      </c>
      <c r="U89" s="11">
        <v>14330882</v>
      </c>
      <c r="V89" s="11">
        <v>14316469</v>
      </c>
    </row>
    <row r="90" spans="1:22">
      <c r="A90" s="65">
        <v>80</v>
      </c>
      <c r="B90" s="22" t="s">
        <v>121</v>
      </c>
      <c r="C90" s="22" t="s">
        <v>22</v>
      </c>
      <c r="D90" s="11">
        <v>1411449608.9000001</v>
      </c>
      <c r="E90" s="11">
        <v>15864246.449999999</v>
      </c>
      <c r="F90" s="11">
        <v>72428598.909999996</v>
      </c>
      <c r="G90" s="11">
        <v>1956192.11</v>
      </c>
      <c r="H90" s="13">
        <f t="shared" si="35"/>
        <v>86336653.25</v>
      </c>
      <c r="I90" s="11">
        <v>1369338653.6600001</v>
      </c>
      <c r="J90" s="14">
        <f t="shared" si="28"/>
        <v>7.1760842388932395E-3</v>
      </c>
      <c r="K90" s="11">
        <v>1387665181.98</v>
      </c>
      <c r="L90" s="14">
        <f t="shared" si="36"/>
        <v>7.2635958768621171E-3</v>
      </c>
      <c r="M90" s="14">
        <f t="shared" si="37"/>
        <v>1.3383488643233989E-2</v>
      </c>
      <c r="N90" s="24">
        <f t="shared" si="38"/>
        <v>1.4097003624525574E-3</v>
      </c>
      <c r="O90" s="25">
        <f t="shared" si="39"/>
        <v>6.2217207991635222E-2</v>
      </c>
      <c r="P90" s="28">
        <f t="shared" si="40"/>
        <v>350.3273859578747</v>
      </c>
      <c r="Q90" s="28">
        <f t="shared" si="41"/>
        <v>21.79639183730696</v>
      </c>
      <c r="R90" s="11">
        <v>350.33</v>
      </c>
      <c r="S90" s="11">
        <v>350.33</v>
      </c>
      <c r="T90" s="20">
        <v>96</v>
      </c>
      <c r="U90" s="11">
        <v>3951178.62</v>
      </c>
      <c r="V90" s="11">
        <v>3961052.54</v>
      </c>
    </row>
    <row r="91" spans="1:22">
      <c r="A91" s="65">
        <v>81</v>
      </c>
      <c r="B91" s="68" t="s">
        <v>252</v>
      </c>
      <c r="C91" s="69" t="s">
        <v>253</v>
      </c>
      <c r="D91" s="11">
        <v>1299307733.51</v>
      </c>
      <c r="E91" s="11">
        <v>16748243.949999999</v>
      </c>
      <c r="F91" s="11">
        <v>0</v>
      </c>
      <c r="G91" s="11">
        <v>2723612</v>
      </c>
      <c r="H91" s="13">
        <f t="shared" si="35"/>
        <v>14024631.949999999</v>
      </c>
      <c r="I91" s="11">
        <v>1384192675.05</v>
      </c>
      <c r="J91" s="14">
        <f t="shared" si="28"/>
        <v>7.2539274433452974E-3</v>
      </c>
      <c r="K91" s="11">
        <v>1343452577.8800001</v>
      </c>
      <c r="L91" s="14">
        <f t="shared" si="36"/>
        <v>7.0321693821886163E-3</v>
      </c>
      <c r="M91" s="14">
        <f t="shared" si="37"/>
        <v>-2.943238893279667E-2</v>
      </c>
      <c r="N91" s="24">
        <f t="shared" si="38"/>
        <v>2.027322768845272E-3</v>
      </c>
      <c r="O91" s="25">
        <f t="shared" si="39"/>
        <v>1.0439246000131392E-2</v>
      </c>
      <c r="P91" s="28">
        <f t="shared" si="40"/>
        <v>103.04193267316163</v>
      </c>
      <c r="Q91" s="28">
        <f t="shared" si="41"/>
        <v>1.0756800835041107</v>
      </c>
      <c r="R91" s="11">
        <v>103.04</v>
      </c>
      <c r="S91" s="11">
        <v>103.04</v>
      </c>
      <c r="T91" s="20">
        <f>361+16+10</f>
        <v>387</v>
      </c>
      <c r="U91" s="11">
        <v>13575696</v>
      </c>
      <c r="V91" s="11">
        <v>13037921</v>
      </c>
    </row>
    <row r="92" spans="1:22">
      <c r="A92" s="65">
        <v>82</v>
      </c>
      <c r="B92" s="66" t="s">
        <v>122</v>
      </c>
      <c r="C92" s="66" t="s">
        <v>42</v>
      </c>
      <c r="D92" s="11">
        <v>58379543.810000002</v>
      </c>
      <c r="E92" s="11">
        <v>2976674.03</v>
      </c>
      <c r="F92" s="11">
        <v>0</v>
      </c>
      <c r="G92" s="11">
        <v>139733.23000000001</v>
      </c>
      <c r="H92" s="13">
        <f t="shared" si="35"/>
        <v>2836940.7999999998</v>
      </c>
      <c r="I92" s="11">
        <v>60404569.689999998</v>
      </c>
      <c r="J92" s="14">
        <f t="shared" si="28"/>
        <v>3.1655301583063706E-4</v>
      </c>
      <c r="K92" s="11">
        <v>61056360.93</v>
      </c>
      <c r="L92" s="14">
        <f t="shared" si="36"/>
        <v>3.1959347057664022E-4</v>
      </c>
      <c r="M92" s="14">
        <f t="shared" si="37"/>
        <v>1.079042932256674E-2</v>
      </c>
      <c r="N92" s="24">
        <f t="shared" si="38"/>
        <v>2.288594142716786E-3</v>
      </c>
      <c r="O92" s="25">
        <f t="shared" si="39"/>
        <v>4.646429555886078E-2</v>
      </c>
      <c r="P92" s="28">
        <f t="shared" si="40"/>
        <v>12.690720104004425</v>
      </c>
      <c r="Q92" s="28">
        <f t="shared" si="41"/>
        <v>0.58966536976723805</v>
      </c>
      <c r="R92" s="11">
        <v>12.38</v>
      </c>
      <c r="S92" s="11">
        <v>12.73</v>
      </c>
      <c r="T92" s="20">
        <v>56</v>
      </c>
      <c r="U92" s="11">
        <v>4811102.95</v>
      </c>
      <c r="V92" s="11">
        <v>4811102.95</v>
      </c>
    </row>
    <row r="93" spans="1:22">
      <c r="A93" s="65">
        <v>83</v>
      </c>
      <c r="B93" s="68" t="s">
        <v>271</v>
      </c>
      <c r="C93" s="69" t="s">
        <v>272</v>
      </c>
      <c r="D93" s="11">
        <v>440953741.83999997</v>
      </c>
      <c r="E93" s="11">
        <v>5948023.4199999999</v>
      </c>
      <c r="F93" s="11">
        <v>0</v>
      </c>
      <c r="G93" s="11">
        <v>628628.30000000005</v>
      </c>
      <c r="H93" s="13">
        <f t="shared" si="35"/>
        <v>5319395.12</v>
      </c>
      <c r="I93" s="11">
        <v>413133642.67000002</v>
      </c>
      <c r="J93" s="14">
        <f t="shared" si="28"/>
        <v>2.1650464724680546E-3</v>
      </c>
      <c r="K93" s="11">
        <v>430503966.43000001</v>
      </c>
      <c r="L93" s="14">
        <f t="shared" si="36"/>
        <v>2.2534303491508973E-3</v>
      </c>
      <c r="M93" s="14">
        <f t="shared" si="37"/>
        <v>4.2045289867315247E-2</v>
      </c>
      <c r="N93" s="24">
        <f t="shared" si="38"/>
        <v>1.4602148853887856E-3</v>
      </c>
      <c r="O93" s="25">
        <f t="shared" si="39"/>
        <v>1.2356204668941034E-2</v>
      </c>
      <c r="P93" s="28">
        <f t="shared" si="40"/>
        <v>134.87194787202444</v>
      </c>
      <c r="Q93" s="28">
        <f t="shared" si="41"/>
        <v>1.66650539200548</v>
      </c>
      <c r="R93" s="11">
        <v>134.87</v>
      </c>
      <c r="S93" s="11">
        <v>134.87</v>
      </c>
      <c r="T93" s="20">
        <v>124</v>
      </c>
      <c r="U93" s="11">
        <v>3104982.69</v>
      </c>
      <c r="V93" s="11">
        <v>3191945.94</v>
      </c>
    </row>
    <row r="94" spans="1:22">
      <c r="A94" s="65">
        <v>84</v>
      </c>
      <c r="B94" s="22" t="s">
        <v>123</v>
      </c>
      <c r="C94" s="22" t="s">
        <v>124</v>
      </c>
      <c r="D94" s="11">
        <v>8123462838.8299999</v>
      </c>
      <c r="E94" s="11">
        <v>124927238.2</v>
      </c>
      <c r="F94" s="11">
        <v>0</v>
      </c>
      <c r="G94" s="11">
        <v>9893097.1099999994</v>
      </c>
      <c r="H94" s="13">
        <f t="shared" si="35"/>
        <v>115034141.09</v>
      </c>
      <c r="I94" s="11">
        <v>7736721925</v>
      </c>
      <c r="J94" s="14">
        <f t="shared" si="28"/>
        <v>4.0544658633785591E-2</v>
      </c>
      <c r="K94" s="11">
        <v>7997083636</v>
      </c>
      <c r="L94" s="14">
        <f t="shared" si="36"/>
        <v>4.1859941778238187E-2</v>
      </c>
      <c r="M94" s="14">
        <f t="shared" si="37"/>
        <v>3.3652716683364579E-2</v>
      </c>
      <c r="N94" s="24">
        <f t="shared" si="38"/>
        <v>1.2370881136549363E-3</v>
      </c>
      <c r="O94" s="25">
        <f t="shared" si="39"/>
        <v>1.4384511445167034E-2</v>
      </c>
      <c r="P94" s="28">
        <f t="shared" si="40"/>
        <v>1.0299999999871203</v>
      </c>
      <c r="Q94" s="28">
        <f t="shared" si="41"/>
        <v>1.4816046788336777E-2</v>
      </c>
      <c r="R94" s="11">
        <v>1.03</v>
      </c>
      <c r="S94" s="11">
        <v>1.03</v>
      </c>
      <c r="T94" s="20">
        <v>4558</v>
      </c>
      <c r="U94" s="11">
        <v>7585021495</v>
      </c>
      <c r="V94" s="11">
        <v>7764158870</v>
      </c>
    </row>
    <row r="95" spans="1:22">
      <c r="A95" s="65">
        <v>85</v>
      </c>
      <c r="B95" s="66" t="s">
        <v>125</v>
      </c>
      <c r="C95" s="22" t="s">
        <v>46</v>
      </c>
      <c r="D95" s="11">
        <v>4738220464.96</v>
      </c>
      <c r="E95" s="11">
        <v>58872142.270000003</v>
      </c>
      <c r="F95" s="11">
        <v>0</v>
      </c>
      <c r="G95" s="11">
        <v>6759814.2699999996</v>
      </c>
      <c r="H95" s="13">
        <f t="shared" si="35"/>
        <v>52112328</v>
      </c>
      <c r="I95" s="11">
        <v>5368308496.79</v>
      </c>
      <c r="J95" s="14">
        <f t="shared" si="28"/>
        <v>2.8132875596818253E-2</v>
      </c>
      <c r="K95" s="11">
        <v>4718551691.8800001</v>
      </c>
      <c r="L95" s="14">
        <f t="shared" si="36"/>
        <v>2.4698791220657944E-2</v>
      </c>
      <c r="M95" s="14">
        <f t="shared" si="37"/>
        <v>-0.12103566799458793</v>
      </c>
      <c r="N95" s="24">
        <f t="shared" si="38"/>
        <v>1.4326036274293107E-3</v>
      </c>
      <c r="O95" s="25">
        <f t="shared" si="39"/>
        <v>1.1044136294973389E-2</v>
      </c>
      <c r="P95" s="28">
        <f t="shared" si="40"/>
        <v>5169.5632029121116</v>
      </c>
      <c r="Q95" s="28">
        <f t="shared" si="41"/>
        <v>57.093360598440533</v>
      </c>
      <c r="R95" s="11">
        <v>5169.5600000000004</v>
      </c>
      <c r="S95" s="11">
        <v>5169.5600000000004</v>
      </c>
      <c r="T95" s="20">
        <v>263</v>
      </c>
      <c r="U95" s="11">
        <v>1038706.77</v>
      </c>
      <c r="V95" s="11">
        <v>912756.36</v>
      </c>
    </row>
    <row r="96" spans="1:22">
      <c r="A96" s="65">
        <v>86</v>
      </c>
      <c r="B96" s="22" t="s">
        <v>126</v>
      </c>
      <c r="C96" s="22" t="s">
        <v>46</v>
      </c>
      <c r="D96" s="11">
        <v>20807106098.639999</v>
      </c>
      <c r="E96" s="11">
        <v>176025856.22999999</v>
      </c>
      <c r="F96" s="11">
        <v>0</v>
      </c>
      <c r="G96" s="11">
        <v>33005554.629999999</v>
      </c>
      <c r="H96" s="13">
        <f t="shared" si="35"/>
        <v>143020301.59999999</v>
      </c>
      <c r="I96" s="11">
        <v>21122559487.369999</v>
      </c>
      <c r="J96" s="14">
        <f t="shared" si="28"/>
        <v>0.1106937760190012</v>
      </c>
      <c r="K96" s="11">
        <v>20653555391.580002</v>
      </c>
      <c r="L96" s="14">
        <f t="shared" si="36"/>
        <v>0.10810898892106527</v>
      </c>
      <c r="M96" s="14">
        <f t="shared" si="37"/>
        <v>-2.2203942475363031E-2</v>
      </c>
      <c r="N96" s="24">
        <f t="shared" si="38"/>
        <v>1.5980567996276144E-3</v>
      </c>
      <c r="O96" s="25">
        <f t="shared" si="39"/>
        <v>6.9247303376302081E-3</v>
      </c>
      <c r="P96" s="28">
        <f t="shared" si="40"/>
        <v>259.00889920525736</v>
      </c>
      <c r="Q96" s="28">
        <f t="shared" si="41"/>
        <v>1.7935667820428505</v>
      </c>
      <c r="R96" s="11">
        <v>259.01</v>
      </c>
      <c r="S96" s="11">
        <v>259.01</v>
      </c>
      <c r="T96" s="20">
        <v>6292</v>
      </c>
      <c r="U96" s="11">
        <v>81564112.629999995</v>
      </c>
      <c r="V96" s="11">
        <v>79740717.230000004</v>
      </c>
    </row>
    <row r="97" spans="1:23">
      <c r="A97" s="65">
        <v>87</v>
      </c>
      <c r="B97" s="66" t="s">
        <v>127</v>
      </c>
      <c r="C97" s="22" t="s">
        <v>46</v>
      </c>
      <c r="D97" s="11">
        <v>423945487.75</v>
      </c>
      <c r="E97" s="11">
        <v>6827013.6100000003</v>
      </c>
      <c r="F97" s="11">
        <v>6462511.7000000002</v>
      </c>
      <c r="G97" s="11">
        <v>462700.09</v>
      </c>
      <c r="H97" s="13">
        <f t="shared" si="35"/>
        <v>12826825.220000001</v>
      </c>
      <c r="I97" s="11">
        <v>405566934.62</v>
      </c>
      <c r="J97" s="14">
        <f t="shared" si="28"/>
        <v>2.1253927796194821E-3</v>
      </c>
      <c r="K97" s="11">
        <v>422127781.75</v>
      </c>
      <c r="L97" s="14">
        <f t="shared" si="36"/>
        <v>2.2095860405269168E-3</v>
      </c>
      <c r="M97" s="14">
        <f t="shared" si="37"/>
        <v>4.0833819812053578E-2</v>
      </c>
      <c r="N97" s="24">
        <f t="shared" si="38"/>
        <v>1.0961138072500248E-3</v>
      </c>
      <c r="O97" s="25">
        <f t="shared" si="39"/>
        <v>3.0386119498755311E-2</v>
      </c>
      <c r="P97" s="28">
        <f t="shared" si="40"/>
        <v>7320.8187842864399</v>
      </c>
      <c r="Q97" s="28">
        <f t="shared" si="41"/>
        <v>222.45127440806033</v>
      </c>
      <c r="R97" s="11">
        <v>7300.37</v>
      </c>
      <c r="S97" s="11">
        <v>7334.83</v>
      </c>
      <c r="T97" s="20">
        <v>15</v>
      </c>
      <c r="U97" s="11">
        <v>57661.279999999999</v>
      </c>
      <c r="V97" s="11">
        <v>57661.279999999999</v>
      </c>
    </row>
    <row r="98" spans="1:23">
      <c r="A98" s="65">
        <v>88</v>
      </c>
      <c r="B98" s="22" t="s">
        <v>128</v>
      </c>
      <c r="C98" s="22" t="s">
        <v>46</v>
      </c>
      <c r="D98" s="11">
        <v>7303286218.25</v>
      </c>
      <c r="E98" s="11">
        <v>108929876.23</v>
      </c>
      <c r="F98" s="11">
        <v>0</v>
      </c>
      <c r="G98" s="11">
        <v>10163126.970000001</v>
      </c>
      <c r="H98" s="13">
        <f t="shared" si="35"/>
        <v>98766749.260000005</v>
      </c>
      <c r="I98" s="11">
        <v>7727988668.5900002</v>
      </c>
      <c r="J98" s="14">
        <f t="shared" si="28"/>
        <v>4.0498891588861746E-2</v>
      </c>
      <c r="K98" s="11">
        <v>7382124069.0100002</v>
      </c>
      <c r="L98" s="14">
        <f t="shared" si="36"/>
        <v>3.8640996867584772E-2</v>
      </c>
      <c r="M98" s="14">
        <f t="shared" si="37"/>
        <v>-4.4754801593556708E-2</v>
      </c>
      <c r="N98" s="24">
        <f t="shared" si="38"/>
        <v>1.3767212356487737E-3</v>
      </c>
      <c r="O98" s="25">
        <f t="shared" si="39"/>
        <v>1.3379177637317248E-2</v>
      </c>
      <c r="P98" s="28">
        <f t="shared" si="40"/>
        <v>141.62941916653057</v>
      </c>
      <c r="Q98" s="28">
        <f t="shared" si="41"/>
        <v>1.8948851576990766</v>
      </c>
      <c r="R98" s="11">
        <v>141.63</v>
      </c>
      <c r="S98" s="11">
        <v>141.63</v>
      </c>
      <c r="T98" s="20">
        <v>4496</v>
      </c>
      <c r="U98" s="11">
        <v>55274248.310000002</v>
      </c>
      <c r="V98" s="11">
        <v>52122815.390000001</v>
      </c>
    </row>
    <row r="99" spans="1:23">
      <c r="A99" s="65">
        <v>89</v>
      </c>
      <c r="B99" s="22" t="s">
        <v>129</v>
      </c>
      <c r="C99" s="22" t="s">
        <v>46</v>
      </c>
      <c r="D99" s="11">
        <v>7641075631.5500002</v>
      </c>
      <c r="E99" s="11">
        <v>59173500.07</v>
      </c>
      <c r="F99" s="11">
        <v>-30687899.600000001</v>
      </c>
      <c r="G99" s="11">
        <v>12483771.289999999</v>
      </c>
      <c r="H99" s="13">
        <f t="shared" si="35"/>
        <v>16001829.18</v>
      </c>
      <c r="I99" s="11">
        <v>7760836087.75</v>
      </c>
      <c r="J99" s="14">
        <f t="shared" si="28"/>
        <v>4.0671030048761617E-2</v>
      </c>
      <c r="K99" s="11">
        <v>7720599149.6000004</v>
      </c>
      <c r="L99" s="14">
        <f t="shared" si="36"/>
        <v>4.0412711133908076E-2</v>
      </c>
      <c r="M99" s="14">
        <f t="shared" si="37"/>
        <v>-5.1846138347788505E-3</v>
      </c>
      <c r="N99" s="24">
        <f t="shared" si="38"/>
        <v>1.6169433288926514E-3</v>
      </c>
      <c r="O99" s="25">
        <f t="shared" si="39"/>
        <v>2.0726149447648822E-3</v>
      </c>
      <c r="P99" s="28">
        <f t="shared" si="40"/>
        <v>359.94916006376883</v>
      </c>
      <c r="Q99" s="28">
        <f t="shared" si="41"/>
        <v>0.74603600850373386</v>
      </c>
      <c r="R99" s="11">
        <v>359.58</v>
      </c>
      <c r="S99" s="11">
        <v>360.2</v>
      </c>
      <c r="T99" s="20">
        <v>10168</v>
      </c>
      <c r="U99" s="11">
        <v>21547449.859999999</v>
      </c>
      <c r="V99" s="11">
        <v>21449137.84</v>
      </c>
    </row>
    <row r="100" spans="1:23">
      <c r="A100" s="65">
        <v>90</v>
      </c>
      <c r="B100" s="22" t="s">
        <v>130</v>
      </c>
      <c r="C100" s="22" t="s">
        <v>50</v>
      </c>
      <c r="D100" s="11">
        <v>81587991206.696442</v>
      </c>
      <c r="E100" s="11">
        <v>679334509</v>
      </c>
      <c r="F100" s="11">
        <v>0</v>
      </c>
      <c r="G100" s="11">
        <v>122722981</v>
      </c>
      <c r="H100" s="13">
        <f t="shared" si="35"/>
        <v>556611528</v>
      </c>
      <c r="I100" s="11">
        <v>87136304457.467133</v>
      </c>
      <c r="J100" s="14">
        <f t="shared" si="28"/>
        <v>0.45664194126217283</v>
      </c>
      <c r="K100" s="11">
        <v>88214227930.320358</v>
      </c>
      <c r="L100" s="14">
        <f t="shared" si="36"/>
        <v>0.4617486340335985</v>
      </c>
      <c r="M100" s="14">
        <f t="shared" si="37"/>
        <v>1.2370543822860659E-2</v>
      </c>
      <c r="N100" s="24">
        <f t="shared" si="38"/>
        <v>1.3911925987374486E-3</v>
      </c>
      <c r="O100" s="25">
        <f t="shared" si="39"/>
        <v>6.3097704424694683E-3</v>
      </c>
      <c r="P100" s="28">
        <f t="shared" si="40"/>
        <v>1.9872294004241871</v>
      </c>
      <c r="Q100" s="28">
        <f t="shared" si="41"/>
        <v>1.2538961333202859E-2</v>
      </c>
      <c r="R100" s="11">
        <v>1.99</v>
      </c>
      <c r="S100" s="11">
        <v>1.99</v>
      </c>
      <c r="T100" s="20">
        <v>1384</v>
      </c>
      <c r="U100" s="11">
        <v>44412831503.480003</v>
      </c>
      <c r="V100" s="11">
        <v>44390561004.930008</v>
      </c>
    </row>
    <row r="101" spans="1:23">
      <c r="A101" s="65">
        <v>91</v>
      </c>
      <c r="B101" s="22" t="s">
        <v>270</v>
      </c>
      <c r="C101" s="22" t="s">
        <v>50</v>
      </c>
      <c r="D101" s="11">
        <v>6625233471.9099989</v>
      </c>
      <c r="E101" s="11">
        <v>180171675.79000008</v>
      </c>
      <c r="F101" s="11"/>
      <c r="G101" s="11">
        <v>18641647.379999999</v>
      </c>
      <c r="H101" s="13">
        <f t="shared" si="35"/>
        <v>161530028.41000009</v>
      </c>
      <c r="I101" s="11">
        <v>10551303971.59</v>
      </c>
      <c r="J101" s="14">
        <f t="shared" si="28"/>
        <v>5.5294609502127438E-2</v>
      </c>
      <c r="K101" s="11">
        <v>10779854472.929998</v>
      </c>
      <c r="L101" s="14">
        <f t="shared" si="36"/>
        <v>5.6426079950369828E-2</v>
      </c>
      <c r="M101" s="14">
        <f t="shared" si="37"/>
        <v>2.1660877362208859E-2</v>
      </c>
      <c r="N101" s="24">
        <f t="shared" si="38"/>
        <v>1.7293041781604999E-3</v>
      </c>
      <c r="O101" s="25">
        <f t="shared" si="39"/>
        <v>1.4984434976894055E-2</v>
      </c>
      <c r="P101" s="28">
        <f t="shared" si="40"/>
        <v>112.55744892993017</v>
      </c>
      <c r="Q101" s="28">
        <f t="shared" si="41"/>
        <v>1.6866097746556119</v>
      </c>
      <c r="R101" s="11">
        <v>112.56</v>
      </c>
      <c r="S101" s="11">
        <v>112.56</v>
      </c>
      <c r="T101" s="20">
        <v>80</v>
      </c>
      <c r="U101" s="11">
        <v>95614881.639999986</v>
      </c>
      <c r="V101" s="11">
        <v>95772021.979999989</v>
      </c>
    </row>
    <row r="102" spans="1:23">
      <c r="A102" s="65">
        <v>92</v>
      </c>
      <c r="B102" s="68" t="s">
        <v>246</v>
      </c>
      <c r="C102" s="68" t="s">
        <v>247</v>
      </c>
      <c r="D102" s="11">
        <v>97079666.200000003</v>
      </c>
      <c r="E102" s="11">
        <v>1257406.95</v>
      </c>
      <c r="F102" s="11">
        <v>0</v>
      </c>
      <c r="G102" s="11">
        <v>396339.47</v>
      </c>
      <c r="H102" s="13">
        <f t="shared" si="35"/>
        <v>861067.48</v>
      </c>
      <c r="I102" s="11">
        <v>96026909.150000006</v>
      </c>
      <c r="J102" s="14">
        <f t="shared" si="28"/>
        <v>5.0323357733246857E-4</v>
      </c>
      <c r="K102" s="11">
        <v>103022452.33</v>
      </c>
      <c r="L102" s="14">
        <f t="shared" si="36"/>
        <v>5.3926081715235908E-4</v>
      </c>
      <c r="M102" s="14">
        <f t="shared" si="37"/>
        <v>7.284982138779994E-2</v>
      </c>
      <c r="N102" s="24">
        <f t="shared" si="38"/>
        <v>3.8471174101976455E-3</v>
      </c>
      <c r="O102" s="25">
        <f t="shared" si="39"/>
        <v>8.3580565257934392E-3</v>
      </c>
      <c r="P102" s="28">
        <f t="shared" si="40"/>
        <v>112.39004821049564</v>
      </c>
      <c r="Q102" s="28">
        <f t="shared" si="41"/>
        <v>0.93936237587997229</v>
      </c>
      <c r="R102" s="11">
        <v>112.39</v>
      </c>
      <c r="S102" s="11">
        <v>112.39</v>
      </c>
      <c r="T102" s="20">
        <v>62</v>
      </c>
      <c r="U102" s="11">
        <v>862269.78</v>
      </c>
      <c r="V102" s="11">
        <v>916651.02</v>
      </c>
    </row>
    <row r="103" spans="1:23">
      <c r="A103" s="65">
        <v>93</v>
      </c>
      <c r="B103" s="66" t="s">
        <v>131</v>
      </c>
      <c r="C103" s="66" t="s">
        <v>96</v>
      </c>
      <c r="D103" s="11">
        <v>2110132128.8599999</v>
      </c>
      <c r="E103" s="11">
        <v>20231478.109999999</v>
      </c>
      <c r="F103" s="11">
        <v>0</v>
      </c>
      <c r="G103" s="11">
        <v>3319201.56</v>
      </c>
      <c r="H103" s="13">
        <f t="shared" si="35"/>
        <v>16912276.550000001</v>
      </c>
      <c r="I103" s="11">
        <v>2109433730.8199999</v>
      </c>
      <c r="J103" s="14">
        <f t="shared" si="28"/>
        <v>1.1054587634890298E-2</v>
      </c>
      <c r="K103" s="11">
        <v>2119574535.1500001</v>
      </c>
      <c r="L103" s="14">
        <f t="shared" si="36"/>
        <v>1.1094702853500992E-2</v>
      </c>
      <c r="M103" s="14">
        <f t="shared" si="37"/>
        <v>4.8073585729844796E-3</v>
      </c>
      <c r="N103" s="24">
        <f t="shared" si="38"/>
        <v>1.5659753903228997E-3</v>
      </c>
      <c r="O103" s="25">
        <f t="shared" si="39"/>
        <v>7.9790902700211663E-3</v>
      </c>
      <c r="P103" s="28">
        <f t="shared" si="40"/>
        <v>28.664989076982451</v>
      </c>
      <c r="Q103" s="28">
        <f t="shared" si="41"/>
        <v>0.22872053543441367</v>
      </c>
      <c r="R103" s="11">
        <v>28.664999999999999</v>
      </c>
      <c r="S103" s="11">
        <v>28.664999999999999</v>
      </c>
      <c r="T103" s="19">
        <v>1298</v>
      </c>
      <c r="U103" s="11">
        <v>74358390.599999994</v>
      </c>
      <c r="V103" s="11">
        <v>73942973.760000005</v>
      </c>
    </row>
    <row r="104" spans="1:23">
      <c r="A104" s="99" t="s">
        <v>51</v>
      </c>
      <c r="B104" s="99"/>
      <c r="C104" s="99"/>
      <c r="D104" s="99"/>
      <c r="E104" s="99"/>
      <c r="F104" s="99"/>
      <c r="G104" s="99"/>
      <c r="H104" s="99"/>
      <c r="I104" s="44">
        <f>SUM(I68:I103)</f>
        <v>190819757415.66711</v>
      </c>
      <c r="J104" s="42">
        <f>(I104/$I$209)</f>
        <v>4.6737632058396539E-2</v>
      </c>
      <c r="K104" s="44">
        <f>SUM(K68:K103)</f>
        <v>191043830838.71033</v>
      </c>
      <c r="L104" s="42">
        <f>(K104/$K$209)</f>
        <v>4.3675229446673736E-2</v>
      </c>
      <c r="M104" s="42">
        <f t="shared" si="30"/>
        <v>1.1742674138040567E-3</v>
      </c>
      <c r="N104" s="24"/>
      <c r="O104" s="24"/>
      <c r="P104" s="45"/>
      <c r="Q104" s="45"/>
      <c r="R104" s="44"/>
      <c r="S104" s="44"/>
      <c r="T104" s="44">
        <f>SUM(T68:T103)</f>
        <v>44273</v>
      </c>
      <c r="U104" s="44"/>
      <c r="V104" s="11"/>
    </row>
    <row r="105" spans="1:23" ht="6.9" customHeight="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5"/>
    </row>
    <row r="106" spans="1:23">
      <c r="A106" s="102" t="s">
        <v>132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</row>
    <row r="107" spans="1:23">
      <c r="A107" s="108" t="s">
        <v>133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</row>
    <row r="108" spans="1:23">
      <c r="A108" s="71">
        <v>94</v>
      </c>
      <c r="B108" s="22" t="s">
        <v>134</v>
      </c>
      <c r="C108" s="22" t="s">
        <v>22</v>
      </c>
      <c r="D108" s="20">
        <v>2844558395.1900001</v>
      </c>
      <c r="E108" s="20">
        <v>18855099.219999999</v>
      </c>
      <c r="F108" s="20">
        <v>151475579.87</v>
      </c>
      <c r="G108" s="20">
        <v>5197067.17</v>
      </c>
      <c r="H108" s="13">
        <f>(E108+F108)-G108</f>
        <v>165133611.92000002</v>
      </c>
      <c r="I108" s="35">
        <f>1918574.58*1478.22</f>
        <v>2836075315.6476002</v>
      </c>
      <c r="J108" s="14">
        <f t="shared" ref="J108:J124" si="42">(I108/$I$140)</f>
        <v>1.6449220811334737E-3</v>
      </c>
      <c r="K108" s="35">
        <v>2850551156.0799999</v>
      </c>
      <c r="L108" s="14">
        <f t="shared" ref="L108" si="43">(K108/$K$140)</f>
        <v>1.5950490101095712E-3</v>
      </c>
      <c r="M108" s="14">
        <f t="shared" ref="M108" si="44">((K108-I108)/I108)</f>
        <v>5.1041805386942913E-3</v>
      </c>
      <c r="N108" s="24">
        <f t="shared" ref="N108" si="45">(G108/K108)</f>
        <v>1.823179759084508E-3</v>
      </c>
      <c r="O108" s="25">
        <f t="shared" ref="O108" si="46">H108/K108</f>
        <v>5.793041516472458E-2</v>
      </c>
      <c r="P108" s="28">
        <f t="shared" ref="P108" si="47">K108/V108</f>
        <v>166266.02296710553</v>
      </c>
      <c r="Q108" s="28">
        <f t="shared" ref="Q108" si="48">H108/V108</f>
        <v>9631.8597382720545</v>
      </c>
      <c r="R108" s="11">
        <f>111.439*1492.491</f>
        <v>166321.70454899999</v>
      </c>
      <c r="S108" s="11">
        <f>111.439*1492.491</f>
        <v>166321.70454899999</v>
      </c>
      <c r="T108" s="11">
        <v>196</v>
      </c>
      <c r="U108" s="11">
        <v>17347.439999999999</v>
      </c>
      <c r="V108" s="11">
        <v>17144.52</v>
      </c>
    </row>
    <row r="109" spans="1:23">
      <c r="A109" s="71">
        <v>95</v>
      </c>
      <c r="B109" s="68" t="s">
        <v>235</v>
      </c>
      <c r="C109" s="69" t="s">
        <v>55</v>
      </c>
      <c r="D109" s="20">
        <f>1765723.92*1492.491</f>
        <v>2635327059.0847197</v>
      </c>
      <c r="E109" s="20">
        <f>11500.48*1492.491</f>
        <v>17164362.895679999</v>
      </c>
      <c r="F109" s="20">
        <v>0</v>
      </c>
      <c r="G109" s="20">
        <f>3060.61*1492.491</f>
        <v>4567932.8795100003</v>
      </c>
      <c r="H109" s="13">
        <f t="shared" ref="H109:H124" si="49">(E109+F109)-G109</f>
        <v>12596430.016169999</v>
      </c>
      <c r="I109" s="35">
        <f>1561013.01*1478.22</f>
        <v>2307520651.6422</v>
      </c>
      <c r="J109" s="14">
        <f t="shared" si="42"/>
        <v>1.3383606745616466E-3</v>
      </c>
      <c r="K109" s="35">
        <f>1781577.88*1492.491</f>
        <v>2658988951.69908</v>
      </c>
      <c r="L109" s="14">
        <f t="shared" ref="L109:L124" si="50">(K109/$K$140)</f>
        <v>1.4878588255656181E-3</v>
      </c>
      <c r="M109" s="14">
        <f t="shared" ref="M109:M124" si="51">((K109-I109)/I109)</f>
        <v>0.15231425981247429</v>
      </c>
      <c r="N109" s="24">
        <f t="shared" ref="N109:N124" si="52">(G109/K109)</f>
        <v>1.7179209701458575E-3</v>
      </c>
      <c r="O109" s="25">
        <f t="shared" ref="O109:O124" si="53">H109/K109</f>
        <v>4.7373006225245673E-3</v>
      </c>
      <c r="P109" s="28">
        <f t="shared" ref="P109:P124" si="54">K109/V109</f>
        <v>151367.20342943378</v>
      </c>
      <c r="Q109" s="28">
        <f t="shared" ref="Q109:Q124" si="55">H109/V109</f>
        <v>717.07194703605956</v>
      </c>
      <c r="R109" s="11">
        <f>100*1492.491</f>
        <v>149249.1</v>
      </c>
      <c r="S109" s="11">
        <f>100*1492.491</f>
        <v>149249.1</v>
      </c>
      <c r="T109" s="11">
        <v>48</v>
      </c>
      <c r="U109" s="11">
        <v>15525.23</v>
      </c>
      <c r="V109" s="11">
        <v>17566.48</v>
      </c>
    </row>
    <row r="110" spans="1:23" ht="12.9" customHeight="1">
      <c r="A110" s="71">
        <v>96</v>
      </c>
      <c r="B110" s="22" t="s">
        <v>135</v>
      </c>
      <c r="C110" s="66" t="s">
        <v>26</v>
      </c>
      <c r="D110" s="20">
        <f>7856970.06*1492.491</f>
        <v>11726457101.81946</v>
      </c>
      <c r="E110" s="20">
        <f>75432.32*1492.491</f>
        <v>112582058.70912001</v>
      </c>
      <c r="F110" s="20">
        <v>0</v>
      </c>
      <c r="G110" s="20">
        <f>14996.07*1492.491</f>
        <v>22381499.510370001</v>
      </c>
      <c r="H110" s="13">
        <f t="shared" si="49"/>
        <v>90200559.198750004</v>
      </c>
      <c r="I110" s="35">
        <f>10164596*1478.22</f>
        <v>15025509099.120001</v>
      </c>
      <c r="J110" s="14">
        <f t="shared" si="42"/>
        <v>8.7147867904102966E-3</v>
      </c>
      <c r="K110" s="35">
        <f>10148071*1492.491</f>
        <v>15145904634.861</v>
      </c>
      <c r="L110" s="14">
        <f t="shared" si="50"/>
        <v>8.4750137332287208E-3</v>
      </c>
      <c r="M110" s="14">
        <f t="shared" si="51"/>
        <v>8.0127425265111608E-3</v>
      </c>
      <c r="N110" s="24">
        <f t="shared" si="52"/>
        <v>1.4777261609620193E-3</v>
      </c>
      <c r="O110" s="25">
        <f t="shared" si="53"/>
        <v>5.955442172211842E-3</v>
      </c>
      <c r="P110" s="28">
        <f t="shared" si="54"/>
        <v>1715.1831965414594</v>
      </c>
      <c r="Q110" s="28">
        <f t="shared" si="55"/>
        <v>10.21467434175212</v>
      </c>
      <c r="R110" s="11">
        <f>1.1492*1492.491</f>
        <v>1715.1706572000001</v>
      </c>
      <c r="S110" s="11">
        <f>1.1492*1492.491</f>
        <v>1715.1706572000001</v>
      </c>
      <c r="T110" s="11">
        <v>305</v>
      </c>
      <c r="U110" s="11">
        <v>8897907</v>
      </c>
      <c r="V110" s="11">
        <v>8830488</v>
      </c>
    </row>
    <row r="111" spans="1:23" ht="12.9" customHeight="1">
      <c r="A111" s="71">
        <v>97</v>
      </c>
      <c r="B111" s="22" t="s">
        <v>279</v>
      </c>
      <c r="C111" s="66" t="s">
        <v>26</v>
      </c>
      <c r="D111" s="20">
        <f>1114961.15*1492.491</f>
        <v>1664069481.7246499</v>
      </c>
      <c r="E111" s="20">
        <f>6902.72*1492.491</f>
        <v>10302247.47552</v>
      </c>
      <c r="F111" s="20">
        <v>0</v>
      </c>
      <c r="G111" s="20">
        <f>1859.22*1492.491</f>
        <v>2774869.1170200002</v>
      </c>
      <c r="H111" s="13">
        <f t="shared" si="49"/>
        <v>7527378.3585000001</v>
      </c>
      <c r="I111" s="35">
        <v>0</v>
      </c>
      <c r="J111" s="14">
        <f t="shared" si="42"/>
        <v>0</v>
      </c>
      <c r="K111" s="35">
        <f>1705498*1492.491</f>
        <v>2545440415.5180001</v>
      </c>
      <c r="L111" s="14">
        <f t="shared" si="50"/>
        <v>1.4243218215554579E-3</v>
      </c>
      <c r="M111" s="14" t="e">
        <f t="shared" si="51"/>
        <v>#DIV/0!</v>
      </c>
      <c r="N111" s="24">
        <f t="shared" si="52"/>
        <v>1.0901332044951093E-3</v>
      </c>
      <c r="O111" s="25">
        <f t="shared" si="53"/>
        <v>2.9572007706839877E-3</v>
      </c>
      <c r="P111" s="28">
        <f t="shared" si="54"/>
        <v>1501.5469543148586</v>
      </c>
      <c r="Q111" s="28">
        <f t="shared" si="55"/>
        <v>4.4403758105180948</v>
      </c>
      <c r="R111" s="11">
        <f>1.0061*1492.491</f>
        <v>1501.5951951</v>
      </c>
      <c r="S111" s="11">
        <f>1.0061*1492.491</f>
        <v>1501.5951951</v>
      </c>
      <c r="T111" s="11">
        <v>42</v>
      </c>
      <c r="U111" s="11">
        <v>727477</v>
      </c>
      <c r="V111" s="11">
        <v>1695212</v>
      </c>
    </row>
    <row r="112" spans="1:23" ht="12.9" customHeight="1">
      <c r="A112" s="71">
        <v>98</v>
      </c>
      <c r="B112" s="68" t="s">
        <v>240</v>
      </c>
      <c r="C112" s="69" t="s">
        <v>105</v>
      </c>
      <c r="D112" s="20">
        <f>4501268.94*1492.491</f>
        <v>6718103381.529541</v>
      </c>
      <c r="E112" s="20">
        <f>14930.53*1492.491</f>
        <v>22283681.650230002</v>
      </c>
      <c r="F112" s="20">
        <v>0</v>
      </c>
      <c r="G112" s="20">
        <f>4992.72*1492.491</f>
        <v>7451589.6655200003</v>
      </c>
      <c r="H112" s="13">
        <f t="shared" si="49"/>
        <v>14832091.98471</v>
      </c>
      <c r="I112" s="35">
        <f>3734379.66*1478.22</f>
        <v>5520234701.0052004</v>
      </c>
      <c r="J112" s="14">
        <f t="shared" si="42"/>
        <v>3.2017330085076568E-3</v>
      </c>
      <c r="K112" s="35">
        <f>4708014.36*1492.491</f>
        <v>7026669060.1707602</v>
      </c>
      <c r="L112" s="14">
        <f t="shared" si="50"/>
        <v>3.9318296410458722E-3</v>
      </c>
      <c r="M112" s="14">
        <f t="shared" si="51"/>
        <v>0.27289317225792004</v>
      </c>
      <c r="N112" s="24">
        <f t="shared" si="52"/>
        <v>1.0604725513199157E-3</v>
      </c>
      <c r="O112" s="25">
        <f t="shared" si="53"/>
        <v>2.1108283110674282E-3</v>
      </c>
      <c r="P112" s="28">
        <f t="shared" si="54"/>
        <v>1621.1817428413242</v>
      </c>
      <c r="Q112" s="28">
        <f t="shared" si="55"/>
        <v>3.4220363201751027</v>
      </c>
      <c r="R112" s="11">
        <f>1.0899*1492.491</f>
        <v>1626.6659409000001</v>
      </c>
      <c r="S112" s="11">
        <f>1.0899*1492.491</f>
        <v>1626.6659409000001</v>
      </c>
      <c r="T112" s="11">
        <v>337</v>
      </c>
      <c r="U112" s="11">
        <v>3442948.98</v>
      </c>
      <c r="V112" s="11">
        <v>4334288.3</v>
      </c>
    </row>
    <row r="113" spans="1:24" ht="12.9" customHeight="1">
      <c r="A113" s="71">
        <v>99</v>
      </c>
      <c r="B113" s="68" t="s">
        <v>241</v>
      </c>
      <c r="C113" s="69" t="s">
        <v>219</v>
      </c>
      <c r="D113" s="20">
        <f>455003*1492.491</f>
        <v>679087882.47300005</v>
      </c>
      <c r="E113" s="20">
        <f>11854.71*1492.491</f>
        <v>17693047.982609998</v>
      </c>
      <c r="F113" s="20">
        <v>0</v>
      </c>
      <c r="G113" s="20">
        <f>839.15*1492.491</f>
        <v>1252423.82265</v>
      </c>
      <c r="H113" s="13">
        <f t="shared" si="49"/>
        <v>16440624.159959998</v>
      </c>
      <c r="I113" s="35">
        <f>427207.21*1478.22</f>
        <v>631506241.96619999</v>
      </c>
      <c r="J113" s="14">
        <f t="shared" si="42"/>
        <v>3.6627326363743699E-4</v>
      </c>
      <c r="K113" s="35">
        <f>456234.52*1492.491</f>
        <v>680925914.98932004</v>
      </c>
      <c r="L113" s="14">
        <f t="shared" si="50"/>
        <v>3.8101761631082533E-4</v>
      </c>
      <c r="M113" s="14">
        <f t="shared" si="51"/>
        <v>7.8256824301928485E-2</v>
      </c>
      <c r="N113" s="24">
        <f t="shared" si="52"/>
        <v>1.8392952817336136E-3</v>
      </c>
      <c r="O113" s="25">
        <f t="shared" si="53"/>
        <v>2.4144512344221561E-2</v>
      </c>
      <c r="P113" s="28">
        <f t="shared" si="54"/>
        <v>1644.2948171653597</v>
      </c>
      <c r="Q113" s="28">
        <f t="shared" si="55"/>
        <v>39.700696510588557</v>
      </c>
      <c r="R113" s="11">
        <v>1492.491</v>
      </c>
      <c r="S113" s="11">
        <v>1492.491</v>
      </c>
      <c r="T113" s="11">
        <v>21</v>
      </c>
      <c r="U113" s="11">
        <v>414114.25</v>
      </c>
      <c r="V113" s="11">
        <v>414114.25</v>
      </c>
    </row>
    <row r="114" spans="1:24" ht="12.9" customHeight="1">
      <c r="A114" s="71">
        <v>100</v>
      </c>
      <c r="B114" s="68" t="s">
        <v>242</v>
      </c>
      <c r="C114" s="69" t="s">
        <v>48</v>
      </c>
      <c r="D114" s="20">
        <f>433488.37*1492.491</f>
        <v>646977490.82966995</v>
      </c>
      <c r="E114" s="20">
        <f>1668.99*1492.491</f>
        <v>2490952.5540899998</v>
      </c>
      <c r="F114" s="20">
        <v>0</v>
      </c>
      <c r="G114" s="20">
        <f>59.59*1492.491</f>
        <v>88937.538690000001</v>
      </c>
      <c r="H114" s="13">
        <f t="shared" si="49"/>
        <v>2402015.0153999999</v>
      </c>
      <c r="I114" s="35">
        <f>245472.95*1478.22</f>
        <v>362863024.14900005</v>
      </c>
      <c r="J114" s="14">
        <f t="shared" si="42"/>
        <v>2.1046034904516101E-4</v>
      </c>
      <c r="K114" s="35">
        <f>400363.21*1663.89</f>
        <v>666160341.48690009</v>
      </c>
      <c r="L114" s="14">
        <f t="shared" si="50"/>
        <v>3.7275541994627286E-4</v>
      </c>
      <c r="M114" s="14">
        <f t="shared" si="51"/>
        <v>0.83584520095207904</v>
      </c>
      <c r="N114" s="24">
        <f t="shared" si="52"/>
        <v>1.3350770550448466E-4</v>
      </c>
      <c r="O114" s="25">
        <f t="shared" si="53"/>
        <v>3.6057610545211886E-3</v>
      </c>
      <c r="P114" s="28">
        <f t="shared" si="54"/>
        <v>3144.8688824452433</v>
      </c>
      <c r="Q114" s="28">
        <f t="shared" si="55"/>
        <v>11.339645737896634</v>
      </c>
      <c r="R114" s="11">
        <f>1.2307*1492.491</f>
        <v>1836.8086736999999</v>
      </c>
      <c r="S114" s="11">
        <f>1.2307*1492.491</f>
        <v>1836.8086736999999</v>
      </c>
      <c r="T114" s="11">
        <v>36</v>
      </c>
      <c r="U114" s="11">
        <v>201762.41</v>
      </c>
      <c r="V114" s="11">
        <v>211824.52</v>
      </c>
    </row>
    <row r="115" spans="1:24" ht="12.9" customHeight="1">
      <c r="A115" s="71">
        <v>101</v>
      </c>
      <c r="B115" s="68" t="s">
        <v>243</v>
      </c>
      <c r="C115" s="69" t="s">
        <v>172</v>
      </c>
      <c r="D115" s="20">
        <f>333555.86*1492.491</f>
        <v>497829119.04725999</v>
      </c>
      <c r="E115" s="20">
        <f>2346.19*1492.491</f>
        <v>3501667.4592900001</v>
      </c>
      <c r="F115" s="20">
        <v>0</v>
      </c>
      <c r="G115" s="20">
        <f>935.8*1492.491</f>
        <v>1396673.0777999999</v>
      </c>
      <c r="H115" s="13">
        <f t="shared" si="49"/>
        <v>2104994.3814900005</v>
      </c>
      <c r="I115" s="35">
        <f>433270.22*1478.22</f>
        <v>640468704.60839999</v>
      </c>
      <c r="J115" s="14">
        <f t="shared" si="42"/>
        <v>3.7147148690751339E-4</v>
      </c>
      <c r="K115" s="35">
        <f>450005.75*1492.491</f>
        <v>671629531.82324994</v>
      </c>
      <c r="L115" s="14">
        <f t="shared" si="50"/>
        <v>3.7581574974021072E-4</v>
      </c>
      <c r="M115" s="14">
        <f t="shared" si="51"/>
        <v>4.8653161334248997E-2</v>
      </c>
      <c r="N115" s="24">
        <f t="shared" si="52"/>
        <v>2.079528983796318E-3</v>
      </c>
      <c r="O115" s="25">
        <f t="shared" si="53"/>
        <v>3.1341599524006094E-3</v>
      </c>
      <c r="P115" s="28">
        <f t="shared" si="54"/>
        <v>160140.56552771816</v>
      </c>
      <c r="Q115" s="28">
        <f t="shared" si="55"/>
        <v>501.9061472317598</v>
      </c>
      <c r="R115" s="11">
        <f>107.29*1492.491</f>
        <v>160129.35939</v>
      </c>
      <c r="S115" s="11">
        <f>107.87*1492.491</f>
        <v>160995.00417</v>
      </c>
      <c r="T115" s="11">
        <v>50</v>
      </c>
      <c r="U115" s="11">
        <v>4103.37</v>
      </c>
      <c r="V115" s="11">
        <v>4194</v>
      </c>
    </row>
    <row r="116" spans="1:24" ht="15" customHeight="1">
      <c r="A116" s="71">
        <v>102</v>
      </c>
      <c r="B116" s="22" t="s">
        <v>136</v>
      </c>
      <c r="C116" s="66" t="s">
        <v>71</v>
      </c>
      <c r="D116" s="20">
        <f>633102.5*1492.491</f>
        <v>944899783.32749999</v>
      </c>
      <c r="E116" s="20">
        <f>23812.46*1492.491</f>
        <v>35539882.237860002</v>
      </c>
      <c r="F116" s="20">
        <v>0</v>
      </c>
      <c r="G116" s="20">
        <f>5118.56*1492.491</f>
        <v>7639404.7329600006</v>
      </c>
      <c r="H116" s="13">
        <f t="shared" si="49"/>
        <v>27900477.504900001</v>
      </c>
      <c r="I116" s="35">
        <f>3333883.92*1478.22</f>
        <v>4928213888.2223997</v>
      </c>
      <c r="J116" s="14">
        <f t="shared" si="42"/>
        <v>2.858361271493456E-3</v>
      </c>
      <c r="K116" s="35">
        <f>3323513.31*1492.491</f>
        <v>4960313703.5552101</v>
      </c>
      <c r="L116" s="14">
        <f t="shared" si="50"/>
        <v>2.7755837483614807E-3</v>
      </c>
      <c r="M116" s="14">
        <f t="shared" si="51"/>
        <v>6.5134785260687542E-3</v>
      </c>
      <c r="N116" s="24">
        <f t="shared" si="52"/>
        <v>1.5401051605838162E-3</v>
      </c>
      <c r="O116" s="25">
        <f t="shared" si="53"/>
        <v>5.6247405249597151E-3</v>
      </c>
      <c r="P116" s="28">
        <f t="shared" si="54"/>
        <v>167992.98347017044</v>
      </c>
      <c r="Q116" s="28">
        <f t="shared" si="55"/>
        <v>944.91694203355519</v>
      </c>
      <c r="R116" s="11">
        <f>112.44*1492.491</f>
        <v>167815.68804000001</v>
      </c>
      <c r="S116" s="11">
        <f>112.44*1492.491</f>
        <v>167815.68804000001</v>
      </c>
      <c r="T116" s="11">
        <v>58</v>
      </c>
      <c r="U116" s="11">
        <v>29786.19</v>
      </c>
      <c r="V116" s="11">
        <v>29526.91</v>
      </c>
    </row>
    <row r="117" spans="1:24" ht="15" customHeight="1">
      <c r="A117" s="71">
        <v>103</v>
      </c>
      <c r="B117" s="22" t="s">
        <v>137</v>
      </c>
      <c r="C117" s="22" t="s">
        <v>138</v>
      </c>
      <c r="D117" s="20">
        <v>49931072397.230003</v>
      </c>
      <c r="E117" s="20">
        <v>409520062.94999999</v>
      </c>
      <c r="F117" s="20">
        <v>0</v>
      </c>
      <c r="G117" s="20">
        <v>73912784.5</v>
      </c>
      <c r="H117" s="13">
        <f t="shared" si="49"/>
        <v>335607278.44999999</v>
      </c>
      <c r="I117" s="35">
        <v>51392005517.809998</v>
      </c>
      <c r="J117" s="14">
        <f t="shared" si="42"/>
        <v>2.9807334171827436E-2</v>
      </c>
      <c r="K117" s="35">
        <v>49634547210.839996</v>
      </c>
      <c r="L117" s="14">
        <f t="shared" si="50"/>
        <v>2.7773413301853841E-2</v>
      </c>
      <c r="M117" s="14">
        <f t="shared" si="51"/>
        <v>-3.4197114692497275E-2</v>
      </c>
      <c r="N117" s="24">
        <f t="shared" si="52"/>
        <v>1.4891398965730411E-3</v>
      </c>
      <c r="O117" s="25">
        <f t="shared" si="53"/>
        <v>6.7615662337845326E-3</v>
      </c>
      <c r="P117" s="28">
        <f t="shared" si="54"/>
        <v>192537.18971434335</v>
      </c>
      <c r="Q117" s="28">
        <f t="shared" si="55"/>
        <v>1301.8529607202706</v>
      </c>
      <c r="R117" s="11">
        <f>127.96*1504.67</f>
        <v>192537.57320000001</v>
      </c>
      <c r="S117" s="11">
        <f>127.96*1504.67</f>
        <v>192537.57320000001</v>
      </c>
      <c r="T117" s="11">
        <v>2337</v>
      </c>
      <c r="U117" s="11">
        <v>261267</v>
      </c>
      <c r="V117" s="11">
        <v>257792</v>
      </c>
    </row>
    <row r="118" spans="1:24">
      <c r="A118" s="71">
        <v>104</v>
      </c>
      <c r="B118" s="22" t="s">
        <v>139</v>
      </c>
      <c r="C118" s="22" t="s">
        <v>138</v>
      </c>
      <c r="D118" s="20">
        <v>121812009793.2</v>
      </c>
      <c r="E118" s="20">
        <v>977782564.42999995</v>
      </c>
      <c r="F118" s="20">
        <v>0</v>
      </c>
      <c r="G118" s="20">
        <v>171924950.05000001</v>
      </c>
      <c r="H118" s="13">
        <f t="shared" si="49"/>
        <v>805857614.37999988</v>
      </c>
      <c r="I118" s="35">
        <v>114639052802.57001</v>
      </c>
      <c r="J118" s="14">
        <f t="shared" si="42"/>
        <v>6.6490585872228267E-2</v>
      </c>
      <c r="K118" s="35">
        <v>121402817953.75</v>
      </c>
      <c r="L118" s="14">
        <f t="shared" si="50"/>
        <v>6.7931931054320938E-2</v>
      </c>
      <c r="M118" s="14">
        <f t="shared" si="51"/>
        <v>5.9000532417416839E-2</v>
      </c>
      <c r="N118" s="24">
        <f t="shared" si="52"/>
        <v>1.4161528780616698E-3</v>
      </c>
      <c r="O118" s="25">
        <f t="shared" si="53"/>
        <v>6.6378822828231376E-3</v>
      </c>
      <c r="P118" s="28">
        <f t="shared" si="54"/>
        <v>181108.49243919432</v>
      </c>
      <c r="Q118" s="28">
        <f t="shared" si="55"/>
        <v>1202.1768532309361</v>
      </c>
      <c r="R118" s="11">
        <f>120.36*1504.67</f>
        <v>181102.08120000002</v>
      </c>
      <c r="S118" s="11">
        <f>120.36*1504.67</f>
        <v>181102.08120000002</v>
      </c>
      <c r="T118" s="11">
        <v>726</v>
      </c>
      <c r="U118" s="11">
        <v>620040</v>
      </c>
      <c r="V118" s="11">
        <v>670332</v>
      </c>
    </row>
    <row r="119" spans="1:24">
      <c r="A119" s="71">
        <v>105</v>
      </c>
      <c r="B119" s="68" t="s">
        <v>281</v>
      </c>
      <c r="C119" s="69" t="s">
        <v>282</v>
      </c>
      <c r="D119" s="20">
        <f>100000*1492.491</f>
        <v>149249100</v>
      </c>
      <c r="E119" s="20">
        <f>635*1492.491</f>
        <v>947731.78500000003</v>
      </c>
      <c r="F119" s="20">
        <v>0</v>
      </c>
      <c r="G119" s="20">
        <v>0</v>
      </c>
      <c r="H119" s="13">
        <f t="shared" si="49"/>
        <v>947731.78500000003</v>
      </c>
      <c r="I119" s="57">
        <v>0</v>
      </c>
      <c r="J119" s="14">
        <f t="shared" si="42"/>
        <v>0</v>
      </c>
      <c r="K119" s="35">
        <f>101000*1492.491</f>
        <v>150741591</v>
      </c>
      <c r="L119" s="14">
        <f t="shared" si="50"/>
        <v>8.4348679375233058E-5</v>
      </c>
      <c r="M119" s="14" t="e">
        <f t="shared" si="51"/>
        <v>#DIV/0!</v>
      </c>
      <c r="N119" s="24">
        <f t="shared" si="52"/>
        <v>0</v>
      </c>
      <c r="O119" s="25">
        <f t="shared" si="53"/>
        <v>6.2871287128712875E-3</v>
      </c>
      <c r="P119" s="28">
        <f t="shared" si="54"/>
        <v>165650.1</v>
      </c>
      <c r="Q119" s="28">
        <f t="shared" si="55"/>
        <v>1041.4635000000001</v>
      </c>
      <c r="R119" s="11">
        <f>101.12*1492.491</f>
        <v>150920.68992</v>
      </c>
      <c r="S119" s="11">
        <f>101.12*1492.491</f>
        <v>150920.68992</v>
      </c>
      <c r="T119" s="11">
        <v>2</v>
      </c>
      <c r="U119" s="11">
        <v>910</v>
      </c>
      <c r="V119" s="11">
        <v>910</v>
      </c>
    </row>
    <row r="120" spans="1:24" s="3" customFormat="1">
      <c r="A120" s="71">
        <v>106</v>
      </c>
      <c r="B120" s="68" t="s">
        <v>140</v>
      </c>
      <c r="C120" s="69" t="s">
        <v>141</v>
      </c>
      <c r="D120" s="20">
        <f>144610.62*1492.491</f>
        <v>215830048.85441998</v>
      </c>
      <c r="E120" s="20">
        <f>1207.99*1492.491</f>
        <v>1802914.20309</v>
      </c>
      <c r="F120" s="20">
        <v>0</v>
      </c>
      <c r="G120" s="20">
        <f>2945.41*1492.491</f>
        <v>4395997.9163099993</v>
      </c>
      <c r="H120" s="13">
        <f t="shared" si="49"/>
        <v>-2593083.7132199993</v>
      </c>
      <c r="I120" s="35">
        <f>136563.86*1478.22</f>
        <v>201871429.12919998</v>
      </c>
      <c r="J120" s="14">
        <f t="shared" si="42"/>
        <v>1.1708531486892749E-4</v>
      </c>
      <c r="K120" s="35">
        <f>137844.19*1492.491</f>
        <v>205731212.97729</v>
      </c>
      <c r="L120" s="14">
        <f t="shared" si="50"/>
        <v>1.1511856817870007E-4</v>
      </c>
      <c r="M120" s="14">
        <f t="shared" si="51"/>
        <v>1.912001051728681E-2</v>
      </c>
      <c r="N120" s="24">
        <f t="shared" si="52"/>
        <v>2.1367676069626144E-2</v>
      </c>
      <c r="O120" s="25">
        <f t="shared" si="53"/>
        <v>-1.2604230907374475E-2</v>
      </c>
      <c r="P120" s="28">
        <f t="shared" si="54"/>
        <v>170007.53057711979</v>
      </c>
      <c r="Q120" s="28">
        <f t="shared" si="55"/>
        <v>-2142.8141713865443</v>
      </c>
      <c r="R120" s="11">
        <f>113.9082*1492.491</f>
        <v>170006.9633262</v>
      </c>
      <c r="S120" s="11">
        <f>113.9082*1492.491</f>
        <v>170006.9633262</v>
      </c>
      <c r="T120" s="11">
        <v>7</v>
      </c>
      <c r="U120" s="11">
        <v>1156.47</v>
      </c>
      <c r="V120" s="11">
        <v>1210.1300000000001</v>
      </c>
      <c r="W120" s="6"/>
      <c r="X120" s="6"/>
    </row>
    <row r="121" spans="1:24">
      <c r="A121" s="71">
        <v>107</v>
      </c>
      <c r="B121" s="22" t="s">
        <v>142</v>
      </c>
      <c r="C121" s="22" t="s">
        <v>143</v>
      </c>
      <c r="D121" s="20">
        <f>10475232.36*1492.491</f>
        <v>15634190020.208759</v>
      </c>
      <c r="E121" s="20">
        <f>59907.99*1492.491</f>
        <v>89412135.90309</v>
      </c>
      <c r="F121" s="20">
        <v>0</v>
      </c>
      <c r="G121" s="20">
        <f>15641.58*1492.491</f>
        <v>23344917.375780001</v>
      </c>
      <c r="H121" s="13">
        <f t="shared" si="49"/>
        <v>66067218.527309999</v>
      </c>
      <c r="I121" s="35">
        <f>10360267.16*1478.22</f>
        <v>15314754121.255201</v>
      </c>
      <c r="J121" s="14">
        <f t="shared" si="42"/>
        <v>8.8825487398701934E-3</v>
      </c>
      <c r="K121" s="35">
        <f>10420324.49*1492.491</f>
        <v>15552240518.404591</v>
      </c>
      <c r="L121" s="14">
        <f t="shared" si="50"/>
        <v>8.7023822712168214E-3</v>
      </c>
      <c r="M121" s="14">
        <f t="shared" si="51"/>
        <v>1.5507032974155567E-2</v>
      </c>
      <c r="N121" s="24">
        <f t="shared" si="52"/>
        <v>1.5010645796117621E-3</v>
      </c>
      <c r="O121" s="25">
        <f t="shared" si="53"/>
        <v>4.248083641011452E-3</v>
      </c>
      <c r="P121" s="28">
        <f t="shared" si="54"/>
        <v>2085.4219325019476</v>
      </c>
      <c r="Q121" s="28">
        <f t="shared" si="55"/>
        <v>8.8590467960680108</v>
      </c>
      <c r="R121" s="11">
        <f>1.4*1492.491</f>
        <v>2089.4874</v>
      </c>
      <c r="S121" s="11">
        <f>1.4*1492.491</f>
        <v>2089.4874</v>
      </c>
      <c r="T121" s="11">
        <v>114</v>
      </c>
      <c r="U121" s="11">
        <v>7446070</v>
      </c>
      <c r="V121" s="11">
        <v>7457599</v>
      </c>
    </row>
    <row r="122" spans="1:24">
      <c r="A122" s="71">
        <v>108</v>
      </c>
      <c r="B122" s="22" t="s">
        <v>144</v>
      </c>
      <c r="C122" s="22" t="s">
        <v>50</v>
      </c>
      <c r="D122" s="20">
        <f>113115940*1492.491</f>
        <v>168824522406.54001</v>
      </c>
      <c r="E122" s="20">
        <f>777732*1492.491</f>
        <v>1160758010.4119999</v>
      </c>
      <c r="F122" s="20">
        <v>0</v>
      </c>
      <c r="G122" s="20">
        <f>159070*1492.491</f>
        <v>237410543.37</v>
      </c>
      <c r="H122" s="13">
        <f t="shared" si="49"/>
        <v>923347467.04199994</v>
      </c>
      <c r="I122" s="35">
        <f>125058056*1478.22</f>
        <v>184863319540.32001</v>
      </c>
      <c r="J122" s="14">
        <f t="shared" si="42"/>
        <v>0.1072206209143178</v>
      </c>
      <c r="K122" s="35">
        <f>122540797*1492.491</f>
        <v>182891036655.327</v>
      </c>
      <c r="L122" s="14">
        <f t="shared" si="50"/>
        <v>0.10233816234196555</v>
      </c>
      <c r="M122" s="14">
        <f t="shared" si="51"/>
        <v>-1.0668870871178111E-2</v>
      </c>
      <c r="N122" s="24">
        <f t="shared" si="52"/>
        <v>1.2980982978264782E-3</v>
      </c>
      <c r="O122" s="25">
        <f t="shared" si="53"/>
        <v>5.0486206646754546E-3</v>
      </c>
      <c r="P122" s="28">
        <f t="shared" si="54"/>
        <v>188213.90080913718</v>
      </c>
      <c r="Q122" s="28">
        <f t="shared" si="55"/>
        <v>950.22058900418631</v>
      </c>
      <c r="R122" s="11">
        <f>126*1492.491</f>
        <v>188053.86600000001</v>
      </c>
      <c r="S122" s="11">
        <f>126*1492.491</f>
        <v>188053.86600000001</v>
      </c>
      <c r="T122" s="11">
        <v>1049</v>
      </c>
      <c r="U122" s="11">
        <v>998643.21</v>
      </c>
      <c r="V122" s="11">
        <v>971719.06999999983</v>
      </c>
    </row>
    <row r="123" spans="1:24" ht="13.95" customHeight="1">
      <c r="A123" s="71">
        <v>109</v>
      </c>
      <c r="B123" s="22" t="s">
        <v>145</v>
      </c>
      <c r="C123" s="22" t="s">
        <v>146</v>
      </c>
      <c r="D123" s="20">
        <v>29672310758.77</v>
      </c>
      <c r="E123" s="20">
        <v>301967437.63</v>
      </c>
      <c r="F123" s="20">
        <v>0</v>
      </c>
      <c r="G123" s="20">
        <v>60163274.469999999</v>
      </c>
      <c r="H123" s="13">
        <f t="shared" si="49"/>
        <v>241804163.16</v>
      </c>
      <c r="I123" s="35">
        <v>30792254549.200001</v>
      </c>
      <c r="J123" s="14">
        <f t="shared" si="42"/>
        <v>1.7859490245693964E-2</v>
      </c>
      <c r="K123" s="35">
        <v>30232125955.290001</v>
      </c>
      <c r="L123" s="14">
        <f t="shared" si="50"/>
        <v>1.6916631183987025E-2</v>
      </c>
      <c r="M123" s="14">
        <f t="shared" si="51"/>
        <v>-1.8190567794086787E-2</v>
      </c>
      <c r="N123" s="24">
        <f t="shared" si="52"/>
        <v>1.9900444500322236E-3</v>
      </c>
      <c r="O123" s="25">
        <f t="shared" si="53"/>
        <v>7.9982520421356361E-3</v>
      </c>
      <c r="P123" s="28">
        <f t="shared" si="54"/>
        <v>157120.19892154419</v>
      </c>
      <c r="Q123" s="28">
        <f t="shared" si="55"/>
        <v>1256.6869518849981</v>
      </c>
      <c r="R123" s="11">
        <v>157120.20000000001</v>
      </c>
      <c r="S123" s="11">
        <v>157120.20000000001</v>
      </c>
      <c r="T123" s="11">
        <f>494+31+26</f>
        <v>551</v>
      </c>
      <c r="U123" s="11">
        <v>197346</v>
      </c>
      <c r="V123" s="11">
        <v>192414</v>
      </c>
    </row>
    <row r="124" spans="1:24">
      <c r="A124" s="71">
        <v>110</v>
      </c>
      <c r="B124" s="22" t="s">
        <v>147</v>
      </c>
      <c r="C124" s="22" t="s">
        <v>42</v>
      </c>
      <c r="D124" s="20">
        <f>1717059.75*1492.491</f>
        <v>2562696223.3372498</v>
      </c>
      <c r="E124" s="20">
        <f>25933.73*1492.491</f>
        <v>38705858.621430002</v>
      </c>
      <c r="F124" s="20">
        <v>0</v>
      </c>
      <c r="G124" s="20">
        <f>2303.81*1492.491</f>
        <v>3438415.6907099998</v>
      </c>
      <c r="H124" s="13">
        <f t="shared" si="49"/>
        <v>35267442.930720001</v>
      </c>
      <c r="I124" s="35">
        <f>1716809.99*1478.22</f>
        <v>2537822863.4177999</v>
      </c>
      <c r="J124" s="14">
        <f t="shared" si="42"/>
        <v>1.4719358273065091E-3</v>
      </c>
      <c r="K124" s="35">
        <f>1714755.94*1492.491</f>
        <v>2559257807.6465397</v>
      </c>
      <c r="L124" s="14">
        <f t="shared" si="50"/>
        <v>1.4320534553449145E-3</v>
      </c>
      <c r="M124" s="14">
        <f t="shared" si="51"/>
        <v>8.4461939947504203E-3</v>
      </c>
      <c r="N124" s="24">
        <f t="shared" si="52"/>
        <v>1.3435206411939883E-3</v>
      </c>
      <c r="O124" s="25">
        <f t="shared" si="53"/>
        <v>1.3780340075684475E-2</v>
      </c>
      <c r="P124" s="28">
        <f t="shared" si="54"/>
        <v>204455.36848161762</v>
      </c>
      <c r="Q124" s="28">
        <f t="shared" si="55"/>
        <v>2817.4645079760717</v>
      </c>
      <c r="R124" s="11">
        <f>138.19*1492.491</f>
        <v>206247.33129</v>
      </c>
      <c r="S124" s="11">
        <f>142.32*1492.491</f>
        <v>212411.31912</v>
      </c>
      <c r="T124" s="11">
        <v>51</v>
      </c>
      <c r="U124" s="11">
        <v>12514.44</v>
      </c>
      <c r="V124" s="11">
        <v>12517.44</v>
      </c>
    </row>
    <row r="125" spans="1:24" ht="8.1" customHeight="1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</row>
    <row r="126" spans="1:24">
      <c r="A126" s="108" t="s">
        <v>148</v>
      </c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</row>
    <row r="127" spans="1:24">
      <c r="A127" s="65">
        <v>111</v>
      </c>
      <c r="B127" s="22" t="s">
        <v>149</v>
      </c>
      <c r="C127" s="66" t="s">
        <v>103</v>
      </c>
      <c r="D127" s="55">
        <f>1032595*1492.491</f>
        <v>1541138744.145</v>
      </c>
      <c r="E127" s="11">
        <f>8402.82*1492.491</f>
        <v>12541133.22462</v>
      </c>
      <c r="F127" s="11">
        <v>0</v>
      </c>
      <c r="G127" s="11">
        <f>1865.04*1492.491</f>
        <v>2783555.4146400001</v>
      </c>
      <c r="H127" s="13">
        <f>(E127+F127)-G127</f>
        <v>9757577.8099799994</v>
      </c>
      <c r="I127" s="11">
        <f>1232374.08*1478.22</f>
        <v>1821720012.5376</v>
      </c>
      <c r="J127" s="14">
        <f t="shared" ref="J127:J139" si="56">(I127/$I$140)</f>
        <v>1.0565965782828989E-3</v>
      </c>
      <c r="K127" s="11">
        <f>1265728.45*1492.491</f>
        <v>1889088320.0689499</v>
      </c>
      <c r="L127" s="14">
        <f t="shared" ref="L127" si="57">(K127/$K$140)</f>
        <v>1.057054685199611E-3</v>
      </c>
      <c r="M127" s="14">
        <f t="shared" ref="M127:M140" si="58">((K127-I127)/I127)</f>
        <v>3.698060463062483E-2</v>
      </c>
      <c r="N127" s="24">
        <f t="shared" ref="N127" si="59">(G127/K127)</f>
        <v>1.4734914112106748E-3</v>
      </c>
      <c r="O127" s="25">
        <f t="shared" ref="O127" si="60">H127/K127</f>
        <v>5.1652311362678149E-3</v>
      </c>
      <c r="P127" s="26">
        <f t="shared" ref="P127" si="61">K127/V127</f>
        <v>165782.21325747695</v>
      </c>
      <c r="Q127" s="26">
        <f t="shared" ref="Q127" si="62">H127/V127</f>
        <v>856.30344975691082</v>
      </c>
      <c r="R127" s="11">
        <f>111.08*1492.491</f>
        <v>165785.90028</v>
      </c>
      <c r="S127" s="11">
        <f>111.08*1492.491</f>
        <v>165785.90028</v>
      </c>
      <c r="T127" s="11">
        <v>24</v>
      </c>
      <c r="U127" s="20">
        <v>11225</v>
      </c>
      <c r="V127" s="20">
        <v>11395</v>
      </c>
    </row>
    <row r="128" spans="1:24">
      <c r="A128" s="65">
        <v>112</v>
      </c>
      <c r="B128" s="22" t="s">
        <v>150</v>
      </c>
      <c r="C128" s="66" t="s">
        <v>28</v>
      </c>
      <c r="D128" s="55">
        <f>8802774.9*1492.491</f>
        <v>13138062313.2759</v>
      </c>
      <c r="E128" s="11">
        <f>61519.49*1492.491</f>
        <v>91817285.149590001</v>
      </c>
      <c r="F128" s="11">
        <v>0</v>
      </c>
      <c r="G128" s="11">
        <f>9060.5*1492.491</f>
        <v>13522714.705499999</v>
      </c>
      <c r="H128" s="13">
        <f t="shared" ref="H128:H139" si="63">(E128+F128)-G128</f>
        <v>78294570.444090009</v>
      </c>
      <c r="I128" s="11">
        <f>11105276.72*1478.22</f>
        <v>16416042153.038401</v>
      </c>
      <c r="J128" s="14">
        <f t="shared" si="56"/>
        <v>9.5212951762477308E-3</v>
      </c>
      <c r="K128" s="11">
        <f>11612948.25*1663.89</f>
        <v>19322668463.692501</v>
      </c>
      <c r="L128" s="14">
        <f t="shared" ref="L128:L139" si="64">(K128/$K$140)</f>
        <v>1.0812155796590511E-2</v>
      </c>
      <c r="M128" s="14">
        <f t="shared" ref="M128:M139" si="65">((K128-I128)/I128)</f>
        <v>0.17706011495079652</v>
      </c>
      <c r="N128" s="24">
        <f t="shared" ref="N128:N139" si="66">(G128/K128)</f>
        <v>6.9983681244178693E-4</v>
      </c>
      <c r="O128" s="25">
        <f t="shared" ref="O128:O139" si="67">H128/K128</f>
        <v>4.0519543452917145E-3</v>
      </c>
      <c r="P128" s="26">
        <f t="shared" ref="P128:P139" si="68">K128/V128</f>
        <v>243692.9320987993</v>
      </c>
      <c r="Q128" s="26">
        <f t="shared" ref="Q128:Q139" si="69">H128/V128</f>
        <v>987.43263513460863</v>
      </c>
      <c r="R128" s="11">
        <f>134.9432*1492.491</f>
        <v>201401.51151119999</v>
      </c>
      <c r="S128" s="11">
        <f>135.0921*1492.491</f>
        <v>201623.74342109999</v>
      </c>
      <c r="T128" s="11">
        <v>540</v>
      </c>
      <c r="U128" s="20">
        <v>82644.72</v>
      </c>
      <c r="V128" s="20">
        <v>79291.05</v>
      </c>
    </row>
    <row r="129" spans="1:22" ht="14.1" customHeight="1">
      <c r="A129" s="65">
        <v>113</v>
      </c>
      <c r="B129" s="22" t="s">
        <v>151</v>
      </c>
      <c r="C129" s="22" t="s">
        <v>62</v>
      </c>
      <c r="D129" s="55">
        <f>10419413.86*1492.491</f>
        <v>15550881411.325258</v>
      </c>
      <c r="E129" s="11">
        <f>68327.64*1492.491</f>
        <v>101978387.75124</v>
      </c>
      <c r="F129" s="11">
        <v>0</v>
      </c>
      <c r="G129" s="11">
        <f>16835.56*1492.491</f>
        <v>25126921.779960003</v>
      </c>
      <c r="H129" s="13">
        <f t="shared" si="63"/>
        <v>76851465.971279994</v>
      </c>
      <c r="I129" s="11">
        <f>10454038.61*1478.22</f>
        <v>15453368954.0742</v>
      </c>
      <c r="J129" s="14">
        <f t="shared" si="56"/>
        <v>8.9629452646093569E-3</v>
      </c>
      <c r="K129" s="11">
        <f>10700878.99*1663.89</f>
        <v>17805085542.671101</v>
      </c>
      <c r="L129" s="14">
        <f t="shared" si="64"/>
        <v>9.9629799693925353E-3</v>
      </c>
      <c r="M129" s="14">
        <f t="shared" si="65"/>
        <v>0.15218148195296166</v>
      </c>
      <c r="N129" s="24">
        <f t="shared" si="66"/>
        <v>1.4112216265258384E-3</v>
      </c>
      <c r="O129" s="25">
        <f t="shared" si="67"/>
        <v>4.316264911342336E-3</v>
      </c>
      <c r="P129" s="26">
        <f t="shared" si="68"/>
        <v>195961.76031995489</v>
      </c>
      <c r="Q129" s="26">
        <f t="shared" si="69"/>
        <v>845.8228700338982</v>
      </c>
      <c r="R129" s="11">
        <f>117.7*1492.491</f>
        <v>175666.19070000001</v>
      </c>
      <c r="S129" s="11">
        <f>117.7*1492.491</f>
        <v>175666.19070000001</v>
      </c>
      <c r="T129" s="11">
        <f>595+45+28</f>
        <v>668</v>
      </c>
      <c r="U129" s="20">
        <v>89211</v>
      </c>
      <c r="V129" s="20">
        <v>90860</v>
      </c>
    </row>
    <row r="130" spans="1:22" ht="14.1" customHeight="1">
      <c r="A130" s="65">
        <v>114</v>
      </c>
      <c r="B130" s="68" t="s">
        <v>262</v>
      </c>
      <c r="C130" s="69" t="s">
        <v>66</v>
      </c>
      <c r="D130" s="55">
        <v>84291048.696999997</v>
      </c>
      <c r="E130" s="11">
        <v>0</v>
      </c>
      <c r="F130" s="11">
        <v>0</v>
      </c>
      <c r="G130" s="11">
        <v>310823.44</v>
      </c>
      <c r="H130" s="13">
        <f t="shared" si="63"/>
        <v>-310823.44</v>
      </c>
      <c r="I130" s="11">
        <v>88640424.620000005</v>
      </c>
      <c r="J130" s="14">
        <f t="shared" si="56"/>
        <v>5.1411396211525218E-5</v>
      </c>
      <c r="K130" s="11">
        <v>89468586.870000005</v>
      </c>
      <c r="L130" s="14">
        <f t="shared" si="64"/>
        <v>5.006287314595755E-5</v>
      </c>
      <c r="M130" s="14">
        <f t="shared" si="65"/>
        <v>9.342940916069813E-3</v>
      </c>
      <c r="N130" s="24">
        <f t="shared" si="66"/>
        <v>3.4741069561278963E-3</v>
      </c>
      <c r="O130" s="25">
        <f t="shared" si="67"/>
        <v>-3.4741069561278963E-3</v>
      </c>
      <c r="P130" s="26">
        <f t="shared" si="68"/>
        <v>148.5779968835493</v>
      </c>
      <c r="Q130" s="26">
        <f t="shared" si="69"/>
        <v>-0.51617585250068754</v>
      </c>
      <c r="R130" s="11">
        <f>0.9874*1492.491</f>
        <v>1473.6856134</v>
      </c>
      <c r="S130" s="11">
        <f>0.9874*1492.491</f>
        <v>1473.6856134</v>
      </c>
      <c r="T130" s="11">
        <v>2</v>
      </c>
      <c r="U130" s="20">
        <v>602165.79</v>
      </c>
      <c r="V130" s="20">
        <v>602165.79</v>
      </c>
    </row>
    <row r="131" spans="1:22" ht="15" customHeight="1">
      <c r="A131" s="65">
        <v>115</v>
      </c>
      <c r="B131" s="22" t="s">
        <v>152</v>
      </c>
      <c r="C131" s="66" t="s">
        <v>60</v>
      </c>
      <c r="D131" s="55">
        <f>4230672.31*1492.491</f>
        <v>6314240346.6242094</v>
      </c>
      <c r="E131" s="11">
        <f>24705.19*1492.491</f>
        <v>36872273.728289999</v>
      </c>
      <c r="F131" s="11">
        <v>0</v>
      </c>
      <c r="G131" s="11">
        <f>5189.17*1492.491</f>
        <v>7744789.5224700002</v>
      </c>
      <c r="H131" s="13">
        <f t="shared" si="63"/>
        <v>29127484.205819998</v>
      </c>
      <c r="I131" s="11">
        <f>4336519.32*1478.22</f>
        <v>6410329589.2104006</v>
      </c>
      <c r="J131" s="14">
        <f t="shared" si="56"/>
        <v>3.7179875409012854E-3</v>
      </c>
      <c r="K131" s="11">
        <f>4366673.74*1492.491</f>
        <v>6517221256.8863401</v>
      </c>
      <c r="L131" s="14">
        <f t="shared" si="64"/>
        <v>3.6467639923911861E-3</v>
      </c>
      <c r="M131" s="14">
        <f t="shared" si="65"/>
        <v>1.6674909798063294E-2</v>
      </c>
      <c r="N131" s="24">
        <f t="shared" si="66"/>
        <v>1.1883576170268219E-3</v>
      </c>
      <c r="O131" s="25">
        <f t="shared" si="67"/>
        <v>4.4693103176515307E-3</v>
      </c>
      <c r="P131" s="26">
        <f t="shared" si="68"/>
        <v>1904.6360215337672</v>
      </c>
      <c r="Q131" s="26">
        <f t="shared" si="69"/>
        <v>8.5124094224116291</v>
      </c>
      <c r="R131" s="11">
        <f>1.28*1492.491</f>
        <v>1910.3884800000001</v>
      </c>
      <c r="S131" s="11">
        <f>1.28*1492.491</f>
        <v>1910.3884800000001</v>
      </c>
      <c r="T131" s="11">
        <v>234</v>
      </c>
      <c r="U131" s="20">
        <v>3421849.73</v>
      </c>
      <c r="V131" s="20">
        <v>3421767.3</v>
      </c>
    </row>
    <row r="132" spans="1:22" ht="15" customHeight="1">
      <c r="A132" s="65">
        <v>116</v>
      </c>
      <c r="B132" s="66" t="s">
        <v>277</v>
      </c>
      <c r="C132" s="66" t="s">
        <v>36</v>
      </c>
      <c r="D132" s="55">
        <f>59635665.59*1492.491</f>
        <v>89005694172.084702</v>
      </c>
      <c r="E132" s="11">
        <f>301490.68*1492.491</f>
        <v>449972126.48387998</v>
      </c>
      <c r="F132" s="11">
        <v>0</v>
      </c>
      <c r="G132" s="11">
        <f>70378.43*1492.491</f>
        <v>105039173.36912999</v>
      </c>
      <c r="H132" s="13">
        <f t="shared" ref="H132" si="70">(E132+F132)-G132</f>
        <v>344932953.11475003</v>
      </c>
      <c r="I132" s="11">
        <f>52058708*1478.22</f>
        <v>76954223339.759995</v>
      </c>
      <c r="J132" s="14">
        <f t="shared" si="56"/>
        <v>4.4633406069874967E-2</v>
      </c>
      <c r="K132" s="11">
        <f>58769578*1492.491</f>
        <v>87713066238.798004</v>
      </c>
      <c r="L132" s="14">
        <f t="shared" si="64"/>
        <v>4.9080557343957928E-2</v>
      </c>
      <c r="M132" s="14">
        <f t="shared" si="65"/>
        <v>0.13980834880935289</v>
      </c>
      <c r="N132" s="24">
        <f t="shared" si="66"/>
        <v>1.1975316548980491E-3</v>
      </c>
      <c r="O132" s="25">
        <f t="shared" si="67"/>
        <v>3.9325150505589816E-3</v>
      </c>
      <c r="P132" s="26">
        <f t="shared" si="68"/>
        <v>149249.1</v>
      </c>
      <c r="Q132" s="26">
        <f t="shared" si="69"/>
        <v>586.92433203238249</v>
      </c>
      <c r="R132" s="11">
        <f>100*1492.491</f>
        <v>149249.1</v>
      </c>
      <c r="S132" s="11">
        <f>100*1492.491</f>
        <v>149249.1</v>
      </c>
      <c r="T132" s="11">
        <v>1859</v>
      </c>
      <c r="U132" s="20">
        <v>520587.08</v>
      </c>
      <c r="V132" s="20">
        <v>587695.78</v>
      </c>
    </row>
    <row r="133" spans="1:22" ht="15" customHeight="1">
      <c r="A133" s="65">
        <v>117</v>
      </c>
      <c r="B133" s="68" t="s">
        <v>237</v>
      </c>
      <c r="C133" s="69" t="s">
        <v>238</v>
      </c>
      <c r="D133" s="55">
        <f>1098081.41*1492.491</f>
        <v>1638876621.6923099</v>
      </c>
      <c r="E133" s="11">
        <f>16891.8*1492.491</f>
        <v>25210859.4738</v>
      </c>
      <c r="F133" s="11">
        <v>0</v>
      </c>
      <c r="G133" s="11">
        <f>2240*1492.491</f>
        <v>3343179.84</v>
      </c>
      <c r="H133" s="13">
        <f t="shared" si="63"/>
        <v>21867679.6338</v>
      </c>
      <c r="I133" s="11">
        <f>1065961.8*1478.22</f>
        <v>1575726051.9960001</v>
      </c>
      <c r="J133" s="14">
        <f t="shared" si="56"/>
        <v>9.1392022011715782E-4</v>
      </c>
      <c r="K133" s="11">
        <f>1075531.15*1492.491</f>
        <v>1605220561.5946498</v>
      </c>
      <c r="L133" s="14">
        <f t="shared" si="64"/>
        <v>8.9821417949926413E-4</v>
      </c>
      <c r="M133" s="14">
        <f t="shared" si="65"/>
        <v>1.8718044016146414E-2</v>
      </c>
      <c r="N133" s="24">
        <f t="shared" si="66"/>
        <v>2.0826918867017474E-3</v>
      </c>
      <c r="O133" s="25">
        <f t="shared" si="67"/>
        <v>1.3622850439989584E-2</v>
      </c>
      <c r="P133" s="26">
        <f t="shared" si="68"/>
        <v>1640.5721517084739</v>
      </c>
      <c r="Q133" s="26">
        <f t="shared" si="69"/>
        <v>22.349269058736443</v>
      </c>
      <c r="R133" s="11">
        <f>1.0992*1492.491</f>
        <v>1640.5461071999998</v>
      </c>
      <c r="S133" s="11">
        <f>1.1343*1492.491</f>
        <v>1692.9325413000001</v>
      </c>
      <c r="T133" s="11">
        <v>36</v>
      </c>
      <c r="U133" s="20">
        <v>983112.84</v>
      </c>
      <c r="V133" s="20">
        <v>978451.67</v>
      </c>
    </row>
    <row r="134" spans="1:22" ht="15" customHeight="1">
      <c r="A134" s="65">
        <v>118</v>
      </c>
      <c r="B134" s="68" t="s">
        <v>239</v>
      </c>
      <c r="C134" s="69" t="s">
        <v>40</v>
      </c>
      <c r="D134" s="55">
        <f>2046832.77*1492.491</f>
        <v>3054879487.7300701</v>
      </c>
      <c r="E134" s="11">
        <f>20130.54*1492.491</f>
        <v>30044649.775140002</v>
      </c>
      <c r="F134" s="11">
        <f>310.47*1492.491</f>
        <v>463373.68077000004</v>
      </c>
      <c r="G134" s="11">
        <f>4600.91*1492.491</f>
        <v>6866816.7668099999</v>
      </c>
      <c r="H134" s="13">
        <f t="shared" si="63"/>
        <v>23641206.689100001</v>
      </c>
      <c r="I134" s="11">
        <f>2720824.76*1478.22</f>
        <v>4021977576.7271996</v>
      </c>
      <c r="J134" s="14">
        <f t="shared" si="56"/>
        <v>2.3327447227090249E-3</v>
      </c>
      <c r="K134" s="11">
        <f>2859578.2*1492.491</f>
        <v>4267894727.2962003</v>
      </c>
      <c r="L134" s="14">
        <f t="shared" si="64"/>
        <v>2.3881350964376842E-3</v>
      </c>
      <c r="M134" s="14">
        <f t="shared" si="65"/>
        <v>6.1143342019601879E-2</v>
      </c>
      <c r="N134" s="24">
        <f t="shared" si="66"/>
        <v>1.6089470817759065E-3</v>
      </c>
      <c r="O134" s="25">
        <f t="shared" si="67"/>
        <v>5.5393134553900292E-3</v>
      </c>
      <c r="P134" s="26">
        <f t="shared" si="68"/>
        <v>15631.551604900371</v>
      </c>
      <c r="Q134" s="26">
        <f t="shared" si="69"/>
        <v>86.588064133648217</v>
      </c>
      <c r="R134" s="11">
        <f>10.47*1492.491</f>
        <v>15626.380770000002</v>
      </c>
      <c r="S134" s="11">
        <f>10.47*1492.491</f>
        <v>15626.380770000002</v>
      </c>
      <c r="T134" s="11">
        <v>105</v>
      </c>
      <c r="U134" s="20">
        <v>261210.99</v>
      </c>
      <c r="V134" s="20">
        <v>273030.78000000003</v>
      </c>
    </row>
    <row r="135" spans="1:22">
      <c r="A135" s="65">
        <v>119</v>
      </c>
      <c r="B135" s="66" t="s">
        <v>153</v>
      </c>
      <c r="C135" s="66" t="s">
        <v>44</v>
      </c>
      <c r="D135" s="55">
        <f>16521968.68*1492.491</f>
        <v>24658889557.181881</v>
      </c>
      <c r="E135" s="11">
        <f>100113.8*1492.491</f>
        <v>149418945.47580001</v>
      </c>
      <c r="F135" s="11">
        <f>97531.85*1492.491</f>
        <v>145565408.33835</v>
      </c>
      <c r="G135" s="11">
        <f>25504*1492.491</f>
        <v>38064490.464000002</v>
      </c>
      <c r="H135" s="13">
        <f t="shared" si="63"/>
        <v>256919863.35014999</v>
      </c>
      <c r="I135" s="11">
        <f>16373607.28*1478.22</f>
        <v>24203793753.441601</v>
      </c>
      <c r="J135" s="14">
        <f t="shared" si="56"/>
        <v>1.4038186705611307E-2</v>
      </c>
      <c r="K135" s="11">
        <f>16489113.4*1492.491</f>
        <v>24609853347.479401</v>
      </c>
      <c r="L135" s="14">
        <f t="shared" si="64"/>
        <v>1.377064296394514E-2</v>
      </c>
      <c r="M135" s="14">
        <f t="shared" si="65"/>
        <v>1.677669204151358E-2</v>
      </c>
      <c r="N135" s="24">
        <f t="shared" si="66"/>
        <v>1.5467174845192101E-3</v>
      </c>
      <c r="O135" s="25">
        <f t="shared" si="67"/>
        <v>1.0439715333633401E-2</v>
      </c>
      <c r="P135" s="26">
        <f t="shared" si="68"/>
        <v>1595.896773038548</v>
      </c>
      <c r="Q135" s="26">
        <f t="shared" si="69"/>
        <v>16.660708012386593</v>
      </c>
      <c r="R135" s="11">
        <f>1.07*1492.491</f>
        <v>1596.9653700000001</v>
      </c>
      <c r="S135" s="11">
        <f>1.07*1492.491</f>
        <v>1596.9653700000001</v>
      </c>
      <c r="T135" s="11">
        <v>497</v>
      </c>
      <c r="U135" s="20">
        <v>15475109</v>
      </c>
      <c r="V135" s="20">
        <v>15420705</v>
      </c>
    </row>
    <row r="136" spans="1:22">
      <c r="A136" s="65">
        <v>120</v>
      </c>
      <c r="B136" s="22" t="s">
        <v>154</v>
      </c>
      <c r="C136" s="66" t="s">
        <v>85</v>
      </c>
      <c r="D136" s="55">
        <f>284885.88*1492.491</f>
        <v>425189611.92707998</v>
      </c>
      <c r="E136" s="11">
        <f>1652.26*1492.491</f>
        <v>2465983.1796599999</v>
      </c>
      <c r="F136" s="11">
        <f>15501.02*1492.491</f>
        <v>23135132.84082</v>
      </c>
      <c r="G136" s="11">
        <f>1189.67*1492.491</f>
        <v>1775571.7679700002</v>
      </c>
      <c r="H136" s="13">
        <f t="shared" si="63"/>
        <v>23825544.25251</v>
      </c>
      <c r="I136" s="11">
        <f>331747.45*1478.22</f>
        <v>490395715.53900003</v>
      </c>
      <c r="J136" s="14">
        <f t="shared" si="56"/>
        <v>2.8442923801519512E-4</v>
      </c>
      <c r="K136" s="11">
        <f>275953.24*1492.491</f>
        <v>411857727.12083995</v>
      </c>
      <c r="L136" s="14">
        <f t="shared" si="64"/>
        <v>2.3045833032986866E-4</v>
      </c>
      <c r="M136" s="14">
        <f t="shared" si="65"/>
        <v>-0.16015227280653951</v>
      </c>
      <c r="N136" s="24">
        <f t="shared" si="66"/>
        <v>4.3111289434398384E-3</v>
      </c>
      <c r="O136" s="25">
        <f t="shared" si="67"/>
        <v>5.7848967455500798E-2</v>
      </c>
      <c r="P136" s="26">
        <f t="shared" si="68"/>
        <v>1715.9666150900566</v>
      </c>
      <c r="Q136" s="26">
        <f t="shared" si="69"/>
        <v>99.266896871070557</v>
      </c>
      <c r="R136" s="11">
        <f>1.15*1492.491</f>
        <v>1716.3646499999998</v>
      </c>
      <c r="S136" s="11">
        <f>1.15*1492.491</f>
        <v>1716.3646499999998</v>
      </c>
      <c r="T136" s="11">
        <v>2</v>
      </c>
      <c r="U136" s="20">
        <v>303793</v>
      </c>
      <c r="V136" s="20">
        <v>240015</v>
      </c>
    </row>
    <row r="137" spans="1:22">
      <c r="A137" s="65">
        <v>121</v>
      </c>
      <c r="B137" s="22" t="s">
        <v>155</v>
      </c>
      <c r="C137" s="22" t="s">
        <v>46</v>
      </c>
      <c r="D137" s="55">
        <f>656013826.81*1492.491</f>
        <v>979094732389.48364</v>
      </c>
      <c r="E137" s="11">
        <f>4310729.56*1492.491</f>
        <v>6433725071.7339592</v>
      </c>
      <c r="F137" s="11">
        <v>0</v>
      </c>
      <c r="G137" s="11">
        <f>1019606.5*1492.491</f>
        <v>1521753524.7915001</v>
      </c>
      <c r="H137" s="13">
        <f t="shared" si="63"/>
        <v>4911971546.9424591</v>
      </c>
      <c r="I137" s="11">
        <f>641748329.95*1478.22</f>
        <v>948645216298.68909</v>
      </c>
      <c r="J137" s="14">
        <f t="shared" si="56"/>
        <v>0.55021368961600925</v>
      </c>
      <c r="K137" s="11">
        <f>658607918.05*1492.491</f>
        <v>982966390218.36243</v>
      </c>
      <c r="L137" s="14">
        <f t="shared" si="64"/>
        <v>0.55002681300583378</v>
      </c>
      <c r="M137" s="14">
        <f t="shared" si="65"/>
        <v>3.6179146144418042E-2</v>
      </c>
      <c r="N137" s="24">
        <f t="shared" si="66"/>
        <v>1.5481236590942321E-3</v>
      </c>
      <c r="O137" s="25">
        <f t="shared" si="67"/>
        <v>4.9970900285321888E-3</v>
      </c>
      <c r="P137" s="26">
        <f t="shared" si="68"/>
        <v>2425.7545531260648</v>
      </c>
      <c r="Q137" s="26">
        <f t="shared" si="69"/>
        <v>12.121713889092813</v>
      </c>
      <c r="R137" s="11">
        <f>1.592*1492.491</f>
        <v>2376.0456720000002</v>
      </c>
      <c r="S137" s="11">
        <f>1.592*1492.491</f>
        <v>2376.0456720000002</v>
      </c>
      <c r="T137" s="11">
        <v>10013</v>
      </c>
      <c r="U137" s="20">
        <v>405220878.16000003</v>
      </c>
      <c r="V137" s="20">
        <v>405220878.16000003</v>
      </c>
    </row>
    <row r="138" spans="1:22">
      <c r="A138" s="65">
        <v>122</v>
      </c>
      <c r="B138" s="22" t="s">
        <v>156</v>
      </c>
      <c r="C138" s="22" t="s">
        <v>50</v>
      </c>
      <c r="D138" s="55">
        <f>54367352*1492.491</f>
        <v>81142783553.832001</v>
      </c>
      <c r="E138" s="11">
        <f>1501713*1492.491</f>
        <v>2241293137.0830002</v>
      </c>
      <c r="F138" s="11">
        <v>0</v>
      </c>
      <c r="G138" s="11">
        <f>234250*1492.491</f>
        <v>349616016.75</v>
      </c>
      <c r="H138" s="13">
        <f t="shared" si="63"/>
        <v>1891677120.3330002</v>
      </c>
      <c r="I138" s="11">
        <f>132095304*1478.22</f>
        <v>195265920278.88</v>
      </c>
      <c r="J138" s="14">
        <f t="shared" si="56"/>
        <v>0.11325412346682863</v>
      </c>
      <c r="K138" s="11">
        <f>133434657.71*1492.491</f>
        <v>199150025720.25558</v>
      </c>
      <c r="L138" s="14">
        <f t="shared" si="64"/>
        <v>0.11143601149232434</v>
      </c>
      <c r="M138" s="14">
        <f t="shared" si="65"/>
        <v>1.9891363714816576E-2</v>
      </c>
      <c r="N138" s="24">
        <f t="shared" si="66"/>
        <v>1.7555409068392628E-3</v>
      </c>
      <c r="O138" s="25">
        <f t="shared" si="67"/>
        <v>9.4987540849742272E-3</v>
      </c>
      <c r="P138" s="26">
        <f t="shared" si="68"/>
        <v>1765.8041686673437</v>
      </c>
      <c r="Q138" s="26">
        <f t="shared" si="69"/>
        <v>16.77293956039345</v>
      </c>
      <c r="R138" s="11">
        <f>1.18*1492.491</f>
        <v>1761.1393799999998</v>
      </c>
      <c r="S138" s="11">
        <f>1.18*1492.491</f>
        <v>1761.1393799999998</v>
      </c>
      <c r="T138" s="11">
        <v>306</v>
      </c>
      <c r="U138" s="20">
        <v>112459711.50999999</v>
      </c>
      <c r="V138" s="20">
        <v>112781490.3</v>
      </c>
    </row>
    <row r="139" spans="1:22">
      <c r="A139" s="65">
        <v>123</v>
      </c>
      <c r="B139" s="22" t="s">
        <v>236</v>
      </c>
      <c r="C139" s="66" t="s">
        <v>216</v>
      </c>
      <c r="D139" s="55">
        <f>543959.63*1492.491</f>
        <v>811854852.13832998</v>
      </c>
      <c r="E139" s="11">
        <f>3863.29*1492.491</f>
        <v>5765925.5553900003</v>
      </c>
      <c r="F139" s="11">
        <v>0</v>
      </c>
      <c r="G139" s="11">
        <f>1056.24*1492.491</f>
        <v>1576428.6938400001</v>
      </c>
      <c r="H139" s="13">
        <f t="shared" si="63"/>
        <v>4189496.8615500005</v>
      </c>
      <c r="I139" s="11">
        <f>540368.5*1478.22</f>
        <v>798783524.07000005</v>
      </c>
      <c r="J139" s="14">
        <f t="shared" si="56"/>
        <v>4.6329399277195339E-4</v>
      </c>
      <c r="K139" s="11">
        <f>630872.34*1492.491</f>
        <v>941571289.5989399</v>
      </c>
      <c r="L139" s="14">
        <f t="shared" si="64"/>
        <v>5.2686384884517831E-4</v>
      </c>
      <c r="M139" s="14">
        <f t="shared" si="65"/>
        <v>0.17875652317088464</v>
      </c>
      <c r="N139" s="24">
        <f t="shared" si="66"/>
        <v>1.6742531460485336E-3</v>
      </c>
      <c r="O139" s="25">
        <f t="shared" si="67"/>
        <v>4.4494738824656672E-3</v>
      </c>
      <c r="P139" s="26">
        <f t="shared" si="68"/>
        <v>49722.11532433844</v>
      </c>
      <c r="Q139" s="26">
        <f t="shared" si="69"/>
        <v>221.23725351658982</v>
      </c>
      <c r="R139" s="11">
        <f>104.05*1492.491</f>
        <v>155293.68854999999</v>
      </c>
      <c r="S139" s="11">
        <f>104.05*1492.491</f>
        <v>155293.68854999999</v>
      </c>
      <c r="T139" s="11">
        <v>23</v>
      </c>
      <c r="U139" s="20">
        <v>25000</v>
      </c>
      <c r="V139" s="20">
        <v>18936.669999999998</v>
      </c>
    </row>
    <row r="140" spans="1:22" ht="15" customHeight="1">
      <c r="A140" s="99" t="s">
        <v>51</v>
      </c>
      <c r="B140" s="99"/>
      <c r="C140" s="99"/>
      <c r="D140" s="99"/>
      <c r="E140" s="99"/>
      <c r="F140" s="99"/>
      <c r="G140" s="99"/>
      <c r="H140" s="99"/>
      <c r="I140" s="30">
        <f>SUM(I108:I139)</f>
        <v>1724139610122.6467</v>
      </c>
      <c r="J140" s="42">
        <f>(I140/$I$209)</f>
        <v>0.42229485985397958</v>
      </c>
      <c r="K140" s="44">
        <f>SUM(K108:K139)</f>
        <v>1787124494616.1138</v>
      </c>
      <c r="L140" s="42">
        <f>(K140/$K$209)</f>
        <v>0.40856107213441656</v>
      </c>
      <c r="M140" s="42">
        <f t="shared" si="58"/>
        <v>3.6531197429532175E-2</v>
      </c>
      <c r="N140" s="24"/>
      <c r="O140" s="24"/>
      <c r="P140" s="43"/>
      <c r="Q140" s="43"/>
      <c r="R140" s="44"/>
      <c r="S140" s="44"/>
      <c r="T140" s="46">
        <f>SUM(T108:T139)</f>
        <v>20239</v>
      </c>
      <c r="U140" s="46"/>
      <c r="V140" s="44"/>
    </row>
    <row r="141" spans="1:22" ht="6.9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</row>
    <row r="142" spans="1:22">
      <c r="A142" s="102" t="s">
        <v>157</v>
      </c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</row>
    <row r="143" spans="1:22">
      <c r="A143" s="72">
        <v>124</v>
      </c>
      <c r="B143" s="73" t="s">
        <v>232</v>
      </c>
      <c r="C143" s="73" t="s">
        <v>233</v>
      </c>
      <c r="D143" s="31">
        <v>2021277734.29</v>
      </c>
      <c r="E143" s="31">
        <v>33984981.700000003</v>
      </c>
      <c r="F143" s="31">
        <v>0</v>
      </c>
      <c r="G143" s="31">
        <v>3490363.79</v>
      </c>
      <c r="H143" s="13">
        <f>(E143+F143)-G143</f>
        <v>30494617.910000004</v>
      </c>
      <c r="I143" s="32">
        <v>2270758655.1599998</v>
      </c>
      <c r="J143" s="14">
        <f>(I143/$I$148)</f>
        <v>2.2523125962492754E-2</v>
      </c>
      <c r="K143" s="32">
        <v>2287847322.7800002</v>
      </c>
      <c r="L143" s="14">
        <f>(K143/$K$148)</f>
        <v>2.2619973218105507E-2</v>
      </c>
      <c r="M143" s="14">
        <f t="shared" ref="M143:M148" si="71">((K143-I143)/I143)</f>
        <v>7.5255323066450138E-3</v>
      </c>
      <c r="N143" s="24">
        <f>(G143/K143)</f>
        <v>1.5256104527809149E-3</v>
      </c>
      <c r="O143" s="25">
        <f>H143/K143</f>
        <v>1.3328956703695377E-2</v>
      </c>
      <c r="P143" s="26">
        <f>K143/V143</f>
        <v>107.81561370311029</v>
      </c>
      <c r="Q143" s="26">
        <f>H143/V143</f>
        <v>1.4370696470311028</v>
      </c>
      <c r="R143" s="31">
        <v>107.81</v>
      </c>
      <c r="S143" s="31">
        <v>107.81</v>
      </c>
      <c r="T143" s="33">
        <v>8</v>
      </c>
      <c r="U143" s="31">
        <v>21220000</v>
      </c>
      <c r="V143" s="31">
        <v>21220000</v>
      </c>
    </row>
    <row r="144" spans="1:22">
      <c r="A144" s="65">
        <v>125</v>
      </c>
      <c r="B144" s="22" t="s">
        <v>158</v>
      </c>
      <c r="C144" s="22" t="s">
        <v>44</v>
      </c>
      <c r="D144" s="31">
        <v>36844060966</v>
      </c>
      <c r="E144" s="31">
        <v>248953694</v>
      </c>
      <c r="F144" s="31">
        <v>0</v>
      </c>
      <c r="G144" s="31">
        <v>82364418</v>
      </c>
      <c r="H144" s="13">
        <f>(E144+F144)-G144</f>
        <v>166589276</v>
      </c>
      <c r="I144" s="32">
        <v>54036996643</v>
      </c>
      <c r="J144" s="14">
        <f t="shared" ref="J144:J147" si="72">(I144/$I$148)</f>
        <v>0.53598037786156993</v>
      </c>
      <c r="K144" s="32">
        <v>54189492802</v>
      </c>
      <c r="L144" s="14">
        <f t="shared" ref="L144:L147" si="73">(K144/$K$148)</f>
        <v>0.53577214863905975</v>
      </c>
      <c r="M144" s="14">
        <f t="shared" ref="M144:M147" si="74">((K144-I144)/I144)</f>
        <v>2.8220694796840542E-3</v>
      </c>
      <c r="N144" s="24">
        <f t="shared" ref="N144:N147" si="75">(G144/K144)</f>
        <v>1.5199333623761124E-3</v>
      </c>
      <c r="O144" s="25">
        <f t="shared" ref="O144:O147" si="76">H144/K144</f>
        <v>3.0741988416221454E-3</v>
      </c>
      <c r="P144" s="26">
        <f t="shared" ref="P144:P147" si="77">K144/V144</f>
        <v>102.11947053790837</v>
      </c>
      <c r="Q144" s="26">
        <f t="shared" ref="Q144:Q147" si="78">H144/V144</f>
        <v>0.31393555803470474</v>
      </c>
      <c r="R144" s="31">
        <v>102.12</v>
      </c>
      <c r="S144" s="31">
        <v>102.12</v>
      </c>
      <c r="T144" s="33">
        <v>644</v>
      </c>
      <c r="U144" s="31">
        <v>530648000</v>
      </c>
      <c r="V144" s="31">
        <v>530648000</v>
      </c>
    </row>
    <row r="145" spans="1:22">
      <c r="A145" s="65">
        <v>126</v>
      </c>
      <c r="B145" s="22" t="s">
        <v>159</v>
      </c>
      <c r="C145" s="22" t="s">
        <v>124</v>
      </c>
      <c r="D145" s="31">
        <v>3095028443.6999998</v>
      </c>
      <c r="E145" s="31">
        <v>31251172.260000002</v>
      </c>
      <c r="F145" s="31">
        <v>0</v>
      </c>
      <c r="G145" s="31">
        <v>4601884.75</v>
      </c>
      <c r="H145" s="13">
        <f>(E145+F145)-G145</f>
        <v>26649287.510000002</v>
      </c>
      <c r="I145" s="32">
        <v>2810715091.2800002</v>
      </c>
      <c r="J145" s="14">
        <f t="shared" si="72"/>
        <v>2.7878828030325466E-2</v>
      </c>
      <c r="K145" s="32">
        <v>2837364378.79</v>
      </c>
      <c r="L145" s="14">
        <f t="shared" si="73"/>
        <v>2.8053054773012068E-2</v>
      </c>
      <c r="M145" s="14">
        <f t="shared" si="74"/>
        <v>9.4813193954367183E-3</v>
      </c>
      <c r="N145" s="24">
        <f t="shared" si="75"/>
        <v>1.6218871232754686E-3</v>
      </c>
      <c r="O145" s="25">
        <f t="shared" si="76"/>
        <v>9.3922682998384046E-3</v>
      </c>
      <c r="P145" s="26">
        <f t="shared" si="77"/>
        <v>141.8682189395</v>
      </c>
      <c r="Q145" s="26">
        <f t="shared" si="78"/>
        <v>1.3324643755000001</v>
      </c>
      <c r="R145" s="31">
        <v>197.35</v>
      </c>
      <c r="S145" s="31">
        <v>197.35</v>
      </c>
      <c r="T145" s="33">
        <v>3040</v>
      </c>
      <c r="U145" s="31">
        <v>20000000</v>
      </c>
      <c r="V145" s="31">
        <v>20000000</v>
      </c>
    </row>
    <row r="146" spans="1:22">
      <c r="A146" s="65">
        <v>127</v>
      </c>
      <c r="B146" s="22" t="s">
        <v>160</v>
      </c>
      <c r="C146" s="22" t="s">
        <v>124</v>
      </c>
      <c r="D146" s="31">
        <v>12199182196.5</v>
      </c>
      <c r="E146" s="31">
        <v>79233063.609999999</v>
      </c>
      <c r="F146" s="31">
        <v>0</v>
      </c>
      <c r="G146" s="31">
        <v>23854483.66</v>
      </c>
      <c r="H146" s="13">
        <f>(E146+F146)-G146</f>
        <v>55378579.950000003</v>
      </c>
      <c r="I146" s="32">
        <v>10760188453</v>
      </c>
      <c r="J146" s="14">
        <f t="shared" si="72"/>
        <v>0.10672780189843759</v>
      </c>
      <c r="K146" s="32">
        <v>10815567033</v>
      </c>
      <c r="L146" s="14">
        <f t="shared" si="73"/>
        <v>0.10693363765542244</v>
      </c>
      <c r="M146" s="14">
        <f t="shared" si="74"/>
        <v>5.1466180394415069E-3</v>
      </c>
      <c r="N146" s="24">
        <f t="shared" si="75"/>
        <v>2.2055693970751797E-3</v>
      </c>
      <c r="O146" s="25">
        <f t="shared" si="76"/>
        <v>5.1202659815274805E-3</v>
      </c>
      <c r="P146" s="26">
        <f t="shared" si="77"/>
        <v>57.490754855019105</v>
      </c>
      <c r="Q146" s="26">
        <f t="shared" si="78"/>
        <v>0.29436795633649016</v>
      </c>
      <c r="R146" s="31">
        <v>36.6</v>
      </c>
      <c r="S146" s="31">
        <v>36.6</v>
      </c>
      <c r="T146" s="33">
        <v>5264</v>
      </c>
      <c r="U146" s="31">
        <v>188127066</v>
      </c>
      <c r="V146" s="31">
        <v>188127066</v>
      </c>
    </row>
    <row r="147" spans="1:22" ht="15.9" customHeight="1">
      <c r="A147" s="65">
        <v>128</v>
      </c>
      <c r="B147" s="22" t="s">
        <v>161</v>
      </c>
      <c r="C147" s="66" t="s">
        <v>162</v>
      </c>
      <c r="D147" s="31">
        <v>30942539455.84</v>
      </c>
      <c r="E147" s="31">
        <v>279042312.32999998</v>
      </c>
      <c r="F147" s="31">
        <v>0</v>
      </c>
      <c r="G147" s="31">
        <v>26459038.25</v>
      </c>
      <c r="H147" s="13">
        <f>(E147+F147)-G147</f>
        <v>252583274.07999998</v>
      </c>
      <c r="I147" s="32">
        <v>30940324230.400002</v>
      </c>
      <c r="J147" s="14">
        <f t="shared" si="72"/>
        <v>0.30688986624717435</v>
      </c>
      <c r="K147" s="32">
        <v>31012523846.970001</v>
      </c>
      <c r="L147" s="14">
        <f t="shared" si="73"/>
        <v>0.30662118571440022</v>
      </c>
      <c r="M147" s="14">
        <f t="shared" si="74"/>
        <v>2.3335119578049195E-3</v>
      </c>
      <c r="N147" s="24">
        <f t="shared" si="75"/>
        <v>8.5317268534999011E-4</v>
      </c>
      <c r="O147" s="25">
        <f t="shared" si="76"/>
        <v>8.1445571900681663E-3</v>
      </c>
      <c r="P147" s="26">
        <f t="shared" si="77"/>
        <v>11.622710467203557</v>
      </c>
      <c r="Q147" s="26">
        <f t="shared" si="78"/>
        <v>9.4661830103743266E-2</v>
      </c>
      <c r="R147" s="31">
        <v>113.62</v>
      </c>
      <c r="S147" s="31">
        <v>11.62</v>
      </c>
      <c r="T147" s="33">
        <v>208137</v>
      </c>
      <c r="U147" s="31">
        <v>2668269500</v>
      </c>
      <c r="V147" s="31">
        <v>2668269500</v>
      </c>
    </row>
    <row r="148" spans="1:22" ht="15" customHeight="1">
      <c r="A148" s="99" t="s">
        <v>51</v>
      </c>
      <c r="B148" s="99"/>
      <c r="C148" s="99"/>
      <c r="D148" s="99"/>
      <c r="E148" s="99"/>
      <c r="F148" s="99"/>
      <c r="G148" s="99"/>
      <c r="H148" s="99"/>
      <c r="I148" s="44">
        <f>SUM(I143:I147)</f>
        <v>100818983072.84</v>
      </c>
      <c r="J148" s="42">
        <f>(I148/$I$209)</f>
        <v>2.4693672181417551E-2</v>
      </c>
      <c r="K148" s="44">
        <f>SUM(K143:K147)</f>
        <v>101142795383.54001</v>
      </c>
      <c r="L148" s="42">
        <f>(K148/$K$209)</f>
        <v>2.3122624666082642E-2</v>
      </c>
      <c r="M148" s="42">
        <f t="shared" si="71"/>
        <v>3.2118188542535025E-3</v>
      </c>
      <c r="N148" s="24"/>
      <c r="O148" s="24"/>
      <c r="P148" s="45"/>
      <c r="Q148" s="45"/>
      <c r="R148" s="30"/>
      <c r="S148" s="30"/>
      <c r="T148" s="44">
        <f>SUM(T143:T147)</f>
        <v>217093</v>
      </c>
      <c r="U148" s="44"/>
      <c r="V148" s="44"/>
    </row>
    <row r="149" spans="1:22" ht="8.1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</row>
    <row r="150" spans="1:22">
      <c r="A150" s="102" t="s">
        <v>163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</row>
    <row r="151" spans="1:22">
      <c r="A151" s="65">
        <v>129</v>
      </c>
      <c r="B151" s="22" t="s">
        <v>164</v>
      </c>
      <c r="C151" s="22" t="s">
        <v>55</v>
      </c>
      <c r="D151" s="35">
        <v>268762309.56999999</v>
      </c>
      <c r="E151" s="35">
        <v>4098860.04</v>
      </c>
      <c r="F151" s="35">
        <v>5070781.95</v>
      </c>
      <c r="G151" s="11">
        <v>627085.73</v>
      </c>
      <c r="H151" s="13">
        <f>(E151+F151)-G151</f>
        <v>8542556.2599999998</v>
      </c>
      <c r="I151" s="11">
        <v>262615400.15000001</v>
      </c>
      <c r="J151" s="14">
        <f t="shared" ref="J151:J177" si="79">(I151/$I$178)</f>
        <v>4.7044596490319023E-3</v>
      </c>
      <c r="K151" s="11">
        <v>269709834.33999997</v>
      </c>
      <c r="L151" s="14">
        <f t="shared" ref="L151" si="80">(K151/$K$178)</f>
        <v>4.6533301815926313E-3</v>
      </c>
      <c r="M151" s="14">
        <f t="shared" ref="M151:M178" si="81">((K151-I151)/I151)</f>
        <v>2.7014539840191348E-2</v>
      </c>
      <c r="N151" s="24">
        <f t="shared" ref="N151" si="82">(G151/K151)</f>
        <v>2.3250384307807142E-3</v>
      </c>
      <c r="O151" s="25">
        <f t="shared" ref="O151" si="83">H151/K151</f>
        <v>3.1673135986695737E-2</v>
      </c>
      <c r="P151" s="26">
        <f t="shared" ref="P151" si="84">K151/V151</f>
        <v>6.1046625579821692</v>
      </c>
      <c r="Q151" s="26">
        <f t="shared" ref="Q151" si="85">H151/V151</f>
        <v>0.19335380735185911</v>
      </c>
      <c r="R151" s="11">
        <v>6.0540000000000003</v>
      </c>
      <c r="S151" s="11">
        <v>6.1372999999999998</v>
      </c>
      <c r="T151" s="11">
        <v>11836</v>
      </c>
      <c r="U151" s="11">
        <v>44151998.119999997</v>
      </c>
      <c r="V151" s="11">
        <v>44180957.060000002</v>
      </c>
    </row>
    <row r="152" spans="1:22">
      <c r="A152" s="65">
        <v>130</v>
      </c>
      <c r="B152" s="68" t="s">
        <v>226</v>
      </c>
      <c r="C152" s="68" t="s">
        <v>227</v>
      </c>
      <c r="D152" s="35">
        <v>705298764.95000005</v>
      </c>
      <c r="E152" s="35">
        <v>2008010.96</v>
      </c>
      <c r="F152" s="35">
        <v>9992990.5</v>
      </c>
      <c r="G152" s="11">
        <v>1097500.77</v>
      </c>
      <c r="H152" s="13">
        <f t="shared" ref="H152:H177" si="86">(E152+F152)-G152</f>
        <v>10903500.690000001</v>
      </c>
      <c r="I152" s="11">
        <v>686894396.49000001</v>
      </c>
      <c r="J152" s="14">
        <f t="shared" si="79"/>
        <v>1.2304940873945642E-2</v>
      </c>
      <c r="K152" s="11">
        <v>712003750.5</v>
      </c>
      <c r="L152" s="14">
        <f t="shared" ref="L152:L177" si="87">(K152/$K$178)</f>
        <v>1.2284270426091129E-2</v>
      </c>
      <c r="M152" s="14">
        <f t="shared" ref="M152:M177" si="88">((K152-I152)/I152)</f>
        <v>3.6554897140386761E-2</v>
      </c>
      <c r="N152" s="24">
        <f t="shared" ref="N152:N177" si="89">(G152/K152)</f>
        <v>1.5414255461846757E-3</v>
      </c>
      <c r="O152" s="25">
        <f t="shared" ref="O152:O177" si="90">H152/K152</f>
        <v>1.5313824797050702E-2</v>
      </c>
      <c r="P152" s="26">
        <f t="shared" ref="P152:P177" si="91">K152/V152</f>
        <v>1644.2631234368614</v>
      </c>
      <c r="Q152" s="26">
        <f t="shared" ref="Q152:Q177" si="92">H152/V152</f>
        <v>25.179957392563448</v>
      </c>
      <c r="R152" s="11">
        <v>1632.356</v>
      </c>
      <c r="S152" s="11">
        <v>1652.0354</v>
      </c>
      <c r="T152" s="11">
        <v>174</v>
      </c>
      <c r="U152" s="11">
        <v>425248</v>
      </c>
      <c r="V152" s="11">
        <v>433023</v>
      </c>
    </row>
    <row r="153" spans="1:22">
      <c r="A153" s="65">
        <v>131</v>
      </c>
      <c r="B153" s="22" t="s">
        <v>165</v>
      </c>
      <c r="C153" s="66" t="s">
        <v>58</v>
      </c>
      <c r="D153" s="35">
        <v>6263707080.5500002</v>
      </c>
      <c r="E153" s="35">
        <v>41281314.960000001</v>
      </c>
      <c r="F153" s="35">
        <v>133577975.01000001</v>
      </c>
      <c r="G153" s="11">
        <v>17105162.030000001</v>
      </c>
      <c r="H153" s="13">
        <f t="shared" si="86"/>
        <v>157754127.94</v>
      </c>
      <c r="I153" s="11">
        <v>6888153892</v>
      </c>
      <c r="J153" s="14">
        <f t="shared" si="79"/>
        <v>0.12339353298674419</v>
      </c>
      <c r="K153" s="11">
        <v>7055148834</v>
      </c>
      <c r="L153" s="14">
        <f t="shared" si="87"/>
        <v>0.12172317366631275</v>
      </c>
      <c r="M153" s="14">
        <f t="shared" si="88"/>
        <v>2.4243787902873411E-2</v>
      </c>
      <c r="N153" s="24">
        <f t="shared" si="89"/>
        <v>2.4244934348609665E-3</v>
      </c>
      <c r="O153" s="25">
        <f t="shared" si="90"/>
        <v>2.2360141742121042E-2</v>
      </c>
      <c r="P153" s="26">
        <f t="shared" si="91"/>
        <v>830.01926757021363</v>
      </c>
      <c r="Q153" s="26">
        <f t="shared" si="92"/>
        <v>18.559348471561467</v>
      </c>
      <c r="R153" s="11">
        <v>825.8691</v>
      </c>
      <c r="S153" s="11">
        <v>850.76969999999994</v>
      </c>
      <c r="T153" s="11">
        <v>21389</v>
      </c>
      <c r="U153" s="11">
        <v>8500961</v>
      </c>
      <c r="V153" s="11">
        <v>8499982</v>
      </c>
    </row>
    <row r="154" spans="1:22">
      <c r="A154" s="65">
        <v>132</v>
      </c>
      <c r="B154" s="22" t="s">
        <v>166</v>
      </c>
      <c r="C154" s="22" t="s">
        <v>107</v>
      </c>
      <c r="D154" s="35">
        <v>2051427889.1300001</v>
      </c>
      <c r="E154" s="35">
        <v>13520158.6</v>
      </c>
      <c r="F154" s="35">
        <v>31060957.050000001</v>
      </c>
      <c r="G154" s="11">
        <v>2948805.19</v>
      </c>
      <c r="H154" s="13">
        <f t="shared" si="86"/>
        <v>41632310.460000001</v>
      </c>
      <c r="I154" s="11">
        <v>1968922464.9000001</v>
      </c>
      <c r="J154" s="14">
        <f t="shared" si="79"/>
        <v>3.5271032402912503E-2</v>
      </c>
      <c r="K154" s="11">
        <v>1986681775.3599999</v>
      </c>
      <c r="L154" s="14">
        <f t="shared" si="87"/>
        <v>3.4276415204232927E-2</v>
      </c>
      <c r="M154" s="14">
        <f t="shared" si="88"/>
        <v>9.0198119918865269E-3</v>
      </c>
      <c r="N154" s="24">
        <f t="shared" si="89"/>
        <v>1.4842866263600051E-3</v>
      </c>
      <c r="O154" s="25">
        <f t="shared" si="90"/>
        <v>2.0955701600703491E-2</v>
      </c>
      <c r="P154" s="26">
        <f t="shared" si="91"/>
        <v>4.7870681498027938</v>
      </c>
      <c r="Q154" s="26">
        <f t="shared" si="92"/>
        <v>0.10031637168949911</v>
      </c>
      <c r="R154" s="11">
        <v>4.7531999999999996</v>
      </c>
      <c r="S154" s="11">
        <v>4.8601999999999999</v>
      </c>
      <c r="T154" s="11">
        <v>2470</v>
      </c>
      <c r="U154" s="11">
        <v>419991994.04000002</v>
      </c>
      <c r="V154" s="11">
        <v>415010130.04000002</v>
      </c>
    </row>
    <row r="155" spans="1:22">
      <c r="A155" s="65">
        <v>133</v>
      </c>
      <c r="B155" s="22" t="s">
        <v>167</v>
      </c>
      <c r="C155" s="22" t="s">
        <v>60</v>
      </c>
      <c r="D155" s="35">
        <v>4022864838.0300002</v>
      </c>
      <c r="E155" s="35">
        <v>38043863.990000002</v>
      </c>
      <c r="F155" s="35">
        <v>1122945882.54</v>
      </c>
      <c r="G155" s="11">
        <v>9332668.4000000004</v>
      </c>
      <c r="H155" s="13">
        <f t="shared" si="86"/>
        <v>1151657078.1299999</v>
      </c>
      <c r="I155" s="11">
        <v>3689439093.0700002</v>
      </c>
      <c r="J155" s="14">
        <f t="shared" si="79"/>
        <v>6.6092153510399043E-2</v>
      </c>
      <c r="K155" s="11">
        <v>4018775603.6799998</v>
      </c>
      <c r="L155" s="14">
        <f t="shared" si="87"/>
        <v>6.9336329004888786E-2</v>
      </c>
      <c r="M155" s="14">
        <f t="shared" si="88"/>
        <v>8.9264655765317738E-2</v>
      </c>
      <c r="N155" s="24">
        <f t="shared" si="89"/>
        <v>2.3222666106199261E-3</v>
      </c>
      <c r="O155" s="25">
        <f t="shared" si="90"/>
        <v>0.2865691423714789</v>
      </c>
      <c r="P155" s="26">
        <f t="shared" si="91"/>
        <v>8684.6447850669174</v>
      </c>
      <c r="Q155" s="26">
        <f t="shared" si="92"/>
        <v>2488.7512078575633</v>
      </c>
      <c r="R155" s="11">
        <v>8684.64</v>
      </c>
      <c r="S155" s="11">
        <v>8766.35</v>
      </c>
      <c r="T155" s="11">
        <v>999</v>
      </c>
      <c r="U155" s="11">
        <v>457773.86</v>
      </c>
      <c r="V155" s="11">
        <v>462744.96</v>
      </c>
    </row>
    <row r="156" spans="1:22" ht="14.1" customHeight="1">
      <c r="A156" s="65">
        <v>134</v>
      </c>
      <c r="B156" s="22" t="s">
        <v>168</v>
      </c>
      <c r="C156" s="66" t="s">
        <v>62</v>
      </c>
      <c r="D156" s="35">
        <v>780931443.46000004</v>
      </c>
      <c r="E156" s="35">
        <v>6010137.6799999997</v>
      </c>
      <c r="F156" s="35">
        <v>5353625.1500000004</v>
      </c>
      <c r="G156" s="11">
        <v>1480808.39</v>
      </c>
      <c r="H156" s="13">
        <f t="shared" si="86"/>
        <v>9882954.4399999995</v>
      </c>
      <c r="I156" s="11">
        <v>825232129.02999997</v>
      </c>
      <c r="J156" s="14">
        <f t="shared" si="79"/>
        <v>1.4783105826577029E-2</v>
      </c>
      <c r="K156" s="11">
        <v>833209636.03999996</v>
      </c>
      <c r="L156" s="14">
        <f t="shared" si="87"/>
        <v>1.4375447437675154E-2</v>
      </c>
      <c r="M156" s="14">
        <f t="shared" si="88"/>
        <v>9.6669854812572158E-3</v>
      </c>
      <c r="N156" s="24">
        <f t="shared" si="89"/>
        <v>1.7772338748239232E-3</v>
      </c>
      <c r="O156" s="25">
        <f t="shared" si="90"/>
        <v>1.1861305981734406E-2</v>
      </c>
      <c r="P156" s="26">
        <f t="shared" si="91"/>
        <v>217.00716309129015</v>
      </c>
      <c r="Q156" s="26">
        <f t="shared" si="92"/>
        <v>2.5739883616539339</v>
      </c>
      <c r="R156" s="11">
        <v>218.47</v>
      </c>
      <c r="S156" s="11">
        <v>220.4</v>
      </c>
      <c r="T156" s="11">
        <f>661+12+6</f>
        <v>679</v>
      </c>
      <c r="U156" s="11">
        <v>3788561</v>
      </c>
      <c r="V156" s="11">
        <v>3839549</v>
      </c>
    </row>
    <row r="157" spans="1:22" ht="15" customHeight="1">
      <c r="A157" s="65">
        <v>135</v>
      </c>
      <c r="B157" s="22" t="s">
        <v>169</v>
      </c>
      <c r="C157" s="66" t="s">
        <v>64</v>
      </c>
      <c r="D157" s="35">
        <v>248331135.28999999</v>
      </c>
      <c r="E157" s="35">
        <v>1956454.75</v>
      </c>
      <c r="F157" s="35"/>
      <c r="G157" s="11">
        <v>691169.45</v>
      </c>
      <c r="H157" s="13">
        <f t="shared" si="86"/>
        <v>1265285.3</v>
      </c>
      <c r="I157" s="11">
        <v>331444396.5</v>
      </c>
      <c r="J157" s="14">
        <f t="shared" si="79"/>
        <v>5.9374537378286364E-3</v>
      </c>
      <c r="K157" s="11">
        <v>331444396.5</v>
      </c>
      <c r="L157" s="14">
        <f t="shared" si="87"/>
        <v>5.718442627527384E-3</v>
      </c>
      <c r="M157" s="14">
        <f t="shared" si="88"/>
        <v>0</v>
      </c>
      <c r="N157" s="24">
        <f t="shared" si="89"/>
        <v>2.0853254944076267E-3</v>
      </c>
      <c r="O157" s="25">
        <f t="shared" si="90"/>
        <v>3.8174888861034042E-3</v>
      </c>
      <c r="P157" s="26">
        <f t="shared" si="91"/>
        <v>137.41595449214111</v>
      </c>
      <c r="Q157" s="26">
        <f t="shared" si="92"/>
        <v>0.52458387904703985</v>
      </c>
      <c r="R157" s="11">
        <v>141.68</v>
      </c>
      <c r="S157" s="11">
        <v>142.58000000000001</v>
      </c>
      <c r="T157" s="11">
        <f>549+27+3</f>
        <v>579</v>
      </c>
      <c r="U157" s="11">
        <v>2411979</v>
      </c>
      <c r="V157" s="11">
        <v>2411979</v>
      </c>
    </row>
    <row r="158" spans="1:22">
      <c r="A158" s="65">
        <v>136</v>
      </c>
      <c r="B158" s="22" t="s">
        <v>170</v>
      </c>
      <c r="C158" s="66" t="s">
        <v>66</v>
      </c>
      <c r="D158" s="35">
        <v>220784270.37</v>
      </c>
      <c r="E158" s="35">
        <v>243863.63</v>
      </c>
      <c r="F158" s="35">
        <v>4512386.7699999996</v>
      </c>
      <c r="G158" s="11">
        <v>539057.21</v>
      </c>
      <c r="H158" s="13">
        <f t="shared" si="86"/>
        <v>4217193.1899999995</v>
      </c>
      <c r="I158" s="11">
        <v>221838912.69999999</v>
      </c>
      <c r="J158" s="14">
        <f t="shared" si="79"/>
        <v>3.9739947192211937E-3</v>
      </c>
      <c r="K158" s="11">
        <v>225775953.30000001</v>
      </c>
      <c r="L158" s="14">
        <f t="shared" si="87"/>
        <v>3.895334630046618E-3</v>
      </c>
      <c r="M158" s="14">
        <f t="shared" si="88"/>
        <v>1.7747294882048997E-2</v>
      </c>
      <c r="N158" s="24">
        <f t="shared" si="89"/>
        <v>2.3875758340115485E-3</v>
      </c>
      <c r="O158" s="25">
        <f t="shared" si="90"/>
        <v>1.8678664084285361E-2</v>
      </c>
      <c r="P158" s="26">
        <f t="shared" si="91"/>
        <v>1.6098003103962819</v>
      </c>
      <c r="Q158" s="26">
        <f t="shared" si="92"/>
        <v>3.0068919240670459E-2</v>
      </c>
      <c r="R158" s="11">
        <v>1.6014999999999999</v>
      </c>
      <c r="S158" s="11">
        <v>1.6174999999999999</v>
      </c>
      <c r="T158" s="11">
        <v>273</v>
      </c>
      <c r="U158" s="11">
        <v>140462881.88</v>
      </c>
      <c r="V158" s="11">
        <v>140250906.80000001</v>
      </c>
    </row>
    <row r="159" spans="1:22">
      <c r="A159" s="65">
        <v>137</v>
      </c>
      <c r="B159" s="68" t="s">
        <v>228</v>
      </c>
      <c r="C159" s="69" t="s">
        <v>48</v>
      </c>
      <c r="D159" s="35">
        <v>133681369</v>
      </c>
      <c r="E159" s="35">
        <v>353994.37</v>
      </c>
      <c r="F159" s="35">
        <v>0</v>
      </c>
      <c r="G159" s="11">
        <v>51394.02</v>
      </c>
      <c r="H159" s="13">
        <f t="shared" si="86"/>
        <v>302600.34999999998</v>
      </c>
      <c r="I159" s="11">
        <v>137427125.40000001</v>
      </c>
      <c r="J159" s="14">
        <f t="shared" si="79"/>
        <v>2.4618524494659086E-3</v>
      </c>
      <c r="K159" s="11">
        <v>129698203.92</v>
      </c>
      <c r="L159" s="14">
        <f t="shared" si="87"/>
        <v>2.2376958121537206E-3</v>
      </c>
      <c r="M159" s="14">
        <f t="shared" si="88"/>
        <v>-5.6240145149685304E-2</v>
      </c>
      <c r="N159" s="24">
        <f t="shared" si="89"/>
        <v>3.9625853286064528E-4</v>
      </c>
      <c r="O159" s="25">
        <f t="shared" si="90"/>
        <v>2.3331113373524347E-3</v>
      </c>
      <c r="P159" s="26">
        <f t="shared" si="91"/>
        <v>165.909440870406</v>
      </c>
      <c r="Q159" s="26">
        <f t="shared" si="92"/>
        <v>0.38708519746854758</v>
      </c>
      <c r="R159" s="11">
        <v>165.66849999999999</v>
      </c>
      <c r="S159" s="11">
        <v>166.49180000000001</v>
      </c>
      <c r="T159" s="11">
        <v>123</v>
      </c>
      <c r="U159" s="11">
        <v>847736.38</v>
      </c>
      <c r="V159" s="11">
        <v>781740.95</v>
      </c>
    </row>
    <row r="160" spans="1:22">
      <c r="A160" s="65">
        <v>138</v>
      </c>
      <c r="B160" s="68" t="s">
        <v>171</v>
      </c>
      <c r="C160" s="69" t="s">
        <v>172</v>
      </c>
      <c r="D160" s="35">
        <v>179254071.78999999</v>
      </c>
      <c r="E160" s="35">
        <v>2295812.58</v>
      </c>
      <c r="F160" s="35">
        <v>0</v>
      </c>
      <c r="G160" s="11">
        <v>678249.2</v>
      </c>
      <c r="H160" s="13">
        <f t="shared" si="86"/>
        <v>1617563.3800000001</v>
      </c>
      <c r="I160" s="11">
        <v>242717561.77000001</v>
      </c>
      <c r="J160" s="14">
        <f t="shared" si="79"/>
        <v>4.3480122445453372E-3</v>
      </c>
      <c r="K160" s="11">
        <v>253484181.83000001</v>
      </c>
      <c r="L160" s="14">
        <f t="shared" si="87"/>
        <v>4.3733874100374921E-3</v>
      </c>
      <c r="M160" s="14">
        <f t="shared" si="88"/>
        <v>4.4358636356945973E-2</v>
      </c>
      <c r="N160" s="24">
        <f t="shared" si="89"/>
        <v>2.675706212133071E-3</v>
      </c>
      <c r="O160" s="25">
        <f t="shared" si="90"/>
        <v>6.3813188196682989E-3</v>
      </c>
      <c r="P160" s="26">
        <f t="shared" si="91"/>
        <v>128.29218119427989</v>
      </c>
      <c r="Q160" s="26">
        <f t="shared" si="92"/>
        <v>0.8186733102713537</v>
      </c>
      <c r="R160" s="11">
        <v>128.29</v>
      </c>
      <c r="S160" s="11">
        <v>128.29</v>
      </c>
      <c r="T160" s="11">
        <v>68</v>
      </c>
      <c r="U160" s="11">
        <v>1968097</v>
      </c>
      <c r="V160" s="11">
        <v>1975835</v>
      </c>
    </row>
    <row r="161" spans="1:22">
      <c r="A161" s="65">
        <v>139</v>
      </c>
      <c r="B161" s="22" t="s">
        <v>173</v>
      </c>
      <c r="C161" s="66" t="s">
        <v>71</v>
      </c>
      <c r="D161" s="35">
        <v>327051784.86000001</v>
      </c>
      <c r="E161" s="35">
        <v>3238680.88</v>
      </c>
      <c r="F161" s="35">
        <v>9495290.3000000007</v>
      </c>
      <c r="G161" s="11">
        <v>657828.93999999994</v>
      </c>
      <c r="H161" s="13">
        <f t="shared" si="86"/>
        <v>12076142.24</v>
      </c>
      <c r="I161" s="11">
        <v>328671877.91000003</v>
      </c>
      <c r="J161" s="14">
        <f t="shared" si="79"/>
        <v>5.8877871842853346E-3</v>
      </c>
      <c r="K161" s="11">
        <v>338972923.38</v>
      </c>
      <c r="L161" s="14">
        <f t="shared" si="87"/>
        <v>5.848333038974053E-3</v>
      </c>
      <c r="M161" s="14">
        <f t="shared" si="88"/>
        <v>3.1341426396147884E-2</v>
      </c>
      <c r="N161" s="24">
        <f t="shared" si="89"/>
        <v>1.9406533520158237E-3</v>
      </c>
      <c r="O161" s="25">
        <f t="shared" si="90"/>
        <v>3.5625683961967192E-2</v>
      </c>
      <c r="P161" s="26">
        <f t="shared" si="91"/>
        <v>1.3578302702953082</v>
      </c>
      <c r="Q161" s="26">
        <f t="shared" si="92"/>
        <v>4.8373632083533145E-2</v>
      </c>
      <c r="R161" s="11">
        <v>1.3476999999999999</v>
      </c>
      <c r="S161" s="11">
        <v>1.3606</v>
      </c>
      <c r="T161" s="11">
        <v>101</v>
      </c>
      <c r="U161" s="11">
        <v>249470251.86000001</v>
      </c>
      <c r="V161" s="11">
        <v>249643074.53999999</v>
      </c>
    </row>
    <row r="162" spans="1:22">
      <c r="A162" s="65">
        <v>140</v>
      </c>
      <c r="B162" s="66" t="s">
        <v>174</v>
      </c>
      <c r="C162" s="66" t="s">
        <v>75</v>
      </c>
      <c r="D162" s="35">
        <v>10051616653.790001</v>
      </c>
      <c r="E162" s="35">
        <v>77565861.969999999</v>
      </c>
      <c r="F162" s="35">
        <v>235414299.59999999</v>
      </c>
      <c r="G162" s="11">
        <v>15165578.140000001</v>
      </c>
      <c r="H162" s="13">
        <f t="shared" si="86"/>
        <v>297814583.43000001</v>
      </c>
      <c r="I162" s="11">
        <v>9942644854.9799995</v>
      </c>
      <c r="J162" s="14">
        <f t="shared" si="79"/>
        <v>0.17811130458530369</v>
      </c>
      <c r="K162" s="11">
        <v>9958116064.9099998</v>
      </c>
      <c r="L162" s="14">
        <f t="shared" si="87"/>
        <v>0.17180835155693031</v>
      </c>
      <c r="M162" s="14">
        <f t="shared" si="88"/>
        <v>1.5560457157685963E-3</v>
      </c>
      <c r="N162" s="24">
        <f t="shared" si="89"/>
        <v>1.5229364712307221E-3</v>
      </c>
      <c r="O162" s="25">
        <f t="shared" si="90"/>
        <v>2.9906719452630886E-2</v>
      </c>
      <c r="P162" s="26">
        <f t="shared" si="91"/>
        <v>344.31330281400409</v>
      </c>
      <c r="Q162" s="26">
        <f t="shared" si="92"/>
        <v>10.297281351067163</v>
      </c>
      <c r="R162" s="11">
        <v>344.31</v>
      </c>
      <c r="S162" s="11">
        <v>346.98</v>
      </c>
      <c r="T162" s="11">
        <v>5476</v>
      </c>
      <c r="U162" s="11">
        <v>29800940</v>
      </c>
      <c r="V162" s="11">
        <v>28921671</v>
      </c>
    </row>
    <row r="163" spans="1:22" ht="15.6" customHeight="1">
      <c r="A163" s="65">
        <v>141</v>
      </c>
      <c r="B163" s="74" t="s">
        <v>175</v>
      </c>
      <c r="C163" s="22" t="s">
        <v>255</v>
      </c>
      <c r="D163" s="35">
        <v>3549293800.73</v>
      </c>
      <c r="E163" s="35">
        <v>23749538</v>
      </c>
      <c r="F163" s="35">
        <v>82574803.200000003</v>
      </c>
      <c r="G163" s="11">
        <v>9964322.3399999999</v>
      </c>
      <c r="H163" s="13">
        <f t="shared" si="86"/>
        <v>96360018.859999999</v>
      </c>
      <c r="I163" s="11">
        <v>3419106129.04</v>
      </c>
      <c r="J163" s="14">
        <f t="shared" si="79"/>
        <v>6.1249442380907314E-2</v>
      </c>
      <c r="K163" s="11">
        <v>3530334960.4099998</v>
      </c>
      <c r="L163" s="14">
        <f t="shared" si="87"/>
        <v>6.0909214758918827E-2</v>
      </c>
      <c r="M163" s="14">
        <f t="shared" si="88"/>
        <v>3.2531552742772037E-2</v>
      </c>
      <c r="N163" s="24">
        <f t="shared" si="89"/>
        <v>2.8224863792649241E-3</v>
      </c>
      <c r="O163" s="25">
        <f t="shared" si="90"/>
        <v>2.7294865767867282E-2</v>
      </c>
      <c r="P163" s="26">
        <f t="shared" si="91"/>
        <v>2.4976152994487673</v>
      </c>
      <c r="Q163" s="26">
        <f t="shared" si="92"/>
        <v>6.8172074338225752E-2</v>
      </c>
      <c r="R163" s="11">
        <v>2.4733999999999998</v>
      </c>
      <c r="S163" s="11">
        <v>2.5179999999999998</v>
      </c>
      <c r="T163" s="11">
        <v>10305</v>
      </c>
      <c r="U163" s="11">
        <v>1412874423.8900001</v>
      </c>
      <c r="V163" s="11">
        <v>1413482276.95</v>
      </c>
    </row>
    <row r="164" spans="1:22">
      <c r="A164" s="65">
        <v>142</v>
      </c>
      <c r="B164" s="22" t="s">
        <v>176</v>
      </c>
      <c r="C164" s="66" t="s">
        <v>79</v>
      </c>
      <c r="D164" s="35">
        <v>187918839.99000001</v>
      </c>
      <c r="E164" s="35">
        <v>2871773.55</v>
      </c>
      <c r="F164" s="35">
        <v>0</v>
      </c>
      <c r="G164" s="11">
        <v>516752.42</v>
      </c>
      <c r="H164" s="13">
        <f t="shared" si="86"/>
        <v>2355021.13</v>
      </c>
      <c r="I164" s="11">
        <v>264315718.5</v>
      </c>
      <c r="J164" s="14">
        <f t="shared" si="79"/>
        <v>4.734918940693833E-3</v>
      </c>
      <c r="K164" s="11">
        <v>261871704.78999999</v>
      </c>
      <c r="L164" s="14">
        <f t="shared" si="87"/>
        <v>4.5180981649644604E-3</v>
      </c>
      <c r="M164" s="14">
        <f t="shared" si="88"/>
        <v>-9.2465696851850611E-3</v>
      </c>
      <c r="N164" s="24">
        <f t="shared" si="89"/>
        <v>1.9733037611466796E-3</v>
      </c>
      <c r="O164" s="25">
        <f t="shared" si="90"/>
        <v>8.9930339434286608E-3</v>
      </c>
      <c r="P164" s="26">
        <f t="shared" si="91"/>
        <v>340.73251430463512</v>
      </c>
      <c r="Q164" s="26">
        <f t="shared" si="92"/>
        <v>3.0642190667713756</v>
      </c>
      <c r="R164" s="11">
        <v>340.73</v>
      </c>
      <c r="S164" s="11">
        <v>341.4</v>
      </c>
      <c r="T164" s="11">
        <v>39</v>
      </c>
      <c r="U164" s="11">
        <v>768555</v>
      </c>
      <c r="V164" s="11">
        <v>768555.08</v>
      </c>
    </row>
    <row r="165" spans="1:22">
      <c r="A165" s="65">
        <v>143</v>
      </c>
      <c r="B165" s="68" t="s">
        <v>231</v>
      </c>
      <c r="C165" s="68" t="s">
        <v>230</v>
      </c>
      <c r="D165" s="35">
        <v>49964309.943539597</v>
      </c>
      <c r="E165" s="35">
        <v>3152073.24737518</v>
      </c>
      <c r="F165" s="35">
        <v>0</v>
      </c>
      <c r="G165" s="11">
        <v>59452.99</v>
      </c>
      <c r="H165" s="13">
        <f>(E165+F165)-G165</f>
        <v>3092620.2573751798</v>
      </c>
      <c r="I165" s="11">
        <v>60161203.689999998</v>
      </c>
      <c r="J165" s="14">
        <f t="shared" si="79"/>
        <v>1.0777203280353555E-3</v>
      </c>
      <c r="K165" s="11">
        <v>61671193.850000001</v>
      </c>
      <c r="L165" s="14">
        <f t="shared" si="87"/>
        <v>1.0640191462773596E-3</v>
      </c>
      <c r="M165" s="14">
        <f t="shared" si="88"/>
        <v>2.5099068292927035E-2</v>
      </c>
      <c r="N165" s="24">
        <f t="shared" si="89"/>
        <v>9.6403176732081373E-4</v>
      </c>
      <c r="O165" s="25">
        <f t="shared" si="90"/>
        <v>5.0146917293302562E-2</v>
      </c>
      <c r="P165" s="26">
        <f t="shared" si="91"/>
        <v>1.2157229508358303</v>
      </c>
      <c r="Q165" s="26">
        <f t="shared" si="92"/>
        <v>6.0964758267134121E-2</v>
      </c>
      <c r="R165" s="11">
        <v>1.2</v>
      </c>
      <c r="S165" s="11">
        <v>1.214</v>
      </c>
      <c r="T165" s="11">
        <v>27</v>
      </c>
      <c r="U165" s="11">
        <v>50818000</v>
      </c>
      <c r="V165" s="11">
        <v>50728000</v>
      </c>
    </row>
    <row r="166" spans="1:22">
      <c r="A166" s="65">
        <v>144</v>
      </c>
      <c r="B166" s="66" t="s">
        <v>177</v>
      </c>
      <c r="C166" s="66" t="s">
        <v>36</v>
      </c>
      <c r="D166" s="35">
        <v>3373130216.8899999</v>
      </c>
      <c r="E166" s="35">
        <v>24991058.129999999</v>
      </c>
      <c r="F166" s="35">
        <v>67500310.969999999</v>
      </c>
      <c r="G166" s="11">
        <v>6649564.6600000001</v>
      </c>
      <c r="H166" s="13">
        <f t="shared" si="86"/>
        <v>85841804.439999998</v>
      </c>
      <c r="I166" s="11">
        <v>3142439409.8699999</v>
      </c>
      <c r="J166" s="14">
        <f t="shared" si="79"/>
        <v>5.6293269148789626E-2</v>
      </c>
      <c r="K166" s="11">
        <v>3276148094.0300002</v>
      </c>
      <c r="L166" s="14">
        <f t="shared" si="87"/>
        <v>5.6523703863534003E-2</v>
      </c>
      <c r="M166" s="14">
        <f t="shared" si="88"/>
        <v>4.2549327678375742E-2</v>
      </c>
      <c r="N166" s="24">
        <f t="shared" si="89"/>
        <v>2.0296898885972976E-3</v>
      </c>
      <c r="O166" s="25">
        <f t="shared" si="90"/>
        <v>2.6202052525167052E-2</v>
      </c>
      <c r="P166" s="26">
        <f t="shared" si="91"/>
        <v>4.6233681925544987</v>
      </c>
      <c r="Q166" s="26">
        <f t="shared" si="92"/>
        <v>0.12114173622449964</v>
      </c>
      <c r="R166" s="11">
        <v>4.62</v>
      </c>
      <c r="S166" s="11">
        <v>4.75</v>
      </c>
      <c r="T166" s="11">
        <v>2356</v>
      </c>
      <c r="U166" s="11">
        <v>708073143.08000004</v>
      </c>
      <c r="V166" s="11">
        <v>708606357.44000006</v>
      </c>
    </row>
    <row r="167" spans="1:22">
      <c r="A167" s="65">
        <v>145</v>
      </c>
      <c r="B167" s="68" t="s">
        <v>260</v>
      </c>
      <c r="C167" s="69" t="s">
        <v>261</v>
      </c>
      <c r="D167" s="20">
        <v>75643981.609999999</v>
      </c>
      <c r="E167" s="20">
        <v>751054.46</v>
      </c>
      <c r="F167" s="20">
        <v>4170286.33</v>
      </c>
      <c r="G167" s="20">
        <v>299436.57</v>
      </c>
      <c r="H167" s="13">
        <f t="shared" si="86"/>
        <v>4621904.22</v>
      </c>
      <c r="I167" s="11">
        <v>74633784.469999999</v>
      </c>
      <c r="J167" s="14">
        <f t="shared" si="79"/>
        <v>1.3369803419491461E-3</v>
      </c>
      <c r="K167" s="20">
        <v>78281238.260000005</v>
      </c>
      <c r="L167" s="14">
        <f t="shared" si="87"/>
        <v>1.3505938689224804E-3</v>
      </c>
      <c r="M167" s="14">
        <f t="shared" si="88"/>
        <v>4.8871349830399494E-2</v>
      </c>
      <c r="N167" s="24">
        <f t="shared" si="89"/>
        <v>3.8251383940231501E-3</v>
      </c>
      <c r="O167" s="25">
        <f t="shared" si="90"/>
        <v>5.9042298291820602E-2</v>
      </c>
      <c r="P167" s="26">
        <f t="shared" si="91"/>
        <v>2.3009811837903267</v>
      </c>
      <c r="Q167" s="26">
        <f t="shared" si="92"/>
        <v>0.13585521741721496</v>
      </c>
      <c r="R167" s="20">
        <v>2.29</v>
      </c>
      <c r="S167" s="20">
        <v>2.31</v>
      </c>
      <c r="T167" s="20">
        <v>78</v>
      </c>
      <c r="U167" s="20">
        <v>33595153.289999999</v>
      </c>
      <c r="V167" s="20">
        <v>34020807.649999999</v>
      </c>
    </row>
    <row r="168" spans="1:22">
      <c r="A168" s="65">
        <v>146</v>
      </c>
      <c r="B168" s="66" t="s">
        <v>178</v>
      </c>
      <c r="C168" s="66" t="s">
        <v>117</v>
      </c>
      <c r="D168" s="35">
        <v>548533654.46000004</v>
      </c>
      <c r="E168" s="35">
        <v>2743059.19</v>
      </c>
      <c r="F168" s="35">
        <v>83951883.5</v>
      </c>
      <c r="G168" s="11">
        <v>821419.18</v>
      </c>
      <c r="H168" s="13">
        <f t="shared" si="86"/>
        <v>85873523.50999999</v>
      </c>
      <c r="I168" s="11">
        <v>456722883.57999998</v>
      </c>
      <c r="J168" s="14">
        <f t="shared" si="79"/>
        <v>8.1816769898656119E-3</v>
      </c>
      <c r="K168" s="11">
        <v>543056312.33000004</v>
      </c>
      <c r="L168" s="14">
        <f t="shared" si="87"/>
        <v>9.3694037321753222E-3</v>
      </c>
      <c r="M168" s="14">
        <f t="shared" si="88"/>
        <v>0.18902803396510309</v>
      </c>
      <c r="N168" s="24">
        <f t="shared" si="89"/>
        <v>1.5125856404756175E-3</v>
      </c>
      <c r="O168" s="25">
        <f t="shared" si="90"/>
        <v>0.15813005310914618</v>
      </c>
      <c r="P168" s="26">
        <f t="shared" si="91"/>
        <v>260.63375136699744</v>
      </c>
      <c r="Q168" s="26">
        <f t="shared" si="92"/>
        <v>41.214028945699312</v>
      </c>
      <c r="R168" s="11">
        <v>256.97539999999998</v>
      </c>
      <c r="S168" s="11">
        <v>259.56729999999999</v>
      </c>
      <c r="T168" s="11">
        <v>139</v>
      </c>
      <c r="U168" s="11">
        <v>1823700.03</v>
      </c>
      <c r="V168" s="11">
        <v>2083599.34</v>
      </c>
    </row>
    <row r="169" spans="1:22">
      <c r="A169" s="65">
        <v>147</v>
      </c>
      <c r="B169" s="22" t="s">
        <v>179</v>
      </c>
      <c r="C169" s="66" t="s">
        <v>32</v>
      </c>
      <c r="D169" s="35">
        <v>2189102009.9899998</v>
      </c>
      <c r="E169" s="35">
        <v>62144996.130000003</v>
      </c>
      <c r="F169" s="35">
        <v>303116260.82999998</v>
      </c>
      <c r="G169" s="11">
        <v>5457256.46</v>
      </c>
      <c r="H169" s="13">
        <f t="shared" si="86"/>
        <v>359804000.5</v>
      </c>
      <c r="I169" s="11">
        <v>2218944017.1199999</v>
      </c>
      <c r="J169" s="14">
        <f t="shared" si="79"/>
        <v>3.9749887424878019E-2</v>
      </c>
      <c r="K169" s="11">
        <v>2221839018.0500002</v>
      </c>
      <c r="L169" s="14">
        <f t="shared" si="87"/>
        <v>3.8333606138731949E-2</v>
      </c>
      <c r="M169" s="14">
        <f t="shared" si="88"/>
        <v>1.3046750651049635E-3</v>
      </c>
      <c r="N169" s="24">
        <f t="shared" si="89"/>
        <v>2.4561889568352111E-3</v>
      </c>
      <c r="O169" s="25">
        <f t="shared" si="90"/>
        <v>0.16193972541529245</v>
      </c>
      <c r="P169" s="26">
        <f t="shared" si="91"/>
        <v>2978.53611910986</v>
      </c>
      <c r="Q169" s="26">
        <f t="shared" si="92"/>
        <v>482.34332126818151</v>
      </c>
      <c r="R169" s="11">
        <v>552.20000000000005</v>
      </c>
      <c r="S169" s="11">
        <v>552.20000000000005</v>
      </c>
      <c r="T169" s="11">
        <v>823</v>
      </c>
      <c r="U169" s="11">
        <v>745950</v>
      </c>
      <c r="V169" s="11">
        <v>745950</v>
      </c>
    </row>
    <row r="170" spans="1:22">
      <c r="A170" s="65">
        <v>148</v>
      </c>
      <c r="B170" s="22" t="s">
        <v>180</v>
      </c>
      <c r="C170" s="66" t="s">
        <v>85</v>
      </c>
      <c r="D170" s="35">
        <v>31356930.440000001</v>
      </c>
      <c r="E170" s="35">
        <v>183416.37</v>
      </c>
      <c r="F170" s="35">
        <v>819574.35</v>
      </c>
      <c r="G170" s="11">
        <v>10878.79</v>
      </c>
      <c r="H170" s="13">
        <f t="shared" si="86"/>
        <v>992111.92999999993</v>
      </c>
      <c r="I170" s="11">
        <v>32876005.809999999</v>
      </c>
      <c r="J170" s="14">
        <f t="shared" si="79"/>
        <v>5.8893668332528435E-4</v>
      </c>
      <c r="K170" s="11">
        <v>31413133.920000002</v>
      </c>
      <c r="L170" s="14">
        <f t="shared" si="87"/>
        <v>5.4197387546527553E-4</v>
      </c>
      <c r="M170" s="14">
        <f t="shared" si="88"/>
        <v>-4.4496642884611928E-2</v>
      </c>
      <c r="N170" s="24">
        <f t="shared" si="89"/>
        <v>3.4631342506943354E-4</v>
      </c>
      <c r="O170" s="25">
        <f t="shared" si="90"/>
        <v>3.1582710993644146E-2</v>
      </c>
      <c r="P170" s="26">
        <f t="shared" si="91"/>
        <v>2.0124967990735176</v>
      </c>
      <c r="Q170" s="26">
        <f t="shared" si="92"/>
        <v>6.3560104780772841E-2</v>
      </c>
      <c r="R170" s="11">
        <v>2.0125000000000002</v>
      </c>
      <c r="S170" s="11">
        <v>2.0125000000000002</v>
      </c>
      <c r="T170" s="11">
        <v>8</v>
      </c>
      <c r="U170" s="11">
        <v>16880310.75</v>
      </c>
      <c r="V170" s="11">
        <v>15609035.470000001</v>
      </c>
    </row>
    <row r="171" spans="1:22">
      <c r="A171" s="65">
        <v>149</v>
      </c>
      <c r="B171" s="66" t="s">
        <v>181</v>
      </c>
      <c r="C171" s="66" t="s">
        <v>42</v>
      </c>
      <c r="D171" s="35">
        <v>273193410.16000003</v>
      </c>
      <c r="E171" s="35">
        <v>7054368.96</v>
      </c>
      <c r="F171" s="35">
        <v>87947615.629999995</v>
      </c>
      <c r="G171" s="11">
        <v>377980.46</v>
      </c>
      <c r="H171" s="13">
        <f t="shared" si="86"/>
        <v>94624004.129999995</v>
      </c>
      <c r="I171" s="11">
        <v>271370215.17000002</v>
      </c>
      <c r="J171" s="14">
        <f t="shared" si="79"/>
        <v>4.8612923175380277E-3</v>
      </c>
      <c r="K171" s="11">
        <v>275793597.31</v>
      </c>
      <c r="L171" s="14">
        <f t="shared" si="87"/>
        <v>4.7582939398301931E-3</v>
      </c>
      <c r="M171" s="14">
        <f t="shared" si="88"/>
        <v>1.6300175526739201E-2</v>
      </c>
      <c r="N171" s="24">
        <f t="shared" si="89"/>
        <v>1.3705193437653993E-3</v>
      </c>
      <c r="O171" s="25">
        <f t="shared" si="90"/>
        <v>0.34309717503572018</v>
      </c>
      <c r="P171" s="26">
        <f t="shared" si="91"/>
        <v>2.7770886397864443</v>
      </c>
      <c r="Q171" s="26">
        <f t="shared" si="92"/>
        <v>0.9528112671345198</v>
      </c>
      <c r="R171" s="11">
        <v>2.74</v>
      </c>
      <c r="S171" s="11">
        <v>2.8</v>
      </c>
      <c r="T171" s="11">
        <v>121</v>
      </c>
      <c r="U171" s="11">
        <v>99306238.900000006</v>
      </c>
      <c r="V171" s="11">
        <v>99310332.900000006</v>
      </c>
    </row>
    <row r="172" spans="1:22">
      <c r="A172" s="65">
        <v>150</v>
      </c>
      <c r="B172" s="22" t="s">
        <v>182</v>
      </c>
      <c r="C172" s="22" t="s">
        <v>46</v>
      </c>
      <c r="D172" s="35">
        <v>2640017540.5999999</v>
      </c>
      <c r="E172" s="35">
        <v>19183290.780000001</v>
      </c>
      <c r="F172" s="35">
        <v>47571726.530000001</v>
      </c>
      <c r="G172" s="11">
        <v>4941917.7699999996</v>
      </c>
      <c r="H172" s="13">
        <f t="shared" si="86"/>
        <v>61813099.540000007</v>
      </c>
      <c r="I172" s="11">
        <v>2486368648.2199998</v>
      </c>
      <c r="J172" s="14">
        <f t="shared" si="79"/>
        <v>4.454049903961424E-2</v>
      </c>
      <c r="K172" s="11">
        <v>2663347245.6700001</v>
      </c>
      <c r="L172" s="14">
        <f t="shared" si="87"/>
        <v>4.595099082191597E-2</v>
      </c>
      <c r="M172" s="14">
        <f t="shared" si="88"/>
        <v>7.1179548365323822E-2</v>
      </c>
      <c r="N172" s="24">
        <f t="shared" si="89"/>
        <v>1.8555288943394217E-3</v>
      </c>
      <c r="O172" s="25">
        <f t="shared" si="90"/>
        <v>2.3208802247057389E-2</v>
      </c>
      <c r="P172" s="26">
        <f t="shared" si="91"/>
        <v>6881.8964107824713</v>
      </c>
      <c r="Q172" s="26">
        <f t="shared" si="92"/>
        <v>159.72057288258441</v>
      </c>
      <c r="R172" s="11">
        <v>6841.73</v>
      </c>
      <c r="S172" s="11">
        <v>6909.77</v>
      </c>
      <c r="T172" s="11">
        <v>2302</v>
      </c>
      <c r="U172" s="11">
        <v>376242.15</v>
      </c>
      <c r="V172" s="11">
        <v>387007.75</v>
      </c>
    </row>
    <row r="173" spans="1:22">
      <c r="A173" s="65">
        <v>151</v>
      </c>
      <c r="B173" s="68" t="s">
        <v>229</v>
      </c>
      <c r="C173" s="68" t="s">
        <v>230</v>
      </c>
      <c r="D173" s="35">
        <v>734211471.34361994</v>
      </c>
      <c r="E173" s="35">
        <v>83870093.893619806</v>
      </c>
      <c r="F173" s="35">
        <v>0</v>
      </c>
      <c r="G173" s="11">
        <v>714687.41</v>
      </c>
      <c r="H173" s="13">
        <f t="shared" si="86"/>
        <v>83155406.483619809</v>
      </c>
      <c r="I173" s="11">
        <v>725093769.43543398</v>
      </c>
      <c r="J173" s="14">
        <f t="shared" si="79"/>
        <v>1.2989239694721082E-2</v>
      </c>
      <c r="K173" s="11">
        <v>733854202.67999995</v>
      </c>
      <c r="L173" s="14">
        <f t="shared" si="87"/>
        <v>1.266125841712769E-2</v>
      </c>
      <c r="M173" s="14">
        <f t="shared" si="88"/>
        <v>1.2081793574625436E-2</v>
      </c>
      <c r="N173" s="24">
        <f t="shared" si="89"/>
        <v>9.7388201551479336E-4</v>
      </c>
      <c r="O173" s="25">
        <f t="shared" si="90"/>
        <v>0.11331325238710946</v>
      </c>
      <c r="P173" s="26">
        <f t="shared" si="91"/>
        <v>1.4007697672625723</v>
      </c>
      <c r="Q173" s="26">
        <f t="shared" si="92"/>
        <v>0.15872577817405642</v>
      </c>
      <c r="R173" s="11">
        <v>1.391</v>
      </c>
      <c r="S173" s="11">
        <v>1.391</v>
      </c>
      <c r="T173" s="11">
        <v>43</v>
      </c>
      <c r="U173" s="11">
        <v>523793519</v>
      </c>
      <c r="V173" s="11">
        <v>523893519</v>
      </c>
    </row>
    <row r="174" spans="1:22">
      <c r="A174" s="65">
        <v>152</v>
      </c>
      <c r="B174" s="22" t="s">
        <v>183</v>
      </c>
      <c r="C174" s="22" t="s">
        <v>50</v>
      </c>
      <c r="D174" s="35">
        <v>1716666080.1773973</v>
      </c>
      <c r="E174" s="35">
        <v>17058654</v>
      </c>
      <c r="F174" s="35">
        <v>57565687.599999905</v>
      </c>
      <c r="G174" s="11">
        <v>3594472</v>
      </c>
      <c r="H174" s="13">
        <f t="shared" si="86"/>
        <v>71029869.599999905</v>
      </c>
      <c r="I174" s="11">
        <v>2254613440.1738358</v>
      </c>
      <c r="J174" s="14">
        <f t="shared" si="79"/>
        <v>4.0388865037634822E-2</v>
      </c>
      <c r="K174" s="11">
        <v>2361469163.8207946</v>
      </c>
      <c r="L174" s="14">
        <f t="shared" si="87"/>
        <v>4.0742658716163511E-2</v>
      </c>
      <c r="M174" s="14">
        <f t="shared" si="88"/>
        <v>4.739425470590649E-2</v>
      </c>
      <c r="N174" s="24">
        <f t="shared" si="89"/>
        <v>1.5221337864874929E-3</v>
      </c>
      <c r="O174" s="25">
        <f t="shared" si="90"/>
        <v>3.0078677582677158E-2</v>
      </c>
      <c r="P174" s="26">
        <f t="shared" si="91"/>
        <v>2.1342640799346126</v>
      </c>
      <c r="Q174" s="26">
        <f t="shared" si="92"/>
        <v>6.4195841136642326E-2</v>
      </c>
      <c r="R174" s="11">
        <v>2.13</v>
      </c>
      <c r="S174" s="11">
        <v>2.14</v>
      </c>
      <c r="T174" s="11">
        <v>1419</v>
      </c>
      <c r="U174" s="11">
        <v>1099920155.72</v>
      </c>
      <c r="V174" s="11">
        <v>1106455937.6800001</v>
      </c>
    </row>
    <row r="175" spans="1:22">
      <c r="A175" s="65">
        <v>153</v>
      </c>
      <c r="B175" s="70" t="s">
        <v>184</v>
      </c>
      <c r="C175" s="22" t="s">
        <v>92</v>
      </c>
      <c r="D175" s="35">
        <v>8968030891.2600002</v>
      </c>
      <c r="E175" s="35">
        <v>25316213.239999998</v>
      </c>
      <c r="F175" s="35">
        <v>-512353565</v>
      </c>
      <c r="G175" s="11">
        <v>14907173.17</v>
      </c>
      <c r="H175" s="13">
        <f t="shared" si="86"/>
        <v>-501944524.93000001</v>
      </c>
      <c r="I175" s="11">
        <v>9921315627.6299992</v>
      </c>
      <c r="J175" s="14">
        <f t="shared" si="79"/>
        <v>0.17772921545665474</v>
      </c>
      <c r="K175" s="11">
        <v>10461713258.129999</v>
      </c>
      <c r="L175" s="14">
        <f t="shared" si="87"/>
        <v>0.18049696324330222</v>
      </c>
      <c r="M175" s="14">
        <f t="shared" si="88"/>
        <v>5.4468343794550768E-2</v>
      </c>
      <c r="N175" s="24">
        <f t="shared" si="89"/>
        <v>1.4249265681618016E-3</v>
      </c>
      <c r="O175" s="25">
        <f t="shared" si="90"/>
        <v>-4.7979189693421319E-2</v>
      </c>
      <c r="P175" s="26">
        <f t="shared" si="91"/>
        <v>572.7351052690957</v>
      </c>
      <c r="Q175" s="26">
        <f t="shared" si="92"/>
        <v>-27.479366259787568</v>
      </c>
      <c r="R175" s="11">
        <v>568.16999999999996</v>
      </c>
      <c r="S175" s="11">
        <v>575.07000000000005</v>
      </c>
      <c r="T175" s="11">
        <v>39</v>
      </c>
      <c r="U175" s="11">
        <v>18231426.23</v>
      </c>
      <c r="V175" s="11">
        <v>18266233.66</v>
      </c>
    </row>
    <row r="176" spans="1:22">
      <c r="A176" s="65">
        <v>154</v>
      </c>
      <c r="B176" s="22" t="s">
        <v>185</v>
      </c>
      <c r="C176" s="22" t="s">
        <v>50</v>
      </c>
      <c r="D176" s="35">
        <v>697048588.37054801</v>
      </c>
      <c r="E176" s="35">
        <v>12553144</v>
      </c>
      <c r="F176" s="35">
        <v>37477206.639999926</v>
      </c>
      <c r="G176" s="11">
        <v>2035519.73</v>
      </c>
      <c r="H176" s="13">
        <f t="shared" si="86"/>
        <v>47994830.909999929</v>
      </c>
      <c r="I176" s="11">
        <v>1272817956.9168494</v>
      </c>
      <c r="J176" s="14">
        <f t="shared" si="79"/>
        <v>2.2801102736010069E-2</v>
      </c>
      <c r="K176" s="11">
        <v>1332726011.4521644</v>
      </c>
      <c r="L176" s="14">
        <f t="shared" si="87"/>
        <v>2.299365237481879E-2</v>
      </c>
      <c r="M176" s="14">
        <f t="shared" si="88"/>
        <v>4.7067260647728835E-2</v>
      </c>
      <c r="N176" s="24">
        <f t="shared" si="89"/>
        <v>1.5273354856952615E-3</v>
      </c>
      <c r="O176" s="25">
        <f t="shared" si="90"/>
        <v>3.6012526579040666E-2</v>
      </c>
      <c r="P176" s="26">
        <f t="shared" si="91"/>
        <v>1.632832182550529</v>
      </c>
      <c r="Q176" s="26">
        <f t="shared" si="92"/>
        <v>5.880241237321391E-2</v>
      </c>
      <c r="R176" s="11">
        <v>1.63</v>
      </c>
      <c r="S176" s="11">
        <v>1.64</v>
      </c>
      <c r="T176" s="11">
        <v>226</v>
      </c>
      <c r="U176" s="11">
        <v>809678250.88999999</v>
      </c>
      <c r="V176" s="11">
        <v>816205134.66999996</v>
      </c>
    </row>
    <row r="177" spans="1:22">
      <c r="A177" s="65">
        <v>155</v>
      </c>
      <c r="B177" s="22" t="s">
        <v>186</v>
      </c>
      <c r="C177" s="22" t="s">
        <v>96</v>
      </c>
      <c r="D177" s="35">
        <v>3853585589.9299998</v>
      </c>
      <c r="E177" s="35">
        <v>20534783.210000001</v>
      </c>
      <c r="F177" s="35">
        <v>213224144.90000001</v>
      </c>
      <c r="G177" s="11">
        <v>8118920.5</v>
      </c>
      <c r="H177" s="13">
        <f t="shared" si="86"/>
        <v>225640007.61000001</v>
      </c>
      <c r="I177" s="11">
        <v>3695868176.3299999</v>
      </c>
      <c r="J177" s="14">
        <f t="shared" si="79"/>
        <v>6.6207323309122421E-2</v>
      </c>
      <c r="K177" s="11">
        <v>4014065083.6399999</v>
      </c>
      <c r="L177" s="14">
        <f t="shared" si="87"/>
        <v>6.9255057941389128E-2</v>
      </c>
      <c r="M177" s="14">
        <f t="shared" si="88"/>
        <v>8.6095307551247599E-2</v>
      </c>
      <c r="N177" s="24">
        <f t="shared" si="89"/>
        <v>2.0226180519817756E-3</v>
      </c>
      <c r="O177" s="25">
        <f t="shared" si="90"/>
        <v>5.6212344072255824E-2</v>
      </c>
      <c r="P177" s="26">
        <f t="shared" si="91"/>
        <v>23.976424132653101</v>
      </c>
      <c r="Q177" s="26">
        <f t="shared" si="92"/>
        <v>1.347771002967034</v>
      </c>
      <c r="R177" s="11">
        <v>23.816199999999998</v>
      </c>
      <c r="S177" s="11">
        <v>24.1142</v>
      </c>
      <c r="T177" s="11">
        <v>6157</v>
      </c>
      <c r="U177" s="11">
        <v>167894370.96000001</v>
      </c>
      <c r="V177" s="11">
        <v>167417170.36000001</v>
      </c>
    </row>
    <row r="178" spans="1:22" ht="15" customHeight="1">
      <c r="A178" s="99" t="s">
        <v>51</v>
      </c>
      <c r="B178" s="99"/>
      <c r="C178" s="99"/>
      <c r="D178" s="99"/>
      <c r="E178" s="99"/>
      <c r="F178" s="99"/>
      <c r="G178" s="99"/>
      <c r="H178" s="99"/>
      <c r="I178" s="44">
        <f>SUM(I151:I177)</f>
        <v>55822649090.856117</v>
      </c>
      <c r="J178" s="42">
        <f>(I178/$I$209)</f>
        <v>1.3672684993777304E-2</v>
      </c>
      <c r="K178" s="44">
        <f>SUM(K151:K177)</f>
        <v>57960605376.102951</v>
      </c>
      <c r="L178" s="42">
        <f>(K178/$K$209)</f>
        <v>1.3250586148508455E-2</v>
      </c>
      <c r="M178" s="42">
        <f t="shared" si="81"/>
        <v>3.8299083258609382E-2</v>
      </c>
      <c r="N178" s="24"/>
      <c r="O178" s="24"/>
      <c r="P178" s="43"/>
      <c r="Q178" s="43"/>
      <c r="R178" s="44"/>
      <c r="S178" s="44"/>
      <c r="T178" s="44">
        <f>SUM(T151:T177)</f>
        <v>68249</v>
      </c>
      <c r="U178" s="44"/>
      <c r="V178" s="47"/>
    </row>
    <row r="179" spans="1:22" ht="6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</row>
    <row r="180" spans="1:22">
      <c r="A180" s="102" t="s">
        <v>187</v>
      </c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</row>
    <row r="181" spans="1:22">
      <c r="A181" s="65">
        <v>156</v>
      </c>
      <c r="B181" s="66" t="s">
        <v>188</v>
      </c>
      <c r="C181" s="66" t="s">
        <v>26</v>
      </c>
      <c r="D181" s="11">
        <v>750057145.88999999</v>
      </c>
      <c r="E181" s="11">
        <v>3210426.83</v>
      </c>
      <c r="F181" s="11">
        <v>30283301.52</v>
      </c>
      <c r="G181" s="11">
        <v>3117753.34</v>
      </c>
      <c r="H181" s="13">
        <f>(E181+F181)-G181</f>
        <v>30375975.010000002</v>
      </c>
      <c r="I181" s="11">
        <v>1028864066</v>
      </c>
      <c r="J181" s="14">
        <f>(I181/$I$184)</f>
        <v>0.16868757729929157</v>
      </c>
      <c r="K181" s="11">
        <v>1056033628</v>
      </c>
      <c r="L181" s="14">
        <f>(K181/$K$184)</f>
        <v>0.15726812463034401</v>
      </c>
      <c r="M181" s="14">
        <f>((K181-I181)/I181)</f>
        <v>2.6407338829151021E-2</v>
      </c>
      <c r="N181" s="24">
        <f>(G181/K181)</f>
        <v>2.9523239197454796E-3</v>
      </c>
      <c r="O181" s="25">
        <f>H181/K181</f>
        <v>2.8764211862768448E-2</v>
      </c>
      <c r="P181" s="26">
        <f>K181/V181</f>
        <v>72.828247908840694</v>
      </c>
      <c r="Q181" s="26">
        <f>H181/V181</f>
        <v>2.094847152444117</v>
      </c>
      <c r="R181" s="11">
        <v>72.464100000000002</v>
      </c>
      <c r="S181" s="11">
        <v>74.648899999999998</v>
      </c>
      <c r="T181" s="11">
        <v>1699</v>
      </c>
      <c r="U181" s="11">
        <v>14545543</v>
      </c>
      <c r="V181" s="11">
        <v>14500330</v>
      </c>
    </row>
    <row r="182" spans="1:22">
      <c r="A182" s="65">
        <v>157</v>
      </c>
      <c r="B182" s="66" t="s">
        <v>189</v>
      </c>
      <c r="C182" s="22" t="s">
        <v>46</v>
      </c>
      <c r="D182" s="11">
        <v>4596163670.46</v>
      </c>
      <c r="E182" s="11">
        <f>698107.19+18478697.63</f>
        <v>19176804.82</v>
      </c>
      <c r="F182" s="29">
        <v>182784286</v>
      </c>
      <c r="G182" s="11">
        <v>12052717.65</v>
      </c>
      <c r="H182" s="13">
        <f>(E182+F182)-G182</f>
        <v>189908373.16999999</v>
      </c>
      <c r="I182" s="11">
        <v>4229855291.7600002</v>
      </c>
      <c r="J182" s="14">
        <f t="shared" ref="J182:J183" si="93">(I182/$I$184)</f>
        <v>0.69350662062444179</v>
      </c>
      <c r="K182" s="11">
        <v>4611660542.0100002</v>
      </c>
      <c r="L182" s="14">
        <f t="shared" ref="L182:L183" si="94">(K182/$K$184)</f>
        <v>0.68678419478671049</v>
      </c>
      <c r="M182" s="14">
        <f t="shared" ref="M182:M183" si="95">((K182-I182)/I182)</f>
        <v>9.0264376418214221E-2</v>
      </c>
      <c r="N182" s="24">
        <f t="shared" ref="N182:N183" si="96">(G182/K182)</f>
        <v>2.6135309700715315E-3</v>
      </c>
      <c r="O182" s="25">
        <f t="shared" ref="O182:O183" si="97">H182/K182</f>
        <v>4.1180041644441612E-2</v>
      </c>
      <c r="P182" s="26">
        <f t="shared" ref="P182:P183" si="98">K182/V182</f>
        <v>3.1821228108139232</v>
      </c>
      <c r="Q182" s="26">
        <f t="shared" ref="Q182:Q183" si="99">H182/V182</f>
        <v>0.13103994986704495</v>
      </c>
      <c r="R182" s="11">
        <v>3.16</v>
      </c>
      <c r="S182" s="11">
        <v>3.2</v>
      </c>
      <c r="T182" s="11">
        <v>10293</v>
      </c>
      <c r="U182" s="11">
        <v>1390113645.4300001</v>
      </c>
      <c r="V182" s="11">
        <v>1449240276.4400001</v>
      </c>
    </row>
    <row r="183" spans="1:22">
      <c r="A183" s="65">
        <v>158</v>
      </c>
      <c r="B183" s="66" t="s">
        <v>190</v>
      </c>
      <c r="C183" s="22" t="s">
        <v>96</v>
      </c>
      <c r="D183" s="11">
        <v>1049929535.64</v>
      </c>
      <c r="E183" s="11">
        <v>6161352.1200000001</v>
      </c>
      <c r="F183" s="11">
        <v>39255483.399999999</v>
      </c>
      <c r="G183" s="11">
        <v>4928543.54</v>
      </c>
      <c r="H183" s="13">
        <f>(E183+F183)-G183</f>
        <v>40488291.979999997</v>
      </c>
      <c r="I183" s="11">
        <v>840509064.82000005</v>
      </c>
      <c r="J183" s="14">
        <f t="shared" si="93"/>
        <v>0.13780580207626675</v>
      </c>
      <c r="K183" s="11">
        <v>1047167029.5</v>
      </c>
      <c r="L183" s="14">
        <f t="shared" si="94"/>
        <v>0.15594768058294553</v>
      </c>
      <c r="M183" s="14">
        <f t="shared" si="95"/>
        <v>0.24587238059622471</v>
      </c>
      <c r="N183" s="24">
        <f t="shared" si="96"/>
        <v>4.7065495772467885E-3</v>
      </c>
      <c r="O183" s="25">
        <f t="shared" si="97"/>
        <v>3.8664597756990396E-2</v>
      </c>
      <c r="P183" s="26">
        <f t="shared" si="98"/>
        <v>207.58469768419471</v>
      </c>
      <c r="Q183" s="26">
        <f t="shared" si="99"/>
        <v>8.026178836465844</v>
      </c>
      <c r="R183" s="11">
        <v>29.779800000000002</v>
      </c>
      <c r="S183" s="11">
        <v>30.0748</v>
      </c>
      <c r="T183" s="11">
        <v>1483</v>
      </c>
      <c r="U183" s="11">
        <v>35124695.310000002</v>
      </c>
      <c r="V183" s="11">
        <v>5044529.01</v>
      </c>
    </row>
    <row r="184" spans="1:22" ht="15" customHeight="1">
      <c r="A184" s="99" t="s">
        <v>51</v>
      </c>
      <c r="B184" s="99"/>
      <c r="C184" s="99"/>
      <c r="D184" s="99"/>
      <c r="E184" s="99"/>
      <c r="F184" s="99"/>
      <c r="G184" s="99"/>
      <c r="H184" s="99"/>
      <c r="I184" s="44">
        <f>SUM(I181:I183)</f>
        <v>6099228422.5799999</v>
      </c>
      <c r="J184" s="42">
        <f>(I184/$I$209)</f>
        <v>1.4938887760647234E-3</v>
      </c>
      <c r="K184" s="44">
        <f>SUM(K181:K183)</f>
        <v>6714861199.5100002</v>
      </c>
      <c r="L184" s="42">
        <f>(K184/$K$209)</f>
        <v>1.5351089972581388E-3</v>
      </c>
      <c r="M184" s="42">
        <f t="shared" ref="M184" si="100">((K184-I184)/I184)</f>
        <v>0.10093617327904322</v>
      </c>
      <c r="N184" s="24"/>
      <c r="O184" s="48"/>
      <c r="P184" s="43"/>
      <c r="Q184" s="43"/>
      <c r="R184" s="44"/>
      <c r="S184" s="44"/>
      <c r="T184" s="44">
        <f>SUM(T181:T183)</f>
        <v>13475</v>
      </c>
      <c r="U184" s="44"/>
      <c r="V184" s="47"/>
    </row>
    <row r="185" spans="1:22" ht="8.1" customHeight="1">
      <c r="A185" s="101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</row>
    <row r="186" spans="1:22">
      <c r="A186" s="102" t="s">
        <v>191</v>
      </c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</row>
    <row r="187" spans="1:22" ht="12.9" customHeight="1">
      <c r="A187" s="103" t="s">
        <v>192</v>
      </c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</row>
    <row r="188" spans="1:22" ht="15" customHeight="1">
      <c r="A188" s="65">
        <v>159</v>
      </c>
      <c r="B188" s="66" t="s">
        <v>193</v>
      </c>
      <c r="C188" s="22" t="s">
        <v>120</v>
      </c>
      <c r="D188" s="34">
        <v>4078335022.3400002</v>
      </c>
      <c r="E188" s="23">
        <v>37320674.659999996</v>
      </c>
      <c r="F188" s="23">
        <v>71566208.829999998</v>
      </c>
      <c r="G188" s="37">
        <v>26302131.079999998</v>
      </c>
      <c r="H188" s="13">
        <f>(E188+F188)-G188</f>
        <v>82584752.409999996</v>
      </c>
      <c r="I188" s="35">
        <v>5168062103.1000004</v>
      </c>
      <c r="J188" s="14">
        <f>(I188/$I$208)</f>
        <v>9.4872338964410149E-2</v>
      </c>
      <c r="K188" s="35">
        <v>5370890053.6700001</v>
      </c>
      <c r="L188" s="14">
        <f>(K188/$K$208)</f>
        <v>9.8729349200210467E-2</v>
      </c>
      <c r="M188" s="14">
        <f>((K188-I188)/I188)</f>
        <v>3.9246422841617126E-2</v>
      </c>
      <c r="N188" s="24">
        <f>(G188/K188)</f>
        <v>4.8971643092986803E-3</v>
      </c>
      <c r="O188" s="25">
        <f>H188/K188</f>
        <v>1.5376362499464823E-2</v>
      </c>
      <c r="P188" s="26">
        <f>K188/V188</f>
        <v>2.3763507857639938</v>
      </c>
      <c r="Q188" s="26">
        <f>H188/V188</f>
        <v>3.6539631107795234E-2</v>
      </c>
      <c r="R188" s="35">
        <v>2.35</v>
      </c>
      <c r="S188" s="35">
        <v>2.4</v>
      </c>
      <c r="T188" s="35">
        <v>15008</v>
      </c>
      <c r="U188" s="11">
        <v>2210052656</v>
      </c>
      <c r="V188" s="11">
        <v>2260141931</v>
      </c>
    </row>
    <row r="189" spans="1:22">
      <c r="A189" s="65">
        <v>160</v>
      </c>
      <c r="B189" s="22" t="s">
        <v>194</v>
      </c>
      <c r="C189" s="22" t="s">
        <v>46</v>
      </c>
      <c r="D189" s="37">
        <v>874486679.78999996</v>
      </c>
      <c r="E189" s="37">
        <v>2896826.65</v>
      </c>
      <c r="F189" s="37">
        <v>66867893.200000003</v>
      </c>
      <c r="G189" s="37">
        <v>1716593.98</v>
      </c>
      <c r="H189" s="13">
        <f>(E189+F189)-G189</f>
        <v>68048125.870000005</v>
      </c>
      <c r="I189" s="20">
        <v>781117322.89999998</v>
      </c>
      <c r="J189" s="14">
        <f>(I189/$I$208)</f>
        <v>1.4339306678356197E-2</v>
      </c>
      <c r="K189" s="20">
        <v>928638697.49000001</v>
      </c>
      <c r="L189" s="14">
        <f>(K189/$K$208)</f>
        <v>1.707052152048244E-2</v>
      </c>
      <c r="M189" s="14">
        <f>((K189-I189)/I189)</f>
        <v>0.18885943284717804</v>
      </c>
      <c r="N189" s="24">
        <f>(G189/K189)</f>
        <v>1.8485057586333086E-3</v>
      </c>
      <c r="O189" s="25">
        <f>H189/K189</f>
        <v>7.3277288631117779E-2</v>
      </c>
      <c r="P189" s="26">
        <f>K189/V189</f>
        <v>568.69820264011082</v>
      </c>
      <c r="Q189" s="26">
        <f>H189/V189</f>
        <v>41.672662338857315</v>
      </c>
      <c r="R189" s="20">
        <v>564.57000000000005</v>
      </c>
      <c r="S189" s="20">
        <v>571.53</v>
      </c>
      <c r="T189" s="20">
        <v>899</v>
      </c>
      <c r="U189" s="20">
        <v>1489643.44</v>
      </c>
      <c r="V189" s="20">
        <v>1632920.05</v>
      </c>
    </row>
    <row r="190" spans="1:22" ht="6.9" customHeight="1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</row>
    <row r="191" spans="1:22">
      <c r="A191" s="104" t="s">
        <v>148</v>
      </c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</row>
    <row r="192" spans="1:22">
      <c r="A192" s="75">
        <v>161</v>
      </c>
      <c r="B192" s="76" t="s">
        <v>280</v>
      </c>
      <c r="C192" s="77" t="s">
        <v>58</v>
      </c>
      <c r="D192" s="63">
        <v>83757033.799999997</v>
      </c>
      <c r="E192" s="63">
        <v>14439753.699999999</v>
      </c>
      <c r="F192" s="11">
        <v>0</v>
      </c>
      <c r="G192" s="63">
        <v>2611616.89</v>
      </c>
      <c r="H192" s="63">
        <f>(E192+F192)-G192</f>
        <v>11828136.809999999</v>
      </c>
      <c r="I192" s="11">
        <v>0</v>
      </c>
      <c r="J192" s="14">
        <f>(I192/$I$208)</f>
        <v>0</v>
      </c>
      <c r="K192" s="63">
        <v>1117343694</v>
      </c>
      <c r="L192" s="14">
        <f>(K192/$K$208)</f>
        <v>2.0539354676642408E-2</v>
      </c>
      <c r="M192" s="14" t="e">
        <f t="shared" ref="M192:M204" si="101">((K192-I192)/I192)</f>
        <v>#DIV/0!</v>
      </c>
      <c r="N192" s="24">
        <f>(G192/K192)</f>
        <v>2.3373442782413916E-3</v>
      </c>
      <c r="O192" s="25">
        <f>H192/K192</f>
        <v>1.0585943137743255E-2</v>
      </c>
      <c r="P192" s="26">
        <f>K192/V192</f>
        <v>1.0412200862087386</v>
      </c>
      <c r="Q192" s="26">
        <f>H192/V192</f>
        <v>1.1022296626481836E-2</v>
      </c>
      <c r="R192" s="63">
        <v>1.0411999999999999</v>
      </c>
      <c r="S192" s="63">
        <v>1.0411999999999999</v>
      </c>
      <c r="T192" s="63">
        <v>482</v>
      </c>
      <c r="U192" s="63">
        <v>875225875</v>
      </c>
      <c r="V192" s="63">
        <v>1073110007</v>
      </c>
    </row>
    <row r="193" spans="1:22">
      <c r="A193" s="75">
        <v>162</v>
      </c>
      <c r="B193" s="76" t="s">
        <v>195</v>
      </c>
      <c r="C193" s="77" t="s">
        <v>196</v>
      </c>
      <c r="D193" s="63">
        <v>283965610.96893835</v>
      </c>
      <c r="E193" s="63">
        <v>4383453.5492318282</v>
      </c>
      <c r="F193" s="11">
        <v>0</v>
      </c>
      <c r="G193" s="63">
        <v>1259282.26995827</v>
      </c>
      <c r="H193" s="63">
        <f>(E193+F193)-G193</f>
        <v>3124171.2792735584</v>
      </c>
      <c r="I193" s="63">
        <v>338714486.50849915</v>
      </c>
      <c r="J193" s="14">
        <f t="shared" ref="J193:J204" si="102">(I193/$I$208)</f>
        <v>6.2179275200495137E-3</v>
      </c>
      <c r="K193" s="63">
        <v>347372138.29994005</v>
      </c>
      <c r="L193" s="14">
        <f t="shared" ref="L193:L204" si="103">(K193/$K$208)</f>
        <v>6.385501248755557E-3</v>
      </c>
      <c r="M193" s="14">
        <f t="shared" si="101"/>
        <v>2.5560323329199157E-2</v>
      </c>
      <c r="N193" s="24">
        <f t="shared" ref="N193:N204" si="104">(G193/K193)</f>
        <v>3.6251677412047854E-3</v>
      </c>
      <c r="O193" s="25">
        <f t="shared" ref="O193:O204" si="105">H193/K193</f>
        <v>8.9937301666260256E-3</v>
      </c>
      <c r="P193" s="26">
        <f t="shared" ref="P193:P204" si="106">K193/V193</f>
        <v>1061.595624527826</v>
      </c>
      <c r="Q193" s="26">
        <f t="shared" ref="Q193:Q204" si="107">H193/V193</f>
        <v>9.5477045930741049</v>
      </c>
      <c r="R193" s="63">
        <v>1061.595624527826</v>
      </c>
      <c r="S193" s="63">
        <v>1061.595624527826</v>
      </c>
      <c r="T193" s="63">
        <v>21</v>
      </c>
      <c r="U193" s="63">
        <v>329609.00266468542</v>
      </c>
      <c r="V193" s="63">
        <v>327217.00266468542</v>
      </c>
    </row>
    <row r="194" spans="1:22" ht="15" customHeight="1">
      <c r="A194" s="75">
        <v>163</v>
      </c>
      <c r="B194" s="76" t="s">
        <v>197</v>
      </c>
      <c r="C194" s="77" t="s">
        <v>62</v>
      </c>
      <c r="D194" s="63">
        <v>61714239.890000001</v>
      </c>
      <c r="E194" s="63">
        <v>1200085.46</v>
      </c>
      <c r="F194" s="11">
        <v>0</v>
      </c>
      <c r="G194" s="63">
        <v>217803.38</v>
      </c>
      <c r="H194" s="63">
        <f t="shared" ref="H194:H204" si="108">(E194+F194)-G194</f>
        <v>982282.08</v>
      </c>
      <c r="I194" s="63">
        <v>131403237.90000001</v>
      </c>
      <c r="J194" s="14">
        <f t="shared" si="102"/>
        <v>2.4122257585859749E-3</v>
      </c>
      <c r="K194" s="63">
        <v>132258746.7</v>
      </c>
      <c r="L194" s="14">
        <f t="shared" si="103"/>
        <v>2.4312208697707194E-3</v>
      </c>
      <c r="M194" s="14">
        <f t="shared" si="101"/>
        <v>6.5105610308556711E-3</v>
      </c>
      <c r="N194" s="24">
        <f t="shared" si="104"/>
        <v>1.6467975497608432E-3</v>
      </c>
      <c r="O194" s="25">
        <f t="shared" si="105"/>
        <v>7.426972540637268E-3</v>
      </c>
      <c r="P194" s="26">
        <f t="shared" si="106"/>
        <v>1110.1865720377398</v>
      </c>
      <c r="Q194" s="26">
        <f t="shared" si="107"/>
        <v>8.245325185508511</v>
      </c>
      <c r="R194" s="63">
        <v>118.09</v>
      </c>
      <c r="S194" s="63">
        <v>118.09</v>
      </c>
      <c r="T194" s="63">
        <v>82</v>
      </c>
      <c r="U194" s="63">
        <v>1119870</v>
      </c>
      <c r="V194" s="63">
        <v>119132</v>
      </c>
    </row>
    <row r="195" spans="1:22" ht="15" customHeight="1">
      <c r="A195" s="75">
        <v>164</v>
      </c>
      <c r="B195" s="76" t="s">
        <v>198</v>
      </c>
      <c r="C195" s="77" t="s">
        <v>172</v>
      </c>
      <c r="D195" s="63">
        <v>32864956.600000001</v>
      </c>
      <c r="E195" s="63">
        <v>594241.06999999995</v>
      </c>
      <c r="F195" s="11">
        <v>0</v>
      </c>
      <c r="G195" s="63">
        <v>297693.15000000002</v>
      </c>
      <c r="H195" s="63">
        <f t="shared" si="108"/>
        <v>296547.91999999993</v>
      </c>
      <c r="I195" s="63">
        <v>62125663.43</v>
      </c>
      <c r="J195" s="14">
        <f t="shared" si="102"/>
        <v>1.1404675256871178E-3</v>
      </c>
      <c r="K195" s="63">
        <v>61183686.909999996</v>
      </c>
      <c r="L195" s="14">
        <f t="shared" si="103"/>
        <v>1.1246973089992964E-3</v>
      </c>
      <c r="M195" s="14">
        <f t="shared" si="101"/>
        <v>-1.516243800054343E-2</v>
      </c>
      <c r="N195" s="24">
        <f t="shared" si="104"/>
        <v>4.8655640912568868E-3</v>
      </c>
      <c r="O195" s="25">
        <f t="shared" si="105"/>
        <v>4.8468461934341438E-3</v>
      </c>
      <c r="P195" s="26">
        <f t="shared" si="106"/>
        <v>100.71090389091351</v>
      </c>
      <c r="Q195" s="26">
        <f t="shared" si="107"/>
        <v>0.48813026116098607</v>
      </c>
      <c r="R195" s="63">
        <v>100.71</v>
      </c>
      <c r="S195" s="63">
        <v>102.95</v>
      </c>
      <c r="T195" s="63">
        <v>17</v>
      </c>
      <c r="U195" s="63">
        <v>606157</v>
      </c>
      <c r="V195" s="63">
        <v>607518</v>
      </c>
    </row>
    <row r="196" spans="1:22" ht="15" customHeight="1">
      <c r="A196" s="75">
        <v>165</v>
      </c>
      <c r="B196" s="22" t="s">
        <v>264</v>
      </c>
      <c r="C196" s="66" t="s">
        <v>71</v>
      </c>
      <c r="D196" s="19">
        <v>116335897.62</v>
      </c>
      <c r="E196" s="35">
        <v>1414376.15</v>
      </c>
      <c r="F196" s="35">
        <v>0</v>
      </c>
      <c r="G196" s="11">
        <v>421044.42</v>
      </c>
      <c r="H196" s="13">
        <f t="shared" si="108"/>
        <v>993331.73</v>
      </c>
      <c r="I196" s="63">
        <v>103994080.45999999</v>
      </c>
      <c r="J196" s="14">
        <f t="shared" si="102"/>
        <v>1.9090640659629771E-3</v>
      </c>
      <c r="K196" s="20">
        <v>114060511.02</v>
      </c>
      <c r="L196" s="14">
        <f t="shared" si="103"/>
        <v>2.0966953167758781E-3</v>
      </c>
      <c r="M196" s="14">
        <f t="shared" si="101"/>
        <v>9.6798111156643454E-2</v>
      </c>
      <c r="N196" s="24">
        <f t="shared" si="104"/>
        <v>3.6914127092256472E-3</v>
      </c>
      <c r="O196" s="25">
        <f t="shared" si="105"/>
        <v>8.7088136035601647E-3</v>
      </c>
      <c r="P196" s="26">
        <f t="shared" si="106"/>
        <v>1.0001165034932022</v>
      </c>
      <c r="Q196" s="26">
        <f t="shared" si="107"/>
        <v>8.7098282107666257E-3</v>
      </c>
      <c r="R196" s="11">
        <v>1.0620000000000001</v>
      </c>
      <c r="S196" s="11">
        <v>1.0620000000000001</v>
      </c>
      <c r="T196" s="11">
        <v>26</v>
      </c>
      <c r="U196" s="11">
        <v>106621482.45</v>
      </c>
      <c r="V196" s="11">
        <v>114047224.12</v>
      </c>
    </row>
    <row r="197" spans="1:22" ht="15" customHeight="1">
      <c r="A197" s="75">
        <v>166</v>
      </c>
      <c r="B197" s="77" t="s">
        <v>199</v>
      </c>
      <c r="C197" s="77" t="s">
        <v>75</v>
      </c>
      <c r="D197" s="63">
        <v>5289242684.6000004</v>
      </c>
      <c r="E197" s="63">
        <v>148262376.37</v>
      </c>
      <c r="F197" s="11">
        <v>0</v>
      </c>
      <c r="G197" s="63">
        <v>7976851.5300000003</v>
      </c>
      <c r="H197" s="63">
        <f t="shared" si="108"/>
        <v>140285524.84</v>
      </c>
      <c r="I197" s="63">
        <v>7738767432.5600004</v>
      </c>
      <c r="J197" s="14">
        <f t="shared" si="102"/>
        <v>0.14206388243441817</v>
      </c>
      <c r="K197" s="63">
        <v>5210589319.9399996</v>
      </c>
      <c r="L197" s="14">
        <f t="shared" si="103"/>
        <v>9.5782651919251463E-2</v>
      </c>
      <c r="M197" s="14">
        <f t="shared" si="101"/>
        <v>-0.32669002326946456</v>
      </c>
      <c r="N197" s="24">
        <f t="shared" si="104"/>
        <v>1.5308923885968152E-3</v>
      </c>
      <c r="O197" s="25">
        <f t="shared" si="105"/>
        <v>2.6923159018338333E-2</v>
      </c>
      <c r="P197" s="26">
        <f t="shared" si="106"/>
        <v>147.6540292307177</v>
      </c>
      <c r="Q197" s="26">
        <f t="shared" si="107"/>
        <v>3.9753129086769889</v>
      </c>
      <c r="R197" s="63">
        <v>147.65</v>
      </c>
      <c r="S197" s="63">
        <v>147.65</v>
      </c>
      <c r="T197" s="63">
        <v>697</v>
      </c>
      <c r="U197" s="63">
        <v>53240781</v>
      </c>
      <c r="V197" s="63">
        <v>35289178</v>
      </c>
    </row>
    <row r="198" spans="1:22" ht="15" customHeight="1">
      <c r="A198" s="75">
        <v>167</v>
      </c>
      <c r="B198" s="77" t="s">
        <v>225</v>
      </c>
      <c r="C198" s="77" t="s">
        <v>60</v>
      </c>
      <c r="D198" s="63">
        <v>815593548.38999999</v>
      </c>
      <c r="E198" s="63">
        <v>7939779.6900000004</v>
      </c>
      <c r="F198" s="11">
        <v>0</v>
      </c>
      <c r="G198" s="63">
        <v>1374433.65</v>
      </c>
      <c r="H198" s="63">
        <f t="shared" si="108"/>
        <v>6565346.040000001</v>
      </c>
      <c r="I198" s="63">
        <v>557193049.51999998</v>
      </c>
      <c r="J198" s="14">
        <f t="shared" si="102"/>
        <v>1.022863247540428E-2</v>
      </c>
      <c r="K198" s="63">
        <v>810278468.36000001</v>
      </c>
      <c r="L198" s="14">
        <f t="shared" si="103"/>
        <v>1.4894787465899112E-2</v>
      </c>
      <c r="M198" s="14">
        <f t="shared" si="101"/>
        <v>0.45421496025125085</v>
      </c>
      <c r="N198" s="24">
        <f t="shared" si="104"/>
        <v>1.6962485166141061E-3</v>
      </c>
      <c r="O198" s="25">
        <f t="shared" si="105"/>
        <v>8.1025799109388057E-3</v>
      </c>
      <c r="P198" s="26">
        <f t="shared" si="106"/>
        <v>1218.2617223482048</v>
      </c>
      <c r="Q198" s="26">
        <f t="shared" si="107"/>
        <v>9.8710629577642734</v>
      </c>
      <c r="R198" s="63">
        <v>1218.26</v>
      </c>
      <c r="S198" s="63">
        <v>1218.26</v>
      </c>
      <c r="T198" s="63">
        <v>141</v>
      </c>
      <c r="U198" s="63">
        <v>462227.14</v>
      </c>
      <c r="V198" s="63">
        <v>665110.34</v>
      </c>
    </row>
    <row r="199" spans="1:22" ht="15" customHeight="1">
      <c r="A199" s="75">
        <v>168</v>
      </c>
      <c r="B199" s="76" t="s">
        <v>119</v>
      </c>
      <c r="C199" s="77" t="s">
        <v>120</v>
      </c>
      <c r="D199" s="63">
        <v>13070216921.41</v>
      </c>
      <c r="E199" s="63">
        <v>315662765.69</v>
      </c>
      <c r="F199" s="11">
        <v>-13000000</v>
      </c>
      <c r="G199" s="63">
        <v>41404179.759999998</v>
      </c>
      <c r="H199" s="63">
        <f t="shared" si="108"/>
        <v>261258585.93000001</v>
      </c>
      <c r="I199" s="63">
        <v>26974485281.93</v>
      </c>
      <c r="J199" s="14">
        <f t="shared" si="102"/>
        <v>0.49518222885183416</v>
      </c>
      <c r="K199" s="63">
        <v>28068648447.060001</v>
      </c>
      <c r="L199" s="14">
        <f t="shared" si="103"/>
        <v>0.51596650953860712</v>
      </c>
      <c r="M199" s="14">
        <f t="shared" si="101"/>
        <v>4.0562893181986776E-2</v>
      </c>
      <c r="N199" s="24">
        <f t="shared" si="104"/>
        <v>1.4751041482489622E-3</v>
      </c>
      <c r="O199" s="25">
        <f t="shared" si="105"/>
        <v>9.307843461816739E-3</v>
      </c>
      <c r="P199" s="26">
        <f t="shared" si="106"/>
        <v>1247.1082150935881</v>
      </c>
      <c r="Q199" s="26">
        <f t="shared" si="107"/>
        <v>11.607888046036797</v>
      </c>
      <c r="R199" s="63">
        <v>1247.1099999999999</v>
      </c>
      <c r="S199" s="63">
        <v>1247.1099999999999</v>
      </c>
      <c r="T199" s="63">
        <v>9774</v>
      </c>
      <c r="U199" s="63">
        <v>21834801.98</v>
      </c>
      <c r="V199" s="63">
        <v>22506987.050000001</v>
      </c>
    </row>
    <row r="200" spans="1:22" ht="15" customHeight="1">
      <c r="A200" s="75">
        <v>169</v>
      </c>
      <c r="B200" s="78" t="s">
        <v>222</v>
      </c>
      <c r="C200" s="78" t="s">
        <v>223</v>
      </c>
      <c r="D200" s="63">
        <v>466959252.16000003</v>
      </c>
      <c r="E200" s="63">
        <v>3511646.74</v>
      </c>
      <c r="F200" s="11">
        <v>2098927.6800000002</v>
      </c>
      <c r="G200" s="63">
        <v>740441.4</v>
      </c>
      <c r="H200" s="63">
        <f t="shared" si="108"/>
        <v>4870133.0199999996</v>
      </c>
      <c r="I200" s="63">
        <v>464668628.79000002</v>
      </c>
      <c r="J200" s="14">
        <f t="shared" si="102"/>
        <v>8.5301218865479912E-3</v>
      </c>
      <c r="K200" s="63">
        <v>479823442.83999997</v>
      </c>
      <c r="L200" s="14">
        <f t="shared" si="103"/>
        <v>8.8202617758349425E-3</v>
      </c>
      <c r="M200" s="14">
        <f t="shared" si="101"/>
        <v>3.2614239720600853E-2</v>
      </c>
      <c r="N200" s="24">
        <f t="shared" si="104"/>
        <v>1.5431538642994246E-3</v>
      </c>
      <c r="O200" s="25">
        <f t="shared" si="105"/>
        <v>1.0149843849175945E-2</v>
      </c>
      <c r="P200" s="26">
        <f t="shared" si="106"/>
        <v>122.16268378150649</v>
      </c>
      <c r="Q200" s="26">
        <f t="shared" si="107"/>
        <v>1.2399321645785497</v>
      </c>
      <c r="R200" s="63">
        <v>121.49</v>
      </c>
      <c r="S200" s="63">
        <v>122.52</v>
      </c>
      <c r="T200" s="63">
        <v>145</v>
      </c>
      <c r="U200" s="63">
        <v>3733763.29</v>
      </c>
      <c r="V200" s="63">
        <v>3927741.5</v>
      </c>
    </row>
    <row r="201" spans="1:22" ht="15" customHeight="1">
      <c r="A201" s="75">
        <v>170</v>
      </c>
      <c r="B201" s="78" t="s">
        <v>224</v>
      </c>
      <c r="C201" s="78" t="s">
        <v>223</v>
      </c>
      <c r="D201" s="63">
        <v>132016841.75</v>
      </c>
      <c r="E201" s="63">
        <v>1446022.54</v>
      </c>
      <c r="F201" s="11">
        <v>5016939.6500000004</v>
      </c>
      <c r="G201" s="63">
        <v>205322.13</v>
      </c>
      <c r="H201" s="63">
        <f t="shared" si="108"/>
        <v>6257640.0600000005</v>
      </c>
      <c r="I201" s="63">
        <v>123884041.3</v>
      </c>
      <c r="J201" s="14">
        <f t="shared" si="102"/>
        <v>2.2741926323688309E-3</v>
      </c>
      <c r="K201" s="63">
        <v>108641158.8</v>
      </c>
      <c r="L201" s="14">
        <f t="shared" si="103"/>
        <v>1.9970751211619855E-3</v>
      </c>
      <c r="M201" s="14">
        <f t="shared" si="101"/>
        <v>-0.12304153416409415</v>
      </c>
      <c r="N201" s="24">
        <f t="shared" si="104"/>
        <v>1.8899110822076393E-3</v>
      </c>
      <c r="O201" s="25">
        <f t="shared" si="105"/>
        <v>5.7599165262217367E-2</v>
      </c>
      <c r="P201" s="26">
        <f t="shared" si="106"/>
        <v>92.324519911456079</v>
      </c>
      <c r="Q201" s="26">
        <f t="shared" si="107"/>
        <v>5.3178152801348366</v>
      </c>
      <c r="R201" s="63">
        <v>115.99</v>
      </c>
      <c r="S201" s="63">
        <v>115.99</v>
      </c>
      <c r="T201" s="63">
        <v>72</v>
      </c>
      <c r="U201" s="63">
        <v>1084994.83</v>
      </c>
      <c r="V201" s="63">
        <v>1176731.3700000001</v>
      </c>
    </row>
    <row r="202" spans="1:22" ht="16.2" customHeight="1">
      <c r="A202" s="75">
        <v>171</v>
      </c>
      <c r="B202" s="77" t="s">
        <v>200</v>
      </c>
      <c r="C202" s="77" t="s">
        <v>146</v>
      </c>
      <c r="D202" s="63">
        <v>1013777091.13</v>
      </c>
      <c r="E202" s="63">
        <v>18810616.059999999</v>
      </c>
      <c r="F202" s="11">
        <v>0</v>
      </c>
      <c r="G202" s="63">
        <v>2849015.51</v>
      </c>
      <c r="H202" s="63">
        <f t="shared" si="108"/>
        <v>15961600.549999999</v>
      </c>
      <c r="I202" s="63">
        <v>1530007703.74</v>
      </c>
      <c r="J202" s="14">
        <f t="shared" si="102"/>
        <v>2.8087009519547058E-2</v>
      </c>
      <c r="K202" s="63">
        <v>1434550514.6500001</v>
      </c>
      <c r="L202" s="14">
        <f t="shared" si="103"/>
        <v>2.6370347799140353E-2</v>
      </c>
      <c r="M202" s="14">
        <f t="shared" si="101"/>
        <v>-6.2390005525241009E-2</v>
      </c>
      <c r="N202" s="24">
        <f t="shared" si="104"/>
        <v>1.9859987368204312E-3</v>
      </c>
      <c r="O202" s="25">
        <f t="shared" si="105"/>
        <v>1.1126551757498961E-2</v>
      </c>
      <c r="P202" s="26">
        <f t="shared" si="106"/>
        <v>105.23072663127557</v>
      </c>
      <c r="Q202" s="26">
        <f t="shared" si="107"/>
        <v>1.1708551263421121</v>
      </c>
      <c r="R202" s="63">
        <v>105.23</v>
      </c>
      <c r="S202" s="63">
        <v>105.23</v>
      </c>
      <c r="T202" s="63">
        <f>602+12+1</f>
        <v>615</v>
      </c>
      <c r="U202" s="63">
        <v>14696370</v>
      </c>
      <c r="V202" s="63">
        <v>13632430</v>
      </c>
    </row>
    <row r="203" spans="1:22">
      <c r="A203" s="75">
        <v>172</v>
      </c>
      <c r="B203" s="76" t="s">
        <v>201</v>
      </c>
      <c r="C203" s="76" t="s">
        <v>46</v>
      </c>
      <c r="D203" s="63">
        <v>5951388925.5900002</v>
      </c>
      <c r="E203" s="63">
        <v>55294769.880000003</v>
      </c>
      <c r="F203" s="11">
        <v>0</v>
      </c>
      <c r="G203" s="63">
        <v>10076496.57</v>
      </c>
      <c r="H203" s="63">
        <f t="shared" si="108"/>
        <v>45218273.310000002</v>
      </c>
      <c r="I203" s="63">
        <v>6405069056.6000004</v>
      </c>
      <c r="J203" s="14">
        <f t="shared" si="102"/>
        <v>0.11758060768343129</v>
      </c>
      <c r="K203" s="63">
        <v>6118836759.3900003</v>
      </c>
      <c r="L203" s="14">
        <f t="shared" si="103"/>
        <v>0.11247833507671676</v>
      </c>
      <c r="M203" s="14">
        <f t="shared" si="101"/>
        <v>-4.4688401433401657E-2</v>
      </c>
      <c r="N203" s="24">
        <f t="shared" si="104"/>
        <v>1.6467993780903787E-3</v>
      </c>
      <c r="O203" s="25">
        <f t="shared" si="105"/>
        <v>7.3900113842075938E-3</v>
      </c>
      <c r="P203" s="26">
        <f t="shared" si="106"/>
        <v>135.6813535563158</v>
      </c>
      <c r="Q203" s="26">
        <f t="shared" si="107"/>
        <v>1.0026867474058692</v>
      </c>
      <c r="R203" s="63">
        <v>135.68</v>
      </c>
      <c r="S203" s="63">
        <v>135.68</v>
      </c>
      <c r="T203" s="63">
        <v>1282</v>
      </c>
      <c r="U203" s="63">
        <v>47324343.490000002</v>
      </c>
      <c r="V203" s="63">
        <v>45097108.770000003</v>
      </c>
    </row>
    <row r="204" spans="1:22" ht="15" customHeight="1">
      <c r="A204" s="75">
        <v>173</v>
      </c>
      <c r="B204" s="77" t="s">
        <v>202</v>
      </c>
      <c r="C204" s="77" t="s">
        <v>50</v>
      </c>
      <c r="D204" s="63">
        <v>3087765582.6700001</v>
      </c>
      <c r="E204" s="63">
        <v>39375751.880000055</v>
      </c>
      <c r="F204" s="11">
        <v>0</v>
      </c>
      <c r="G204" s="63">
        <v>5601702.5499999998</v>
      </c>
      <c r="H204" s="63">
        <f t="shared" si="108"/>
        <v>33774049.330000058</v>
      </c>
      <c r="I204" s="63">
        <v>3865449288.6769176</v>
      </c>
      <c r="J204" s="14">
        <f t="shared" si="102"/>
        <v>7.0959715237384521E-2</v>
      </c>
      <c r="K204" s="63">
        <v>3901514892.0900002</v>
      </c>
      <c r="L204" s="14">
        <f t="shared" si="103"/>
        <v>7.1718844054118533E-2</v>
      </c>
      <c r="M204" s="14">
        <f t="shared" si="101"/>
        <v>9.3302487549713244E-3</v>
      </c>
      <c r="N204" s="24">
        <f t="shared" si="104"/>
        <v>1.4357762830425151E-3</v>
      </c>
      <c r="O204" s="25">
        <f t="shared" si="105"/>
        <v>8.6566501126201408E-3</v>
      </c>
      <c r="P204" s="26">
        <f t="shared" si="106"/>
        <v>1.2355615770085784</v>
      </c>
      <c r="Q204" s="26">
        <f t="shared" si="107"/>
        <v>1.069582426476043E-2</v>
      </c>
      <c r="R204" s="63">
        <v>1.24</v>
      </c>
      <c r="S204" s="63">
        <v>1.24</v>
      </c>
      <c r="T204" s="63">
        <v>292</v>
      </c>
      <c r="U204" s="63">
        <v>3160882340.8800006</v>
      </c>
      <c r="V204" s="63">
        <v>3157685512.9600005</v>
      </c>
    </row>
    <row r="205" spans="1:22" ht="4.8" customHeight="1">
      <c r="A205" s="65"/>
      <c r="B205" s="22"/>
      <c r="C205" s="22"/>
      <c r="D205" s="12"/>
      <c r="E205" s="12"/>
      <c r="F205" s="12"/>
      <c r="G205" s="38"/>
      <c r="H205" s="13"/>
      <c r="I205" s="27"/>
      <c r="J205" s="14"/>
      <c r="K205" s="39"/>
      <c r="L205" s="14"/>
      <c r="M205" s="14"/>
      <c r="N205" s="24"/>
      <c r="O205" s="25"/>
      <c r="P205" s="26"/>
      <c r="Q205" s="26"/>
      <c r="R205" s="13"/>
      <c r="S205" s="13"/>
      <c r="T205" s="49"/>
      <c r="U205" s="38"/>
      <c r="V205" s="49"/>
    </row>
    <row r="206" spans="1:22" ht="15" customHeight="1">
      <c r="A206" s="105" t="s">
        <v>220</v>
      </c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</row>
    <row r="207" spans="1:22" ht="15" customHeight="1">
      <c r="A207" s="65">
        <v>174</v>
      </c>
      <c r="B207" s="66" t="s">
        <v>221</v>
      </c>
      <c r="C207" s="22" t="s">
        <v>120</v>
      </c>
      <c r="D207" s="19">
        <v>2465458.29</v>
      </c>
      <c r="E207" s="19">
        <v>4199613.8</v>
      </c>
      <c r="F207" s="19">
        <v>-3224000</v>
      </c>
      <c r="G207" s="11">
        <v>462835.52</v>
      </c>
      <c r="H207" s="13">
        <f>(E207+F207)-G207</f>
        <v>512778.2799999998</v>
      </c>
      <c r="I207" s="20">
        <v>228914327.13</v>
      </c>
      <c r="J207" s="14">
        <f t="shared" ref="J207" si="109">(I207/$I$208)</f>
        <v>4.2022787660117638E-3</v>
      </c>
      <c r="K207" s="20">
        <v>195505772.50999999</v>
      </c>
      <c r="L207" s="14">
        <f t="shared" ref="L207" si="110">(K207/$K$208)</f>
        <v>3.5938471076329848E-3</v>
      </c>
      <c r="M207" s="14">
        <f>((K207-I207)/I207)</f>
        <v>-0.14594348479126582</v>
      </c>
      <c r="N207" s="24">
        <f t="shared" ref="N207" si="111">(G207/K207)</f>
        <v>2.3673752138255984E-3</v>
      </c>
      <c r="O207" s="25">
        <f t="shared" ref="O207" si="112">H207/K207</f>
        <v>2.6228293590347647E-3</v>
      </c>
      <c r="P207" s="26">
        <f t="shared" ref="P207" si="113">K207/V207</f>
        <v>1040.8962310340198</v>
      </c>
      <c r="Q207" s="26">
        <f t="shared" ref="Q207" si="114">H207/V207</f>
        <v>2.7300931944646605</v>
      </c>
      <c r="R207" s="13">
        <v>1040.9000000000001</v>
      </c>
      <c r="S207" s="13">
        <v>1040.9000000000001</v>
      </c>
      <c r="T207" s="11">
        <v>28</v>
      </c>
      <c r="U207" s="11">
        <v>186828.24</v>
      </c>
      <c r="V207" s="11">
        <v>187824.46</v>
      </c>
    </row>
    <row r="208" spans="1:22" ht="15" customHeight="1">
      <c r="A208" s="99" t="s">
        <v>51</v>
      </c>
      <c r="B208" s="99"/>
      <c r="C208" s="99"/>
      <c r="D208" s="99"/>
      <c r="E208" s="99"/>
      <c r="F208" s="99"/>
      <c r="G208" s="99"/>
      <c r="H208" s="99"/>
      <c r="I208" s="44">
        <f>SUM(I188:I207)</f>
        <v>54473855704.545418</v>
      </c>
      <c r="J208" s="42">
        <f>(I208/$I$209)</f>
        <v>1.3342323977360813E-2</v>
      </c>
      <c r="K208" s="44">
        <f>SUM(K188:K207)</f>
        <v>54400136303.729942</v>
      </c>
      <c r="L208" s="42">
        <f>(K208/$K$209)</f>
        <v>1.2436614281471503E-2</v>
      </c>
      <c r="M208" s="42">
        <f t="shared" ref="M208" si="115">((K208-I208)/I208)</f>
        <v>-1.3532987496848723E-3</v>
      </c>
      <c r="N208" s="24"/>
      <c r="O208" s="24"/>
      <c r="P208" s="43"/>
      <c r="Q208" s="43"/>
      <c r="R208" s="44"/>
      <c r="S208" s="44"/>
      <c r="T208" s="44">
        <f>SUM(T188:T204)</f>
        <v>29553</v>
      </c>
      <c r="U208" s="44"/>
      <c r="V208" s="44"/>
    </row>
    <row r="209" spans="1:22" ht="15" customHeight="1">
      <c r="A209" s="100" t="s">
        <v>203</v>
      </c>
      <c r="B209" s="100"/>
      <c r="C209" s="100"/>
      <c r="D209" s="100"/>
      <c r="E209" s="100"/>
      <c r="F209" s="100"/>
      <c r="G209" s="100"/>
      <c r="H209" s="100"/>
      <c r="I209" s="58">
        <f>SUM(I24,I65,I104,I140,I148,I178,I184,I208)</f>
        <v>4082786162064.1484</v>
      </c>
      <c r="J209" s="59"/>
      <c r="K209" s="58">
        <f>SUM(K24,K65,K104,K140,K148,K178,K184,K208)</f>
        <v>4374191807554.6606</v>
      </c>
      <c r="L209" s="50"/>
      <c r="M209" s="50"/>
      <c r="N209" s="51"/>
      <c r="O209" s="51"/>
      <c r="P209" s="52"/>
      <c r="Q209" s="52"/>
      <c r="R209" s="53"/>
      <c r="S209" s="53"/>
      <c r="T209" s="58">
        <f>SUM(T24,T65,T104,T140,T148,T178,T184,T208)</f>
        <v>807619</v>
      </c>
      <c r="U209" s="53"/>
      <c r="V209" s="53"/>
    </row>
    <row r="210" spans="1:22" ht="5.0999999999999996" customHeight="1">
      <c r="A210" s="7"/>
      <c r="B210" s="16"/>
      <c r="C210" s="16"/>
      <c r="D210" s="6"/>
      <c r="E210" s="6"/>
      <c r="F210" s="6"/>
      <c r="G210" s="6"/>
      <c r="H210" s="8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>
      <c r="A211" s="15" t="s">
        <v>204</v>
      </c>
      <c r="B211" s="54" t="s">
        <v>269</v>
      </c>
      <c r="C211" s="18"/>
      <c r="D211" s="6"/>
      <c r="E211" s="6"/>
      <c r="F211" s="6"/>
      <c r="G211" s="6"/>
      <c r="H211" s="8"/>
      <c r="I211" s="9"/>
      <c r="J211" s="6"/>
      <c r="K211" s="9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10"/>
    </row>
  </sheetData>
  <sheetProtection algorithmName="SHA-512" hashValue="AsZFWc7srB0903neFEJk5d2J/af9diKLfnTbilGhwNCcbh0ZiSNUsAzZ0oFLElB+/ZAE+pYd+Swo+tLeY8lrcA==" saltValue="7llC0juzKftQFtZjkPR1AA==" spinCount="100000" sheet="1" objects="1" scenarios="1"/>
  <mergeCells count="33">
    <mergeCell ref="A1:V1"/>
    <mergeCell ref="A3:V3"/>
    <mergeCell ref="A4:V4"/>
    <mergeCell ref="A24:H24"/>
    <mergeCell ref="A25:V25"/>
    <mergeCell ref="A26:V26"/>
    <mergeCell ref="A65:H65"/>
    <mergeCell ref="A66:V66"/>
    <mergeCell ref="A67:V67"/>
    <mergeCell ref="A104:H104"/>
    <mergeCell ref="A105:V105"/>
    <mergeCell ref="A106:V106"/>
    <mergeCell ref="A107:V107"/>
    <mergeCell ref="A125:V125"/>
    <mergeCell ref="A126:V126"/>
    <mergeCell ref="A140:H140"/>
    <mergeCell ref="A141:V141"/>
    <mergeCell ref="A142:V142"/>
    <mergeCell ref="A148:H148"/>
    <mergeCell ref="A149:V149"/>
    <mergeCell ref="A150:V150"/>
    <mergeCell ref="A178:H178"/>
    <mergeCell ref="A179:V179"/>
    <mergeCell ref="A180:V180"/>
    <mergeCell ref="A184:H184"/>
    <mergeCell ref="A208:H208"/>
    <mergeCell ref="A209:H209"/>
    <mergeCell ref="A185:V185"/>
    <mergeCell ref="A186:V186"/>
    <mergeCell ref="A187:V187"/>
    <mergeCell ref="A190:V190"/>
    <mergeCell ref="A191:V191"/>
    <mergeCell ref="A206:V206"/>
  </mergeCells>
  <pageMargins left="0.7" right="0.7" top="0.75" bottom="0.75" header="0.3" footer="0.3"/>
  <pageSetup scale="83" orientation="portrait" r:id="rId1"/>
  <colBreaks count="1" manualBreakCount="1">
    <brk id="3" max="1048575" man="1"/>
  </colBreaks>
  <ignoredErrors>
    <ignoredError sqref="J24 J65 J104 J140 J148 J178 J184 J20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J8" sqref="J8"/>
    </sheetView>
  </sheetViews>
  <sheetFormatPr defaultColWidth="9" defaultRowHeight="14.4"/>
  <cols>
    <col min="1" max="1" width="34" customWidth="1"/>
    <col min="2" max="2" width="11.6640625" customWidth="1"/>
    <col min="3" max="3" width="11.5546875" customWidth="1"/>
  </cols>
  <sheetData>
    <row r="1" spans="1:6">
      <c r="A1" s="2"/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79"/>
      <c r="B3" s="79"/>
      <c r="C3" s="79"/>
      <c r="D3" s="79"/>
      <c r="E3" s="2"/>
      <c r="F3" s="2"/>
    </row>
    <row r="4" spans="1:6" ht="33" customHeight="1">
      <c r="A4" s="114" t="s">
        <v>205</v>
      </c>
      <c r="B4" s="115" t="s">
        <v>284</v>
      </c>
      <c r="C4" s="115" t="s">
        <v>283</v>
      </c>
      <c r="D4" s="116"/>
      <c r="E4" s="64"/>
      <c r="F4" s="64"/>
    </row>
    <row r="5" spans="1:6" ht="18.899999999999999" customHeight="1">
      <c r="A5" s="117" t="s">
        <v>20</v>
      </c>
      <c r="B5" s="118">
        <v>36.033458642393697</v>
      </c>
      <c r="C5" s="118">
        <f>February!K24/1000000000</f>
        <v>38.254232063824439</v>
      </c>
      <c r="D5" s="116"/>
      <c r="E5" s="64"/>
      <c r="F5" s="64"/>
    </row>
    <row r="6" spans="1:6">
      <c r="A6" s="114" t="s">
        <v>52</v>
      </c>
      <c r="B6" s="118">
        <v>1914.5786195926196</v>
      </c>
      <c r="C6" s="118">
        <f>February!K65/1000000000</f>
        <v>2137.5508517731296</v>
      </c>
      <c r="D6" s="116"/>
      <c r="E6" s="64"/>
      <c r="F6" s="64"/>
    </row>
    <row r="7" spans="1:6">
      <c r="A7" s="114" t="s">
        <v>206</v>
      </c>
      <c r="B7" s="118">
        <v>190.81975741566711</v>
      </c>
      <c r="C7" s="118">
        <f>February!K104/1000000000</f>
        <v>191.04383083871033</v>
      </c>
      <c r="D7" s="116"/>
      <c r="E7" s="64"/>
      <c r="F7" s="64"/>
    </row>
    <row r="8" spans="1:6">
      <c r="A8" s="114" t="s">
        <v>207</v>
      </c>
      <c r="B8" s="118">
        <v>1724.1396101226467</v>
      </c>
      <c r="C8" s="118">
        <f>February!K140/1000000000</f>
        <v>1787.1244946161137</v>
      </c>
      <c r="D8" s="116"/>
      <c r="E8" s="64"/>
      <c r="F8" s="64"/>
    </row>
    <row r="9" spans="1:6">
      <c r="A9" s="114" t="s">
        <v>208</v>
      </c>
      <c r="B9" s="118">
        <v>100.81898307284</v>
      </c>
      <c r="C9" s="118">
        <f>February!K148/1000000000</f>
        <v>101.14279538354</v>
      </c>
      <c r="D9" s="116"/>
      <c r="E9" s="64"/>
      <c r="F9" s="64"/>
    </row>
    <row r="10" spans="1:6">
      <c r="A10" s="114" t="s">
        <v>163</v>
      </c>
      <c r="B10" s="118">
        <v>55.822649090856117</v>
      </c>
      <c r="C10" s="118">
        <f>February!K178/1000000000</f>
        <v>57.960605376102954</v>
      </c>
      <c r="D10" s="116"/>
      <c r="E10" s="64"/>
      <c r="F10" s="64"/>
    </row>
    <row r="11" spans="1:6">
      <c r="A11" s="114" t="s">
        <v>187</v>
      </c>
      <c r="B11" s="118">
        <v>6.0992284225799995</v>
      </c>
      <c r="C11" s="118">
        <f>February!K184/1000000000</f>
        <v>6.7148611995100005</v>
      </c>
      <c r="D11" s="116"/>
      <c r="E11" s="64"/>
      <c r="F11" s="64"/>
    </row>
    <row r="12" spans="1:6">
      <c r="A12" s="114" t="s">
        <v>209</v>
      </c>
      <c r="B12" s="118">
        <v>54.473855704545414</v>
      </c>
      <c r="C12" s="118">
        <f>February!K208/1000000000</f>
        <v>54.400136303729944</v>
      </c>
      <c r="D12" s="116"/>
      <c r="E12" s="64"/>
      <c r="F12" s="64"/>
    </row>
    <row r="13" spans="1:6">
      <c r="A13" s="116"/>
      <c r="B13" s="116"/>
      <c r="C13" s="116"/>
      <c r="D13" s="116"/>
      <c r="E13" s="64"/>
      <c r="F13" s="64"/>
    </row>
    <row r="14" spans="1:6">
      <c r="A14" s="116"/>
      <c r="B14" s="116"/>
      <c r="C14" s="116"/>
      <c r="D14" s="116"/>
      <c r="E14" s="64"/>
      <c r="F14" s="64"/>
    </row>
    <row r="15" spans="1:6">
      <c r="A15" s="116"/>
      <c r="B15" s="116"/>
      <c r="C15" s="116"/>
      <c r="D15" s="116"/>
      <c r="E15" s="64"/>
      <c r="F15" s="64"/>
    </row>
    <row r="16" spans="1:6">
      <c r="A16" s="116"/>
      <c r="B16" s="119"/>
      <c r="C16" s="116"/>
      <c r="D16" s="116"/>
      <c r="E16" s="64"/>
      <c r="F16" s="64"/>
    </row>
    <row r="17" spans="1:6">
      <c r="A17" s="120"/>
      <c r="B17" s="121"/>
      <c r="C17" s="122"/>
      <c r="D17" s="116"/>
      <c r="E17" s="64"/>
      <c r="F17" s="64"/>
    </row>
    <row r="18" spans="1:6" ht="15.6">
      <c r="A18" s="123"/>
      <c r="B18" s="98"/>
      <c r="C18" s="124"/>
      <c r="D18" s="64"/>
      <c r="E18" s="64"/>
      <c r="F18" s="64"/>
    </row>
    <row r="19" spans="1:6">
      <c r="A19" s="96"/>
      <c r="B19" s="125"/>
      <c r="C19" s="126"/>
      <c r="D19" s="64"/>
      <c r="E19" s="64"/>
      <c r="F19" s="64"/>
    </row>
    <row r="20" spans="1:6">
      <c r="A20" s="96"/>
      <c r="B20" s="98"/>
      <c r="C20" s="124"/>
      <c r="D20" s="64"/>
      <c r="E20" s="64"/>
      <c r="F20" s="64"/>
    </row>
    <row r="21" spans="1:6">
      <c r="A21" s="96"/>
      <c r="B21" s="125"/>
      <c r="C21" s="126"/>
      <c r="D21" s="64"/>
      <c r="E21" s="64"/>
      <c r="F21" s="64"/>
    </row>
    <row r="22" spans="1:6">
      <c r="A22" s="96"/>
      <c r="B22" s="127"/>
      <c r="C22" s="128"/>
      <c r="D22" s="64"/>
      <c r="E22" s="64"/>
      <c r="F22" s="64"/>
    </row>
    <row r="23" spans="1:6">
      <c r="A23" s="96"/>
      <c r="B23" s="125"/>
      <c r="C23" s="126"/>
      <c r="D23" s="64"/>
      <c r="E23" s="64"/>
      <c r="F23" s="64"/>
    </row>
    <row r="24" spans="1:6">
      <c r="A24" s="96"/>
      <c r="B24" s="125"/>
      <c r="C24" s="129"/>
      <c r="D24" s="64"/>
      <c r="E24" s="64"/>
      <c r="F24" s="64"/>
    </row>
    <row r="25" spans="1:6">
      <c r="A25" s="61"/>
      <c r="B25" s="60"/>
      <c r="C25" s="60"/>
      <c r="D25" s="2"/>
      <c r="E25" s="2"/>
      <c r="F25" s="2"/>
    </row>
    <row r="26" spans="1:6">
      <c r="A26" s="61"/>
      <c r="B26" s="60"/>
      <c r="C26" s="60"/>
      <c r="D26" s="2"/>
      <c r="E26" s="2"/>
      <c r="F26" s="2"/>
    </row>
    <row r="27" spans="1:6">
      <c r="A27" s="2"/>
      <c r="B27" s="2"/>
      <c r="C27" s="2"/>
      <c r="D27" s="2"/>
      <c r="E27" s="2"/>
    </row>
    <row r="28" spans="1:6">
      <c r="A28" s="2"/>
      <c r="B28" s="2"/>
      <c r="C28" s="2"/>
      <c r="D28" s="2"/>
      <c r="E28" s="2"/>
    </row>
  </sheetData>
  <sheetProtection algorithmName="SHA-512" hashValue="UjL61aRSOZqo5yHP5O112KPBtUcthmtREldHXtqYXqRZUJ0SlyLf0gczYs/nYMZMm+AkwSAe7M9lx8hI1Hn7Rw==" saltValue="Os88n9+jo5LyoMJPVE/dI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L13" sqref="L13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6">
      <c r="A1" s="84" t="s">
        <v>205</v>
      </c>
      <c r="B1" s="85" t="s">
        <v>283</v>
      </c>
      <c r="C1" s="64"/>
      <c r="D1" s="64"/>
      <c r="E1" s="2"/>
      <c r="F1" s="2"/>
    </row>
    <row r="2" spans="1:6">
      <c r="A2" s="84" t="s">
        <v>187</v>
      </c>
      <c r="B2" s="86">
        <f>February!K184</f>
        <v>6714861199.5100002</v>
      </c>
      <c r="C2" s="64"/>
      <c r="D2" s="64"/>
      <c r="E2" s="2"/>
      <c r="F2" s="2"/>
    </row>
    <row r="3" spans="1:6">
      <c r="A3" s="84" t="s">
        <v>20</v>
      </c>
      <c r="B3" s="87">
        <f>February!K24</f>
        <v>38254232063.82444</v>
      </c>
      <c r="C3" s="64"/>
      <c r="D3" s="64"/>
      <c r="E3" s="2"/>
      <c r="F3" s="2"/>
    </row>
    <row r="4" spans="1:6">
      <c r="A4" s="84" t="s">
        <v>209</v>
      </c>
      <c r="B4" s="88">
        <f>February!K208</f>
        <v>54400136303.729942</v>
      </c>
      <c r="C4" s="64"/>
      <c r="D4" s="64"/>
      <c r="E4" s="2"/>
      <c r="F4" s="2"/>
    </row>
    <row r="5" spans="1:6">
      <c r="A5" s="84" t="s">
        <v>163</v>
      </c>
      <c r="B5" s="88">
        <f>February!K178</f>
        <v>57960605376.102951</v>
      </c>
      <c r="C5" s="64"/>
      <c r="D5" s="64"/>
      <c r="E5" s="2"/>
      <c r="F5" s="2"/>
    </row>
    <row r="6" spans="1:6">
      <c r="A6" s="84" t="s">
        <v>208</v>
      </c>
      <c r="B6" s="89">
        <f>February!K148</f>
        <v>101142795383.54001</v>
      </c>
      <c r="C6" s="64"/>
      <c r="D6" s="64"/>
      <c r="E6" s="2"/>
      <c r="F6" s="2"/>
    </row>
    <row r="7" spans="1:6">
      <c r="A7" s="84" t="s">
        <v>206</v>
      </c>
      <c r="B7" s="89">
        <f>February!K104</f>
        <v>191043830838.71033</v>
      </c>
      <c r="C7" s="64"/>
      <c r="D7" s="64"/>
      <c r="E7" s="2"/>
      <c r="F7" s="2"/>
    </row>
    <row r="8" spans="1:6">
      <c r="A8" s="84" t="s">
        <v>207</v>
      </c>
      <c r="B8" s="88">
        <f>February!K140</f>
        <v>1787124494616.1138</v>
      </c>
      <c r="C8" s="64"/>
      <c r="D8" s="64"/>
      <c r="E8" s="2"/>
      <c r="F8" s="2"/>
    </row>
    <row r="9" spans="1:6">
      <c r="A9" s="84" t="s">
        <v>52</v>
      </c>
      <c r="B9" s="88">
        <f>February!K65</f>
        <v>2137550851773.1294</v>
      </c>
      <c r="C9" s="64"/>
      <c r="D9" s="64"/>
      <c r="E9" s="2"/>
      <c r="F9" s="2"/>
    </row>
    <row r="10" spans="1:6">
      <c r="A10" s="64"/>
      <c r="B10" s="64"/>
      <c r="C10" s="64"/>
      <c r="D10" s="64"/>
      <c r="E10" s="2"/>
      <c r="F10" s="2"/>
    </row>
    <row r="11" spans="1:6">
      <c r="A11" s="82"/>
      <c r="B11" s="64"/>
      <c r="C11" s="64"/>
      <c r="D11" s="64"/>
      <c r="E11" s="2"/>
      <c r="F11" s="2"/>
    </row>
    <row r="12" spans="1:6">
      <c r="A12" s="90"/>
      <c r="B12" s="64"/>
      <c r="C12" s="64"/>
      <c r="D12" s="64"/>
      <c r="E12" s="2"/>
      <c r="F12" s="2"/>
    </row>
    <row r="13" spans="1:6" ht="15" customHeight="1">
      <c r="A13" s="64"/>
      <c r="B13" s="91"/>
      <c r="C13" s="64"/>
      <c r="D13" s="64"/>
      <c r="E13" s="2"/>
      <c r="F13" s="2"/>
    </row>
    <row r="14" spans="1:6">
      <c r="A14" s="92"/>
      <c r="B14" s="91"/>
      <c r="C14" s="64"/>
      <c r="D14" s="64"/>
      <c r="E14" s="2"/>
      <c r="F14" s="2"/>
    </row>
    <row r="15" spans="1:6">
      <c r="A15" s="92"/>
      <c r="B15" s="91"/>
      <c r="C15" s="64"/>
      <c r="D15" s="64"/>
      <c r="E15" s="2"/>
      <c r="F15" s="2"/>
    </row>
    <row r="16" spans="1:6">
      <c r="A16" s="93"/>
      <c r="B16" s="91"/>
      <c r="C16" s="64"/>
      <c r="D16" s="64"/>
      <c r="E16" s="2"/>
      <c r="F16" s="2"/>
    </row>
    <row r="17" spans="1:17">
      <c r="A17" s="93"/>
      <c r="B17" s="91"/>
      <c r="C17" s="64"/>
      <c r="D17" s="64"/>
      <c r="E17" s="2"/>
      <c r="F17" s="2"/>
    </row>
    <row r="18" spans="1:17">
      <c r="A18" s="92"/>
      <c r="B18" s="91"/>
      <c r="C18" s="64"/>
      <c r="D18" s="64"/>
      <c r="E18" s="2"/>
      <c r="F18" s="2"/>
    </row>
    <row r="19" spans="1:17">
      <c r="A19" s="94"/>
      <c r="B19" s="91"/>
      <c r="C19" s="64"/>
      <c r="D19" s="64"/>
      <c r="E19" s="2"/>
      <c r="F19" s="2"/>
    </row>
    <row r="20" spans="1:17">
      <c r="A20" s="95"/>
      <c r="B20" s="91"/>
      <c r="C20" s="64"/>
      <c r="D20" s="64"/>
      <c r="E20" s="2"/>
      <c r="F20" s="2"/>
    </row>
    <row r="21" spans="1:17">
      <c r="A21" s="96"/>
      <c r="B21" s="97"/>
      <c r="C21" s="64"/>
      <c r="D21" s="64"/>
      <c r="E21" s="2"/>
      <c r="F21" s="2"/>
    </row>
    <row r="22" spans="1:17">
      <c r="A22" s="64"/>
      <c r="B22" s="98"/>
      <c r="C22" s="64"/>
      <c r="D22" s="64"/>
      <c r="E22" s="2"/>
      <c r="F22" s="2"/>
    </row>
    <row r="23" spans="1:17">
      <c r="A23" s="64"/>
      <c r="B23" s="64"/>
      <c r="C23" s="64"/>
      <c r="D23" s="64"/>
      <c r="E23" s="2"/>
      <c r="F23" s="2"/>
    </row>
    <row r="24" spans="1:17">
      <c r="A24" s="64"/>
      <c r="B24" s="64"/>
      <c r="C24" s="64"/>
      <c r="D24" s="64"/>
      <c r="E24" s="2"/>
      <c r="F24" s="2"/>
    </row>
    <row r="25" spans="1:17">
      <c r="A25" s="64"/>
      <c r="B25" s="64"/>
      <c r="C25" s="64"/>
      <c r="D25" s="64"/>
      <c r="E25" s="2"/>
      <c r="F25" s="2"/>
    </row>
    <row r="26" spans="1:17">
      <c r="A26" s="2"/>
      <c r="B26" s="2"/>
      <c r="C26" s="2"/>
      <c r="D26" s="2"/>
      <c r="E26" s="2"/>
      <c r="F26" s="2"/>
    </row>
    <row r="27" spans="1:17">
      <c r="A27" s="2"/>
      <c r="B27" s="2"/>
      <c r="C27" s="2"/>
      <c r="D27" s="2"/>
      <c r="E27" s="2"/>
      <c r="F27" s="2"/>
    </row>
    <row r="28" spans="1:17">
      <c r="A28" s="2"/>
      <c r="B28" s="2"/>
      <c r="C28" s="2"/>
      <c r="D28" s="2"/>
      <c r="E28" s="2"/>
      <c r="F28" s="2"/>
    </row>
    <row r="29" spans="1:17">
      <c r="A29" s="113"/>
      <c r="B29" s="113"/>
      <c r="C29" s="113"/>
      <c r="D29" s="113"/>
      <c r="E29" s="113"/>
    </row>
    <row r="32" spans="1:17" ht="15.9" customHeight="1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"/>
    </row>
    <row r="33" spans="1:17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"/>
    </row>
  </sheetData>
  <sheetProtection algorithmName="SHA-512" hashValue="lSrJApYME9nk5UjJmOFK586PxKHoUQ4dlCBh0y8Yx7e8ZCUJZ9udE/xQCa2aZC/DUB7v3JTsns40T9rO3Hv2SA==" saltValue="WTmKKkXwJkAQ2aKzxvj3Mw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8" sqref="E8"/>
    </sheetView>
  </sheetViews>
  <sheetFormatPr defaultColWidth="9" defaultRowHeight="14.4"/>
  <cols>
    <col min="1" max="1" width="34.6640625" customWidth="1"/>
    <col min="2" max="2" width="15" customWidth="1"/>
  </cols>
  <sheetData>
    <row r="1" spans="1:5">
      <c r="A1" s="113"/>
      <c r="B1" s="113"/>
      <c r="C1" s="113"/>
      <c r="D1" s="113"/>
      <c r="E1" s="113"/>
    </row>
    <row r="2" spans="1:5">
      <c r="A2" s="2"/>
      <c r="B2" s="2"/>
      <c r="C2" s="2"/>
      <c r="D2" s="2"/>
      <c r="E2" s="113"/>
    </row>
    <row r="3" spans="1:5">
      <c r="A3" s="2"/>
      <c r="B3" s="2"/>
      <c r="C3" s="2"/>
      <c r="D3" s="2"/>
      <c r="E3" s="113"/>
    </row>
    <row r="4" spans="1:5">
      <c r="A4" s="64"/>
      <c r="B4" s="64"/>
      <c r="C4" s="64"/>
      <c r="D4" s="2"/>
      <c r="E4" s="113"/>
    </row>
    <row r="5" spans="1:5" ht="15.6">
      <c r="A5" s="80" t="s">
        <v>205</v>
      </c>
      <c r="B5" s="81" t="s">
        <v>210</v>
      </c>
      <c r="C5" s="64"/>
      <c r="D5" s="2"/>
      <c r="E5" s="113"/>
    </row>
    <row r="6" spans="1:5">
      <c r="A6" s="82" t="s">
        <v>20</v>
      </c>
      <c r="B6" s="83">
        <f>February!T24</f>
        <v>50395</v>
      </c>
      <c r="C6" s="64"/>
      <c r="D6" s="2"/>
      <c r="E6" s="113"/>
    </row>
    <row r="7" spans="1:5">
      <c r="A7" s="82" t="s">
        <v>52</v>
      </c>
      <c r="B7" s="83">
        <f>February!T65</f>
        <v>364342</v>
      </c>
      <c r="C7" s="64"/>
      <c r="D7" s="2"/>
      <c r="E7" s="113"/>
    </row>
    <row r="8" spans="1:5">
      <c r="A8" s="82" t="s">
        <v>206</v>
      </c>
      <c r="B8" s="83">
        <f>February!T104</f>
        <v>44273</v>
      </c>
      <c r="C8" s="64"/>
      <c r="D8" s="2"/>
      <c r="E8" s="113"/>
    </row>
    <row r="9" spans="1:5">
      <c r="A9" s="82" t="s">
        <v>207</v>
      </c>
      <c r="B9" s="83">
        <f>February!T140</f>
        <v>20239</v>
      </c>
      <c r="C9" s="64"/>
      <c r="D9" s="2"/>
      <c r="E9" s="113"/>
    </row>
    <row r="10" spans="1:5">
      <c r="A10" s="82" t="s">
        <v>208</v>
      </c>
      <c r="B10" s="83">
        <f>February!T148</f>
        <v>217093</v>
      </c>
      <c r="C10" s="64"/>
      <c r="D10" s="2"/>
      <c r="E10" s="113"/>
    </row>
    <row r="11" spans="1:5">
      <c r="A11" s="82" t="s">
        <v>163</v>
      </c>
      <c r="B11" s="83">
        <f>February!T178</f>
        <v>68249</v>
      </c>
      <c r="C11" s="64"/>
      <c r="D11" s="2"/>
      <c r="E11" s="113"/>
    </row>
    <row r="12" spans="1:5">
      <c r="A12" s="82" t="s">
        <v>187</v>
      </c>
      <c r="B12" s="83">
        <f>February!T184</f>
        <v>13475</v>
      </c>
      <c r="C12" s="64"/>
      <c r="D12" s="2"/>
      <c r="E12" s="113"/>
    </row>
    <row r="13" spans="1:5">
      <c r="A13" s="82" t="s">
        <v>209</v>
      </c>
      <c r="B13" s="83">
        <f>February!T208</f>
        <v>29553</v>
      </c>
      <c r="C13" s="64"/>
      <c r="D13" s="2"/>
      <c r="E13" s="113"/>
    </row>
    <row r="14" spans="1:5">
      <c r="A14" s="64"/>
      <c r="B14" s="64"/>
      <c r="C14" s="64"/>
      <c r="D14" s="2"/>
      <c r="E14" s="113"/>
    </row>
    <row r="15" spans="1:5">
      <c r="A15" s="64"/>
      <c r="B15" s="64"/>
      <c r="C15" s="64"/>
      <c r="D15" s="2"/>
      <c r="E15" s="113"/>
    </row>
    <row r="16" spans="1:5">
      <c r="A16" s="64"/>
      <c r="B16" s="64"/>
      <c r="C16" s="64"/>
      <c r="D16" s="2"/>
      <c r="E16" s="113"/>
    </row>
    <row r="17" spans="1:5">
      <c r="A17" s="64"/>
      <c r="B17" s="64"/>
      <c r="C17" s="64"/>
      <c r="D17" s="2"/>
      <c r="E17" s="113"/>
    </row>
    <row r="18" spans="1:5">
      <c r="A18" s="2"/>
      <c r="B18" s="2"/>
      <c r="C18" s="2"/>
      <c r="D18" s="2"/>
      <c r="E18" s="113"/>
    </row>
    <row r="19" spans="1:5">
      <c r="A19" s="2"/>
      <c r="B19" s="2"/>
      <c r="C19" s="2"/>
      <c r="D19" s="2"/>
      <c r="E19" s="113"/>
    </row>
    <row r="20" spans="1:5">
      <c r="A20" s="2"/>
      <c r="B20" s="2"/>
      <c r="C20" s="2"/>
      <c r="D20" s="2"/>
      <c r="E20" s="113"/>
    </row>
    <row r="21" spans="1:5">
      <c r="A21" s="2"/>
      <c r="B21" s="2"/>
      <c r="C21" s="2"/>
      <c r="D21" s="2"/>
      <c r="E21" s="113"/>
    </row>
    <row r="22" spans="1:5">
      <c r="A22" s="2"/>
      <c r="B22" s="2"/>
      <c r="C22" s="2"/>
      <c r="D22" s="2"/>
      <c r="E22" s="113"/>
    </row>
    <row r="23" spans="1:5">
      <c r="A23" s="2"/>
      <c r="B23" s="2"/>
      <c r="C23" s="2"/>
      <c r="D23" s="2"/>
      <c r="E23" s="113"/>
    </row>
    <row r="24" spans="1:5">
      <c r="A24" s="2"/>
      <c r="B24" s="2"/>
      <c r="C24" s="2"/>
      <c r="D24" s="2"/>
      <c r="E24" s="113"/>
    </row>
    <row r="25" spans="1:5">
      <c r="A25" s="2"/>
      <c r="B25" s="2"/>
      <c r="C25" s="2"/>
      <c r="D25" s="2"/>
      <c r="E25" s="113"/>
    </row>
    <row r="26" spans="1:5">
      <c r="A26" s="2"/>
      <c r="B26" s="2"/>
      <c r="C26" s="2"/>
      <c r="D26" s="2"/>
      <c r="E26" s="113"/>
    </row>
  </sheetData>
  <sheetProtection algorithmName="SHA-512" hashValue="5ER3klFKtd/p1PzirhJyEH0XSu2VMKosl7tUXM5+7yQVD3Enl2LvIryIxOXNjVjgtyWWFPAMFar9tyfUgFNy2A==" saltValue="OQOT8so7mpA5qGomv9x+5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February</vt:lpstr>
      <vt:lpstr>NAV Comparison</vt:lpstr>
      <vt:lpstr>Market Share</vt:lpstr>
      <vt:lpstr>Unitholders</vt:lpstr>
      <vt:lpstr>February!_Hlk34300669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cp:lastPrinted>2024-12-20T14:59:31Z</cp:lastPrinted>
  <dcterms:created xsi:type="dcterms:W3CDTF">2023-10-09T09:40:00Z</dcterms:created>
  <dcterms:modified xsi:type="dcterms:W3CDTF">2025-05-22T13:36:22Z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