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4\"/>
    </mc:Choice>
  </mc:AlternateContent>
  <bookViews>
    <workbookView xWindow="-120" yWindow="-120" windowWidth="20736" windowHeight="11160" tabRatio="604"/>
  </bookViews>
  <sheets>
    <sheet name="December" sheetId="7" r:id="rId1"/>
    <sheet name="NAV Comparison" sheetId="2" r:id="rId2"/>
    <sheet name="Market Share" sheetId="3" r:id="rId3"/>
    <sheet name="Unitholders" sheetId="6" r:id="rId4"/>
  </sheets>
  <externalReferences>
    <externalReference r:id="rId5"/>
  </externalReferences>
  <definedNames>
    <definedName name="Component">"Group"</definedName>
    <definedName name="pbCountingPages">FALSE</definedName>
    <definedName name="_xlnm.Print_Area" localSheetId="0">December!$A$1:$W$206</definedName>
  </definedNames>
  <calcPr calcId="162913"/>
</workbook>
</file>

<file path=xl/calcChain.xml><?xml version="1.0" encoding="utf-8"?>
<calcChain xmlns="http://schemas.openxmlformats.org/spreadsheetml/2006/main">
  <c r="N147" i="7" l="1"/>
  <c r="O147" i="7"/>
  <c r="P147" i="7"/>
  <c r="Q147" i="7"/>
  <c r="N148" i="7"/>
  <c r="O148" i="7"/>
  <c r="P148" i="7"/>
  <c r="Q148" i="7"/>
  <c r="N149" i="7"/>
  <c r="O149" i="7"/>
  <c r="P149" i="7"/>
  <c r="Q149" i="7"/>
  <c r="N150" i="7"/>
  <c r="O150" i="7"/>
  <c r="P150" i="7"/>
  <c r="Q150" i="7"/>
  <c r="N151" i="7"/>
  <c r="O151" i="7"/>
  <c r="P151" i="7"/>
  <c r="Q151" i="7"/>
  <c r="N152" i="7"/>
  <c r="O152" i="7"/>
  <c r="P152" i="7"/>
  <c r="Q152" i="7"/>
  <c r="N153" i="7"/>
  <c r="O153" i="7"/>
  <c r="P153" i="7"/>
  <c r="Q153" i="7"/>
  <c r="N154" i="7"/>
  <c r="O154" i="7"/>
  <c r="P154" i="7"/>
  <c r="Q154" i="7"/>
  <c r="N155" i="7"/>
  <c r="O155" i="7"/>
  <c r="P155" i="7"/>
  <c r="Q155" i="7"/>
  <c r="N156" i="7"/>
  <c r="O156" i="7"/>
  <c r="P156" i="7"/>
  <c r="Q156" i="7"/>
  <c r="N157" i="7"/>
  <c r="O157" i="7"/>
  <c r="P157" i="7"/>
  <c r="Q157" i="7"/>
  <c r="N158" i="7"/>
  <c r="O158" i="7"/>
  <c r="P158" i="7"/>
  <c r="Q158" i="7"/>
  <c r="N159" i="7"/>
  <c r="O159" i="7"/>
  <c r="P159" i="7"/>
  <c r="Q159" i="7"/>
  <c r="N160" i="7"/>
  <c r="O160" i="7"/>
  <c r="P160" i="7"/>
  <c r="Q160" i="7"/>
  <c r="N161" i="7"/>
  <c r="O161" i="7"/>
  <c r="P161" i="7"/>
  <c r="Q161" i="7"/>
  <c r="N162" i="7"/>
  <c r="O162" i="7"/>
  <c r="P162" i="7"/>
  <c r="Q162" i="7"/>
  <c r="N163" i="7"/>
  <c r="O163" i="7"/>
  <c r="P163" i="7"/>
  <c r="Q163" i="7"/>
  <c r="N164" i="7"/>
  <c r="O164" i="7"/>
  <c r="P164" i="7"/>
  <c r="Q164" i="7"/>
  <c r="N165" i="7"/>
  <c r="O165" i="7"/>
  <c r="P165" i="7"/>
  <c r="Q165" i="7"/>
  <c r="N166" i="7"/>
  <c r="O166" i="7"/>
  <c r="P166" i="7"/>
  <c r="Q166" i="7"/>
  <c r="N167" i="7"/>
  <c r="O167" i="7"/>
  <c r="P167" i="7"/>
  <c r="Q167" i="7"/>
  <c r="N168" i="7"/>
  <c r="O168" i="7"/>
  <c r="P168" i="7"/>
  <c r="Q168" i="7"/>
  <c r="N169" i="7"/>
  <c r="O169" i="7"/>
  <c r="P169" i="7"/>
  <c r="Q169" i="7"/>
  <c r="N170" i="7"/>
  <c r="O170" i="7"/>
  <c r="P170" i="7"/>
  <c r="Q170" i="7"/>
  <c r="N171" i="7"/>
  <c r="O171" i="7"/>
  <c r="P171" i="7"/>
  <c r="Q171" i="7"/>
  <c r="N172" i="7"/>
  <c r="O172" i="7"/>
  <c r="P172" i="7"/>
  <c r="Q172" i="7"/>
  <c r="N173" i="7"/>
  <c r="O173" i="7"/>
  <c r="P173" i="7"/>
  <c r="Q173" i="7"/>
  <c r="K132" i="7" l="1"/>
  <c r="B13" i="6" l="1"/>
  <c r="B12" i="6"/>
  <c r="B11" i="6"/>
  <c r="B10" i="6"/>
  <c r="B8" i="6"/>
  <c r="B6" i="6"/>
  <c r="B9" i="3"/>
  <c r="B7" i="3"/>
  <c r="B6" i="3"/>
  <c r="B5" i="3"/>
  <c r="B4" i="3"/>
  <c r="B3" i="3"/>
  <c r="B2" i="3"/>
  <c r="D11" i="2"/>
  <c r="D10" i="2"/>
  <c r="D9" i="2"/>
  <c r="D6" i="2"/>
  <c r="D5" i="2"/>
  <c r="C12" i="2"/>
  <c r="C11" i="2"/>
  <c r="C10" i="2"/>
  <c r="C9" i="2"/>
  <c r="C8" i="2"/>
  <c r="C7" i="2"/>
  <c r="C6" i="2"/>
  <c r="C5" i="2"/>
  <c r="M189" i="7" l="1"/>
  <c r="M190" i="7"/>
  <c r="M191" i="7"/>
  <c r="M192" i="7"/>
  <c r="M193" i="7"/>
  <c r="M194" i="7"/>
  <c r="M195" i="7"/>
  <c r="M196" i="7"/>
  <c r="M197" i="7"/>
  <c r="M198" i="7"/>
  <c r="J189" i="7"/>
  <c r="J190" i="7"/>
  <c r="J191" i="7"/>
  <c r="J192" i="7"/>
  <c r="J193" i="7"/>
  <c r="J194" i="7"/>
  <c r="J195" i="7"/>
  <c r="J196" i="7"/>
  <c r="J197" i="7"/>
  <c r="J198" i="7"/>
  <c r="J199" i="7"/>
  <c r="M178" i="7"/>
  <c r="M179" i="7"/>
  <c r="L178" i="7"/>
  <c r="L179" i="7"/>
  <c r="J178" i="7"/>
  <c r="J179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39" i="7"/>
  <c r="J140" i="7"/>
  <c r="J141" i="7"/>
  <c r="J142" i="7"/>
  <c r="M122" i="7" l="1"/>
  <c r="M123" i="7"/>
  <c r="M124" i="7"/>
  <c r="M125" i="7"/>
  <c r="M127" i="7"/>
  <c r="M128" i="7"/>
  <c r="M129" i="7"/>
  <c r="M130" i="7"/>
  <c r="M131" i="7"/>
  <c r="M133" i="7"/>
  <c r="M126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N66" i="7"/>
  <c r="O66" i="7"/>
  <c r="P66" i="7"/>
  <c r="Q66" i="7"/>
  <c r="N67" i="7"/>
  <c r="O67" i="7"/>
  <c r="P67" i="7"/>
  <c r="Q67" i="7"/>
  <c r="N68" i="7"/>
  <c r="O68" i="7"/>
  <c r="P68" i="7"/>
  <c r="Q68" i="7"/>
  <c r="N69" i="7"/>
  <c r="O69" i="7"/>
  <c r="P69" i="7"/>
  <c r="Q69" i="7"/>
  <c r="N70" i="7"/>
  <c r="O70" i="7"/>
  <c r="P70" i="7"/>
  <c r="Q70" i="7"/>
  <c r="N71" i="7"/>
  <c r="O71" i="7"/>
  <c r="P71" i="7"/>
  <c r="Q71" i="7"/>
  <c r="N72" i="7"/>
  <c r="O72" i="7"/>
  <c r="P72" i="7"/>
  <c r="Q72" i="7"/>
  <c r="N73" i="7"/>
  <c r="O73" i="7"/>
  <c r="P73" i="7"/>
  <c r="Q73" i="7"/>
  <c r="N74" i="7"/>
  <c r="O74" i="7"/>
  <c r="P74" i="7"/>
  <c r="Q74" i="7"/>
  <c r="N75" i="7"/>
  <c r="O75" i="7"/>
  <c r="P75" i="7"/>
  <c r="Q75" i="7"/>
  <c r="N76" i="7"/>
  <c r="O76" i="7"/>
  <c r="P76" i="7"/>
  <c r="Q76" i="7"/>
  <c r="N77" i="7"/>
  <c r="O77" i="7"/>
  <c r="P77" i="7"/>
  <c r="Q77" i="7"/>
  <c r="N78" i="7"/>
  <c r="O78" i="7"/>
  <c r="P78" i="7"/>
  <c r="Q78" i="7"/>
  <c r="N79" i="7"/>
  <c r="O79" i="7"/>
  <c r="P79" i="7"/>
  <c r="Q79" i="7"/>
  <c r="N80" i="7"/>
  <c r="O80" i="7"/>
  <c r="P80" i="7"/>
  <c r="Q80" i="7"/>
  <c r="N81" i="7"/>
  <c r="O81" i="7"/>
  <c r="P81" i="7"/>
  <c r="Q81" i="7"/>
  <c r="N82" i="7"/>
  <c r="O82" i="7"/>
  <c r="P82" i="7"/>
  <c r="Q82" i="7"/>
  <c r="N83" i="7"/>
  <c r="O83" i="7"/>
  <c r="P83" i="7"/>
  <c r="Q83" i="7"/>
  <c r="N84" i="7"/>
  <c r="O84" i="7"/>
  <c r="P84" i="7"/>
  <c r="Q84" i="7"/>
  <c r="N85" i="7"/>
  <c r="O85" i="7"/>
  <c r="P85" i="7"/>
  <c r="Q85" i="7"/>
  <c r="N86" i="7"/>
  <c r="O86" i="7"/>
  <c r="P86" i="7"/>
  <c r="Q86" i="7"/>
  <c r="N87" i="7"/>
  <c r="O87" i="7"/>
  <c r="P87" i="7"/>
  <c r="Q87" i="7"/>
  <c r="N88" i="7"/>
  <c r="O88" i="7"/>
  <c r="P88" i="7"/>
  <c r="Q88" i="7"/>
  <c r="N89" i="7"/>
  <c r="O89" i="7"/>
  <c r="P89" i="7"/>
  <c r="Q89" i="7"/>
  <c r="N90" i="7"/>
  <c r="O90" i="7"/>
  <c r="P90" i="7"/>
  <c r="Q90" i="7"/>
  <c r="N91" i="7"/>
  <c r="O91" i="7"/>
  <c r="P91" i="7"/>
  <c r="Q91" i="7"/>
  <c r="N92" i="7"/>
  <c r="O92" i="7"/>
  <c r="P92" i="7"/>
  <c r="Q92" i="7"/>
  <c r="N93" i="7"/>
  <c r="O93" i="7"/>
  <c r="P93" i="7"/>
  <c r="Q93" i="7"/>
  <c r="N94" i="7"/>
  <c r="O94" i="7"/>
  <c r="P94" i="7"/>
  <c r="Q94" i="7"/>
  <c r="N95" i="7"/>
  <c r="O95" i="7"/>
  <c r="P95" i="7"/>
  <c r="Q95" i="7"/>
  <c r="N96" i="7"/>
  <c r="O96" i="7"/>
  <c r="P96" i="7"/>
  <c r="Q96" i="7"/>
  <c r="N97" i="7"/>
  <c r="O97" i="7"/>
  <c r="P97" i="7"/>
  <c r="Q97" i="7"/>
  <c r="N98" i="7"/>
  <c r="O98" i="7"/>
  <c r="P98" i="7"/>
  <c r="Q98" i="7"/>
  <c r="N99" i="7"/>
  <c r="O99" i="7"/>
  <c r="P99" i="7"/>
  <c r="Q99" i="7"/>
  <c r="N28" i="7"/>
  <c r="O28" i="7"/>
  <c r="P28" i="7"/>
  <c r="Q28" i="7"/>
  <c r="N29" i="7"/>
  <c r="O29" i="7"/>
  <c r="P29" i="7"/>
  <c r="Q29" i="7"/>
  <c r="N30" i="7"/>
  <c r="O30" i="7"/>
  <c r="P30" i="7"/>
  <c r="Q30" i="7"/>
  <c r="N31" i="7"/>
  <c r="O31" i="7"/>
  <c r="P31" i="7"/>
  <c r="Q31" i="7"/>
  <c r="N32" i="7"/>
  <c r="O32" i="7"/>
  <c r="P32" i="7"/>
  <c r="Q32" i="7"/>
  <c r="N33" i="7"/>
  <c r="O33" i="7"/>
  <c r="P33" i="7"/>
  <c r="Q33" i="7"/>
  <c r="N34" i="7"/>
  <c r="O34" i="7"/>
  <c r="P34" i="7"/>
  <c r="Q34" i="7"/>
  <c r="N35" i="7"/>
  <c r="O35" i="7"/>
  <c r="P35" i="7"/>
  <c r="Q35" i="7"/>
  <c r="N36" i="7"/>
  <c r="O36" i="7"/>
  <c r="P36" i="7"/>
  <c r="Q36" i="7"/>
  <c r="N37" i="7"/>
  <c r="O37" i="7"/>
  <c r="P37" i="7"/>
  <c r="Q37" i="7"/>
  <c r="N38" i="7"/>
  <c r="O38" i="7"/>
  <c r="P38" i="7"/>
  <c r="Q38" i="7"/>
  <c r="N39" i="7"/>
  <c r="O39" i="7"/>
  <c r="P39" i="7"/>
  <c r="Q39" i="7"/>
  <c r="N40" i="7"/>
  <c r="O40" i="7"/>
  <c r="P40" i="7"/>
  <c r="Q40" i="7"/>
  <c r="N41" i="7"/>
  <c r="O41" i="7"/>
  <c r="P41" i="7"/>
  <c r="Q41" i="7"/>
  <c r="N42" i="7"/>
  <c r="O42" i="7"/>
  <c r="P42" i="7"/>
  <c r="Q42" i="7"/>
  <c r="N43" i="7"/>
  <c r="O43" i="7"/>
  <c r="P43" i="7"/>
  <c r="Q43" i="7"/>
  <c r="N44" i="7"/>
  <c r="O44" i="7"/>
  <c r="P44" i="7"/>
  <c r="Q44" i="7"/>
  <c r="N45" i="7"/>
  <c r="O45" i="7"/>
  <c r="P45" i="7"/>
  <c r="Q45" i="7"/>
  <c r="N46" i="7"/>
  <c r="O46" i="7"/>
  <c r="P46" i="7"/>
  <c r="Q46" i="7"/>
  <c r="N47" i="7"/>
  <c r="O47" i="7"/>
  <c r="P47" i="7"/>
  <c r="Q47" i="7"/>
  <c r="N48" i="7"/>
  <c r="O48" i="7"/>
  <c r="P48" i="7"/>
  <c r="Q48" i="7"/>
  <c r="N49" i="7"/>
  <c r="O49" i="7"/>
  <c r="P49" i="7"/>
  <c r="Q49" i="7"/>
  <c r="N50" i="7"/>
  <c r="O50" i="7"/>
  <c r="P50" i="7"/>
  <c r="Q50" i="7"/>
  <c r="N51" i="7"/>
  <c r="O51" i="7"/>
  <c r="P51" i="7"/>
  <c r="Q51" i="7"/>
  <c r="N52" i="7"/>
  <c r="O52" i="7"/>
  <c r="P52" i="7"/>
  <c r="Q52" i="7"/>
  <c r="N53" i="7"/>
  <c r="O53" i="7"/>
  <c r="P53" i="7"/>
  <c r="Q53" i="7"/>
  <c r="N54" i="7"/>
  <c r="O54" i="7"/>
  <c r="P54" i="7"/>
  <c r="Q54" i="7"/>
  <c r="N55" i="7"/>
  <c r="O55" i="7"/>
  <c r="P55" i="7"/>
  <c r="Q55" i="7"/>
  <c r="N56" i="7"/>
  <c r="O56" i="7"/>
  <c r="P56" i="7"/>
  <c r="Q56" i="7"/>
  <c r="N57" i="7"/>
  <c r="O57" i="7"/>
  <c r="P57" i="7"/>
  <c r="Q57" i="7"/>
  <c r="N58" i="7"/>
  <c r="O58" i="7"/>
  <c r="P58" i="7"/>
  <c r="Q58" i="7"/>
  <c r="N59" i="7"/>
  <c r="O59" i="7"/>
  <c r="P59" i="7"/>
  <c r="Q59" i="7"/>
  <c r="N60" i="7"/>
  <c r="O60" i="7"/>
  <c r="P60" i="7"/>
  <c r="Q60" i="7"/>
  <c r="N61" i="7"/>
  <c r="O61" i="7"/>
  <c r="P61" i="7"/>
  <c r="Q61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K203" i="7"/>
  <c r="I203" i="7"/>
  <c r="I126" i="7"/>
  <c r="I133" i="7"/>
  <c r="I132" i="7"/>
  <c r="I131" i="7"/>
  <c r="I130" i="7"/>
  <c r="I129" i="7"/>
  <c r="I128" i="7"/>
  <c r="I127" i="7"/>
  <c r="I125" i="7"/>
  <c r="I123" i="7"/>
  <c r="I122" i="7"/>
  <c r="I121" i="7"/>
  <c r="I118" i="7"/>
  <c r="I116" i="7"/>
  <c r="I115" i="7"/>
  <c r="I114" i="7"/>
  <c r="I111" i="7"/>
  <c r="I110" i="7"/>
  <c r="I109" i="7"/>
  <c r="I108" i="7"/>
  <c r="I107" i="7"/>
  <c r="I106" i="7"/>
  <c r="I105" i="7"/>
  <c r="I104" i="7"/>
  <c r="H22" i="7"/>
  <c r="I23" i="7"/>
  <c r="D12" i="2" l="1"/>
  <c r="L189" i="7"/>
  <c r="L195" i="7"/>
  <c r="L190" i="7"/>
  <c r="L196" i="7"/>
  <c r="L191" i="7"/>
  <c r="L197" i="7"/>
  <c r="L192" i="7"/>
  <c r="L198" i="7"/>
  <c r="L193" i="7"/>
  <c r="L194" i="7"/>
  <c r="H90" i="7"/>
  <c r="T152" i="7" l="1"/>
  <c r="H152" i="7"/>
  <c r="H36" i="7"/>
  <c r="H46" i="7" l="1"/>
  <c r="S127" i="7" l="1"/>
  <c r="R127" i="7"/>
  <c r="K127" i="7"/>
  <c r="G127" i="7"/>
  <c r="E127" i="7"/>
  <c r="D127" i="7"/>
  <c r="R118" i="7"/>
  <c r="S118" i="7"/>
  <c r="K118" i="7"/>
  <c r="G118" i="7"/>
  <c r="E118" i="7"/>
  <c r="D118" i="7"/>
  <c r="T151" i="7" l="1"/>
  <c r="S128" i="7" l="1"/>
  <c r="R128" i="7"/>
  <c r="K128" i="7"/>
  <c r="G128" i="7"/>
  <c r="E128" i="7"/>
  <c r="D128" i="7"/>
  <c r="S109" i="7"/>
  <c r="R109" i="7"/>
  <c r="K109" i="7"/>
  <c r="G109" i="7"/>
  <c r="E109" i="7"/>
  <c r="D109" i="7"/>
  <c r="S125" i="7"/>
  <c r="R125" i="7"/>
  <c r="K125" i="7"/>
  <c r="G125" i="7"/>
  <c r="E125" i="7"/>
  <c r="D125" i="7"/>
  <c r="S105" i="7"/>
  <c r="R105" i="7"/>
  <c r="K105" i="7"/>
  <c r="G105" i="7"/>
  <c r="E105" i="7"/>
  <c r="D105" i="7"/>
  <c r="S108" i="7" l="1"/>
  <c r="R108" i="7"/>
  <c r="K108" i="7"/>
  <c r="G108" i="7"/>
  <c r="E108" i="7"/>
  <c r="D108" i="7"/>
  <c r="S131" i="7"/>
  <c r="R131" i="7"/>
  <c r="K131" i="7"/>
  <c r="G131" i="7"/>
  <c r="E131" i="7"/>
  <c r="D131" i="7"/>
  <c r="S122" i="7"/>
  <c r="R122" i="7"/>
  <c r="K122" i="7"/>
  <c r="G122" i="7"/>
  <c r="E122" i="7"/>
  <c r="D122" i="7"/>
  <c r="S133" i="7"/>
  <c r="R133" i="7"/>
  <c r="K133" i="7"/>
  <c r="G133" i="7"/>
  <c r="E133" i="7"/>
  <c r="D133" i="7"/>
  <c r="S114" i="7" l="1"/>
  <c r="R114" i="7"/>
  <c r="K114" i="7"/>
  <c r="G114" i="7"/>
  <c r="E114" i="7"/>
  <c r="D114" i="7"/>
  <c r="K116" i="7"/>
  <c r="M184" i="7"/>
  <c r="N184" i="7"/>
  <c r="O184" i="7"/>
  <c r="P184" i="7"/>
  <c r="Q184" i="7"/>
  <c r="S126" i="7"/>
  <c r="R126" i="7"/>
  <c r="S132" i="7"/>
  <c r="S129" i="7"/>
  <c r="R129" i="7"/>
  <c r="S123" i="7"/>
  <c r="R123" i="7"/>
  <c r="S121" i="7"/>
  <c r="R121" i="7"/>
  <c r="S117" i="7"/>
  <c r="R117" i="7"/>
  <c r="S115" i="7"/>
  <c r="R115" i="7"/>
  <c r="S113" i="7"/>
  <c r="R113" i="7"/>
  <c r="N5" i="7"/>
  <c r="O5" i="7"/>
  <c r="P5" i="7"/>
  <c r="M5" i="7"/>
  <c r="D123" i="7"/>
  <c r="S106" i="7" l="1"/>
  <c r="R106" i="7"/>
  <c r="K106" i="7"/>
  <c r="G106" i="7"/>
  <c r="F106" i="7"/>
  <c r="E106" i="7"/>
  <c r="D106" i="7"/>
  <c r="S130" i="7" l="1"/>
  <c r="R130" i="7"/>
  <c r="K130" i="7"/>
  <c r="G130" i="7"/>
  <c r="F130" i="7"/>
  <c r="E130" i="7"/>
  <c r="D130" i="7"/>
  <c r="K129" i="7"/>
  <c r="G129" i="7"/>
  <c r="F129" i="7"/>
  <c r="E129" i="7"/>
  <c r="D129" i="7"/>
  <c r="K117" i="7"/>
  <c r="G117" i="7"/>
  <c r="E117" i="7"/>
  <c r="D117" i="7"/>
  <c r="H171" i="7"/>
  <c r="M199" i="7"/>
  <c r="H199" i="7"/>
  <c r="Q199" i="7" s="1"/>
  <c r="T135" i="7"/>
  <c r="B9" i="6" s="1"/>
  <c r="S116" i="7"/>
  <c r="R116" i="7"/>
  <c r="P116" i="7"/>
  <c r="G116" i="7"/>
  <c r="E116" i="7"/>
  <c r="D116" i="7"/>
  <c r="T62" i="7"/>
  <c r="B7" i="6" s="1"/>
  <c r="H58" i="7"/>
  <c r="R132" i="7"/>
  <c r="K135" i="7"/>
  <c r="G132" i="7"/>
  <c r="E132" i="7"/>
  <c r="D132" i="7"/>
  <c r="T100" i="7"/>
  <c r="H97" i="7"/>
  <c r="P22" i="7"/>
  <c r="Q22" i="7"/>
  <c r="T24" i="7"/>
  <c r="K24" i="7"/>
  <c r="L19" i="7" s="1"/>
  <c r="S111" i="7"/>
  <c r="R111" i="7"/>
  <c r="K111" i="7"/>
  <c r="G111" i="7"/>
  <c r="N111" i="7"/>
  <c r="E111" i="7"/>
  <c r="D111" i="7"/>
  <c r="K115" i="7"/>
  <c r="P115" i="7"/>
  <c r="G115" i="7"/>
  <c r="E115" i="7"/>
  <c r="D115" i="7"/>
  <c r="K126" i="7"/>
  <c r="P126" i="7"/>
  <c r="G126" i="7"/>
  <c r="E126" i="7"/>
  <c r="H126" i="7"/>
  <c r="D126" i="7"/>
  <c r="S112" i="7"/>
  <c r="R112" i="7"/>
  <c r="S110" i="7"/>
  <c r="R110" i="7"/>
  <c r="K110" i="7"/>
  <c r="G110" i="7"/>
  <c r="E110" i="7"/>
  <c r="H110" i="7"/>
  <c r="D110" i="7"/>
  <c r="S107" i="7"/>
  <c r="R107" i="7"/>
  <c r="K107" i="7"/>
  <c r="G107" i="7"/>
  <c r="E107" i="7"/>
  <c r="H107" i="7"/>
  <c r="D107" i="7"/>
  <c r="K121" i="7"/>
  <c r="M121" i="7"/>
  <c r="G121" i="7"/>
  <c r="E121" i="7"/>
  <c r="D121" i="7"/>
  <c r="K123" i="7"/>
  <c r="H123" i="7"/>
  <c r="G123" i="7"/>
  <c r="E123" i="7"/>
  <c r="S104" i="7"/>
  <c r="R104" i="7"/>
  <c r="T88" i="7"/>
  <c r="H130" i="7"/>
  <c r="O130" i="7" s="1"/>
  <c r="Q130" i="7"/>
  <c r="H202" i="7"/>
  <c r="H189" i="7"/>
  <c r="H190" i="7"/>
  <c r="O190" i="7"/>
  <c r="H191" i="7"/>
  <c r="H192" i="7"/>
  <c r="H193" i="7"/>
  <c r="H194" i="7"/>
  <c r="Q194" i="7" s="1"/>
  <c r="H195" i="7"/>
  <c r="O195" i="7" s="1"/>
  <c r="H196" i="7"/>
  <c r="O196" i="7" s="1"/>
  <c r="H197" i="7"/>
  <c r="O197" i="7"/>
  <c r="H198" i="7"/>
  <c r="H188" i="7"/>
  <c r="H185" i="7"/>
  <c r="H184" i="7"/>
  <c r="H178" i="7"/>
  <c r="H179" i="7"/>
  <c r="H177" i="7"/>
  <c r="Q177" i="7" s="1"/>
  <c r="H147" i="7"/>
  <c r="H148" i="7"/>
  <c r="H149" i="7"/>
  <c r="H150" i="7"/>
  <c r="H151" i="7"/>
  <c r="H153" i="7"/>
  <c r="H154" i="7"/>
  <c r="H155" i="7"/>
  <c r="H157" i="7"/>
  <c r="H158" i="7"/>
  <c r="H159" i="7"/>
  <c r="H160" i="7"/>
  <c r="H161" i="7"/>
  <c r="H163" i="7"/>
  <c r="H164" i="7"/>
  <c r="H165" i="7"/>
  <c r="H166" i="7"/>
  <c r="H167" i="7"/>
  <c r="H168" i="7"/>
  <c r="H169" i="7"/>
  <c r="H170" i="7"/>
  <c r="H172" i="7"/>
  <c r="H173" i="7"/>
  <c r="H146" i="7"/>
  <c r="O146" i="7" s="1"/>
  <c r="H139" i="7"/>
  <c r="H140" i="7"/>
  <c r="O140" i="7" s="1"/>
  <c r="H141" i="7"/>
  <c r="H142" i="7"/>
  <c r="O142" i="7" s="1"/>
  <c r="H138" i="7"/>
  <c r="H122" i="7"/>
  <c r="O122" i="7" s="1"/>
  <c r="H124" i="7"/>
  <c r="Q124" i="7" s="1"/>
  <c r="H125" i="7"/>
  <c r="H127" i="7"/>
  <c r="H128" i="7"/>
  <c r="H129" i="7"/>
  <c r="O129" i="7"/>
  <c r="H131" i="7"/>
  <c r="O131" i="7" s="1"/>
  <c r="H132" i="7"/>
  <c r="H133" i="7"/>
  <c r="O133" i="7" s="1"/>
  <c r="H105" i="7"/>
  <c r="H106" i="7"/>
  <c r="O106" i="7" s="1"/>
  <c r="H108" i="7"/>
  <c r="O108" i="7" s="1"/>
  <c r="H109" i="7"/>
  <c r="H112" i="7"/>
  <c r="O112" i="7"/>
  <c r="H113" i="7"/>
  <c r="O113" i="7"/>
  <c r="H114" i="7"/>
  <c r="O114" i="7" s="1"/>
  <c r="H115" i="7"/>
  <c r="Q115" i="7"/>
  <c r="H116" i="7"/>
  <c r="H117" i="7"/>
  <c r="H118" i="7"/>
  <c r="H104" i="7"/>
  <c r="Q104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1" i="7"/>
  <c r="H92" i="7"/>
  <c r="H93" i="7"/>
  <c r="H94" i="7"/>
  <c r="H95" i="7"/>
  <c r="H96" i="7"/>
  <c r="H98" i="7"/>
  <c r="H99" i="7"/>
  <c r="H65" i="7"/>
  <c r="O65" i="7"/>
  <c r="H28" i="7"/>
  <c r="H29" i="7"/>
  <c r="H30" i="7"/>
  <c r="H31" i="7"/>
  <c r="H32" i="7"/>
  <c r="H33" i="7"/>
  <c r="H34" i="7"/>
  <c r="H35" i="7"/>
  <c r="H37" i="7"/>
  <c r="H38" i="7"/>
  <c r="H39" i="7"/>
  <c r="H40" i="7"/>
  <c r="H41" i="7"/>
  <c r="H42" i="7"/>
  <c r="H43" i="7"/>
  <c r="H44" i="7"/>
  <c r="H45" i="7"/>
  <c r="H47" i="7"/>
  <c r="H48" i="7"/>
  <c r="H49" i="7"/>
  <c r="H50" i="7"/>
  <c r="H51" i="7"/>
  <c r="H52" i="7"/>
  <c r="H53" i="7"/>
  <c r="H54" i="7"/>
  <c r="H55" i="7"/>
  <c r="H56" i="7"/>
  <c r="H57" i="7"/>
  <c r="H59" i="7"/>
  <c r="H60" i="7"/>
  <c r="H61" i="7"/>
  <c r="H27" i="7"/>
  <c r="H7" i="7"/>
  <c r="O7" i="7" s="1"/>
  <c r="H8" i="7"/>
  <c r="H9" i="7"/>
  <c r="Q9" i="7"/>
  <c r="H10" i="7"/>
  <c r="O10" i="7" s="1"/>
  <c r="O11" i="7"/>
  <c r="H12" i="7"/>
  <c r="O12" i="7" s="1"/>
  <c r="H13" i="7"/>
  <c r="O13" i="7" s="1"/>
  <c r="H14" i="7"/>
  <c r="Q14" i="7" s="1"/>
  <c r="H15" i="7"/>
  <c r="O15" i="7" s="1"/>
  <c r="H16" i="7"/>
  <c r="Q16" i="7"/>
  <c r="H17" i="7"/>
  <c r="Q17" i="7" s="1"/>
  <c r="H18" i="7"/>
  <c r="O18" i="7"/>
  <c r="H19" i="7"/>
  <c r="O19" i="7" s="1"/>
  <c r="H20" i="7"/>
  <c r="Q20" i="7" s="1"/>
  <c r="H21" i="7"/>
  <c r="O21" i="7" s="1"/>
  <c r="H23" i="7"/>
  <c r="Q23" i="7" s="1"/>
  <c r="H5" i="7"/>
  <c r="H6" i="7"/>
  <c r="O6" i="7" s="1"/>
  <c r="T143" i="7"/>
  <c r="K143" i="7"/>
  <c r="L139" i="7" s="1"/>
  <c r="P202" i="7"/>
  <c r="N202" i="7"/>
  <c r="N189" i="7"/>
  <c r="O189" i="7"/>
  <c r="P189" i="7"/>
  <c r="Q189" i="7"/>
  <c r="N190" i="7"/>
  <c r="P190" i="7"/>
  <c r="N191" i="7"/>
  <c r="O191" i="7"/>
  <c r="P191" i="7"/>
  <c r="Q191" i="7"/>
  <c r="N192" i="7"/>
  <c r="O192" i="7"/>
  <c r="P192" i="7"/>
  <c r="Q192" i="7"/>
  <c r="N193" i="7"/>
  <c r="O193" i="7"/>
  <c r="P193" i="7"/>
  <c r="Q193" i="7"/>
  <c r="N194" i="7"/>
  <c r="O194" i="7"/>
  <c r="P194" i="7"/>
  <c r="N195" i="7"/>
  <c r="P195" i="7"/>
  <c r="N196" i="7"/>
  <c r="P196" i="7"/>
  <c r="N197" i="7"/>
  <c r="P197" i="7"/>
  <c r="N198" i="7"/>
  <c r="O198" i="7"/>
  <c r="P198" i="7"/>
  <c r="Q198" i="7"/>
  <c r="P199" i="7"/>
  <c r="P188" i="7"/>
  <c r="N188" i="7"/>
  <c r="N185" i="7"/>
  <c r="O185" i="7"/>
  <c r="P185" i="7"/>
  <c r="Q185" i="7"/>
  <c r="N178" i="7"/>
  <c r="O178" i="7"/>
  <c r="P178" i="7"/>
  <c r="Q178" i="7"/>
  <c r="N179" i="7"/>
  <c r="O179" i="7"/>
  <c r="P179" i="7"/>
  <c r="Q179" i="7"/>
  <c r="N139" i="7"/>
  <c r="O139" i="7"/>
  <c r="P139" i="7"/>
  <c r="Q139" i="7"/>
  <c r="N140" i="7"/>
  <c r="P140" i="7"/>
  <c r="N141" i="7"/>
  <c r="O141" i="7"/>
  <c r="P141" i="7"/>
  <c r="Q141" i="7"/>
  <c r="N142" i="7"/>
  <c r="P142" i="7"/>
  <c r="N122" i="7"/>
  <c r="P122" i="7"/>
  <c r="N123" i="7"/>
  <c r="P123" i="7"/>
  <c r="N124" i="7"/>
  <c r="P124" i="7"/>
  <c r="N125" i="7"/>
  <c r="O125" i="7"/>
  <c r="P125" i="7"/>
  <c r="Q125" i="7"/>
  <c r="N127" i="7"/>
  <c r="O127" i="7"/>
  <c r="P127" i="7"/>
  <c r="Q127" i="7"/>
  <c r="N128" i="7"/>
  <c r="O128" i="7"/>
  <c r="P128" i="7"/>
  <c r="Q128" i="7"/>
  <c r="N129" i="7"/>
  <c r="P129" i="7"/>
  <c r="N130" i="7"/>
  <c r="P130" i="7"/>
  <c r="N131" i="7"/>
  <c r="P131" i="7"/>
  <c r="N133" i="7"/>
  <c r="P133" i="7"/>
  <c r="Q133" i="7"/>
  <c r="N126" i="7"/>
  <c r="N105" i="7"/>
  <c r="O105" i="7"/>
  <c r="P105" i="7"/>
  <c r="Q105" i="7"/>
  <c r="N106" i="7"/>
  <c r="P106" i="7"/>
  <c r="N107" i="7"/>
  <c r="P107" i="7"/>
  <c r="N108" i="7"/>
  <c r="P108" i="7"/>
  <c r="N109" i="7"/>
  <c r="O109" i="7"/>
  <c r="P109" i="7"/>
  <c r="Q109" i="7"/>
  <c r="P111" i="7"/>
  <c r="N112" i="7"/>
  <c r="P112" i="7"/>
  <c r="N113" i="7"/>
  <c r="P113" i="7"/>
  <c r="N114" i="7"/>
  <c r="P114" i="7"/>
  <c r="N117" i="7"/>
  <c r="O117" i="7"/>
  <c r="P117" i="7"/>
  <c r="Q117" i="7"/>
  <c r="N118" i="7"/>
  <c r="O118" i="7"/>
  <c r="P118" i="7"/>
  <c r="Q118" i="7"/>
  <c r="N6" i="7"/>
  <c r="P6" i="7"/>
  <c r="N7" i="7"/>
  <c r="P7" i="7"/>
  <c r="N8" i="7"/>
  <c r="O8" i="7"/>
  <c r="P8" i="7"/>
  <c r="Q8" i="7"/>
  <c r="N9" i="7"/>
  <c r="P9" i="7"/>
  <c r="N10" i="7"/>
  <c r="P10" i="7"/>
  <c r="N11" i="7"/>
  <c r="P11" i="7"/>
  <c r="N12" i="7"/>
  <c r="P12" i="7"/>
  <c r="N13" i="7"/>
  <c r="P13" i="7"/>
  <c r="N14" i="7"/>
  <c r="O14" i="7"/>
  <c r="P14" i="7"/>
  <c r="N15" i="7"/>
  <c r="P15" i="7"/>
  <c r="N16" i="7"/>
  <c r="P16" i="7"/>
  <c r="N17" i="7"/>
  <c r="O17" i="7"/>
  <c r="P17" i="7"/>
  <c r="N18" i="7"/>
  <c r="P18" i="7"/>
  <c r="Q18" i="7"/>
  <c r="N19" i="7"/>
  <c r="P19" i="7"/>
  <c r="N20" i="7"/>
  <c r="O20" i="7"/>
  <c r="P20" i="7"/>
  <c r="N21" i="7"/>
  <c r="P21" i="7"/>
  <c r="N22" i="7"/>
  <c r="N23" i="7"/>
  <c r="P23" i="7"/>
  <c r="M188" i="7"/>
  <c r="M185" i="7"/>
  <c r="M139" i="7"/>
  <c r="M140" i="7"/>
  <c r="M141" i="7"/>
  <c r="M142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3" i="7"/>
  <c r="I143" i="7"/>
  <c r="J138" i="7" s="1"/>
  <c r="O202" i="7"/>
  <c r="Q202" i="7"/>
  <c r="P138" i="7"/>
  <c r="N138" i="7"/>
  <c r="M138" i="7"/>
  <c r="O188" i="7"/>
  <c r="Q188" i="7"/>
  <c r="Q138" i="7"/>
  <c r="O138" i="7"/>
  <c r="M202" i="7"/>
  <c r="T203" i="7"/>
  <c r="T180" i="7"/>
  <c r="K180" i="7"/>
  <c r="I180" i="7"/>
  <c r="P177" i="7"/>
  <c r="N177" i="7"/>
  <c r="M177" i="7"/>
  <c r="I174" i="7"/>
  <c r="T174" i="7"/>
  <c r="P146" i="7"/>
  <c r="N146" i="7"/>
  <c r="M146" i="7"/>
  <c r="Q146" i="7"/>
  <c r="P104" i="7"/>
  <c r="N104" i="7"/>
  <c r="M104" i="7"/>
  <c r="K100" i="7"/>
  <c r="I100" i="7"/>
  <c r="P65" i="7"/>
  <c r="N65" i="7"/>
  <c r="M65" i="7"/>
  <c r="I62" i="7"/>
  <c r="P27" i="7"/>
  <c r="N27" i="7"/>
  <c r="M27" i="7"/>
  <c r="Q27" i="7"/>
  <c r="I24" i="7"/>
  <c r="J18" i="7" s="1"/>
  <c r="J13" i="7"/>
  <c r="Q65" i="7"/>
  <c r="O27" i="7"/>
  <c r="I135" i="7"/>
  <c r="J177" i="7"/>
  <c r="J104" i="7"/>
  <c r="J121" i="7"/>
  <c r="O104" i="7"/>
  <c r="J20" i="7"/>
  <c r="J8" i="7"/>
  <c r="J5" i="7"/>
  <c r="J15" i="7"/>
  <c r="J11" i="7"/>
  <c r="J7" i="7"/>
  <c r="J22" i="7"/>
  <c r="J16" i="7"/>
  <c r="J10" i="7"/>
  <c r="O123" i="7"/>
  <c r="Q123" i="7"/>
  <c r="Q5" i="7"/>
  <c r="P110" i="7"/>
  <c r="N110" i="7"/>
  <c r="O110" i="7"/>
  <c r="Q110" i="7"/>
  <c r="O9" i="7"/>
  <c r="O107" i="7"/>
  <c r="Q107" i="7"/>
  <c r="P121" i="7"/>
  <c r="N121" i="7"/>
  <c r="H121" i="7"/>
  <c r="O121" i="7"/>
  <c r="Q121" i="7"/>
  <c r="O16" i="7"/>
  <c r="O126" i="7"/>
  <c r="Q126" i="7"/>
  <c r="Q113" i="7"/>
  <c r="Q11" i="7"/>
  <c r="Q112" i="7"/>
  <c r="Q190" i="7"/>
  <c r="H111" i="7"/>
  <c r="O111" i="7"/>
  <c r="Q111" i="7"/>
  <c r="N115" i="7"/>
  <c r="O115" i="7"/>
  <c r="Q129" i="7"/>
  <c r="K62" i="7"/>
  <c r="Q116" i="7"/>
  <c r="L184" i="7"/>
  <c r="Q197" i="7"/>
  <c r="O116" i="7"/>
  <c r="N199" i="7"/>
  <c r="O22" i="7"/>
  <c r="M22" i="7"/>
  <c r="N116" i="7"/>
  <c r="K174" i="7"/>
  <c r="Q131" i="7" l="1"/>
  <c r="Q132" i="7"/>
  <c r="J123" i="7"/>
  <c r="J116" i="7"/>
  <c r="J125" i="7"/>
  <c r="J106" i="7"/>
  <c r="J118" i="7"/>
  <c r="J127" i="7"/>
  <c r="J107" i="7"/>
  <c r="J124" i="7"/>
  <c r="J105" i="7"/>
  <c r="J117" i="7"/>
  <c r="J126" i="7"/>
  <c r="J128" i="7"/>
  <c r="J108" i="7"/>
  <c r="J129" i="7"/>
  <c r="J109" i="7"/>
  <c r="J130" i="7"/>
  <c r="J110" i="7"/>
  <c r="J131" i="7"/>
  <c r="J111" i="7"/>
  <c r="J132" i="7"/>
  <c r="J112" i="7"/>
  <c r="J133" i="7"/>
  <c r="J113" i="7"/>
  <c r="J114" i="7"/>
  <c r="J122" i="7"/>
  <c r="J115" i="7"/>
  <c r="D8" i="2"/>
  <c r="B8" i="3"/>
  <c r="P132" i="7"/>
  <c r="M132" i="7"/>
  <c r="D7" i="2"/>
  <c r="L70" i="7"/>
  <c r="L76" i="7"/>
  <c r="L82" i="7"/>
  <c r="L88" i="7"/>
  <c r="L94" i="7"/>
  <c r="L71" i="7"/>
  <c r="L77" i="7"/>
  <c r="L83" i="7"/>
  <c r="L89" i="7"/>
  <c r="L95" i="7"/>
  <c r="M100" i="7"/>
  <c r="L66" i="7"/>
  <c r="L72" i="7"/>
  <c r="L78" i="7"/>
  <c r="L84" i="7"/>
  <c r="L90" i="7"/>
  <c r="L96" i="7"/>
  <c r="L67" i="7"/>
  <c r="L73" i="7"/>
  <c r="L79" i="7"/>
  <c r="L85" i="7"/>
  <c r="L91" i="7"/>
  <c r="L97" i="7"/>
  <c r="L68" i="7"/>
  <c r="L74" i="7"/>
  <c r="L80" i="7"/>
  <c r="L86" i="7"/>
  <c r="L92" i="7"/>
  <c r="L98" i="7"/>
  <c r="L69" i="7"/>
  <c r="L75" i="7"/>
  <c r="L81" i="7"/>
  <c r="L87" i="7"/>
  <c r="L93" i="7"/>
  <c r="L99" i="7"/>
  <c r="M135" i="7"/>
  <c r="L110" i="7"/>
  <c r="L116" i="7"/>
  <c r="L130" i="7"/>
  <c r="L106" i="7"/>
  <c r="L131" i="7"/>
  <c r="L132" i="7"/>
  <c r="L114" i="7"/>
  <c r="L127" i="7"/>
  <c r="L109" i="7"/>
  <c r="L126" i="7"/>
  <c r="L122" i="7"/>
  <c r="L129" i="7"/>
  <c r="L123" i="7"/>
  <c r="L112" i="7"/>
  <c r="L107" i="7"/>
  <c r="L125" i="7"/>
  <c r="L108" i="7"/>
  <c r="L133" i="7"/>
  <c r="L115" i="7"/>
  <c r="L105" i="7"/>
  <c r="L111" i="7"/>
  <c r="L117" i="7"/>
  <c r="L118" i="7"/>
  <c r="L124" i="7"/>
  <c r="L113" i="7"/>
  <c r="L128" i="7"/>
  <c r="J202" i="7"/>
  <c r="J184" i="7"/>
  <c r="J185" i="7"/>
  <c r="J188" i="7"/>
  <c r="M203" i="7"/>
  <c r="J146" i="7"/>
  <c r="J65" i="7"/>
  <c r="J17" i="7"/>
  <c r="J23" i="7"/>
  <c r="J19" i="7"/>
  <c r="J12" i="7"/>
  <c r="J6" i="7"/>
  <c r="J9" i="7"/>
  <c r="J14" i="7"/>
  <c r="J21" i="7"/>
  <c r="J27" i="7"/>
  <c r="I204" i="7"/>
  <c r="J135" i="7" s="1"/>
  <c r="O132" i="7"/>
  <c r="N132" i="7"/>
  <c r="L18" i="7"/>
  <c r="L6" i="7"/>
  <c r="L17" i="7"/>
  <c r="O23" i="7"/>
  <c r="Q10" i="7"/>
  <c r="Q12" i="7"/>
  <c r="L140" i="7"/>
  <c r="Q140" i="7"/>
  <c r="Q195" i="7"/>
  <c r="Q196" i="7"/>
  <c r="Q108" i="7"/>
  <c r="L11" i="7"/>
  <c r="L8" i="7"/>
  <c r="Q6" i="7"/>
  <c r="Q142" i="7"/>
  <c r="L21" i="7"/>
  <c r="L13" i="7"/>
  <c r="L9" i="7"/>
  <c r="Q21" i="7"/>
  <c r="Q122" i="7"/>
  <c r="L121" i="7"/>
  <c r="Q13" i="7"/>
  <c r="Q114" i="7"/>
  <c r="L27" i="7"/>
  <c r="L14" i="7"/>
  <c r="L5" i="7"/>
  <c r="Q19" i="7"/>
  <c r="L138" i="7"/>
  <c r="L141" i="7"/>
  <c r="L142" i="7"/>
  <c r="M143" i="7"/>
  <c r="L104" i="7"/>
  <c r="L199" i="7"/>
  <c r="O199" i="7"/>
  <c r="L185" i="7"/>
  <c r="L202" i="7"/>
  <c r="L188" i="7"/>
  <c r="O124" i="7"/>
  <c r="L16" i="7"/>
  <c r="L12" i="7"/>
  <c r="L23" i="7"/>
  <c r="L20" i="7"/>
  <c r="M24" i="7"/>
  <c r="L7" i="7"/>
  <c r="L10" i="7"/>
  <c r="L15" i="7"/>
  <c r="L22" i="7"/>
  <c r="Q15" i="7"/>
  <c r="T204" i="7"/>
  <c r="Q7" i="7"/>
  <c r="L65" i="7"/>
  <c r="L146" i="7"/>
  <c r="K204" i="7"/>
  <c r="L143" i="7" s="1"/>
  <c r="L177" i="7"/>
  <c r="M180" i="7"/>
  <c r="O177" i="7"/>
  <c r="Q106" i="7"/>
  <c r="J180" i="7" l="1"/>
  <c r="J203" i="7"/>
  <c r="J143" i="7"/>
  <c r="J100" i="7"/>
  <c r="J24" i="7"/>
  <c r="J62" i="7"/>
  <c r="J174" i="7"/>
  <c r="L174" i="7"/>
  <c r="L24" i="7"/>
  <c r="L180" i="7"/>
  <c r="L203" i="7"/>
  <c r="L62" i="7"/>
  <c r="L135" i="7"/>
</calcChain>
</file>

<file path=xl/sharedStrings.xml><?xml version="1.0" encoding="utf-8"?>
<sst xmlns="http://schemas.openxmlformats.org/spreadsheetml/2006/main" count="416" uniqueCount="279">
  <si>
    <t>S/N</t>
  </si>
  <si>
    <t>FUND</t>
  </si>
  <si>
    <t>FUND MANAGER</t>
  </si>
  <si>
    <t>TOTAL VALUE OF INVESTMENT (N)</t>
  </si>
  <si>
    <t>TOTAL INCOME (N)</t>
  </si>
  <si>
    <t>UNREALIZED CAPITAL GAIN/LOSS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</si>
  <si>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</si>
  <si>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</si>
  <si>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</si>
  <si>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</si>
  <si>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</si>
  <si>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</si>
  <si>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</si>
  <si>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</si>
  <si>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</si>
  <si>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</si>
  <si>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</si>
  <si>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</si>
  <si>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</si>
  <si>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</si>
  <si>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</si>
  <si>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</si>
  <si>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</si>
  <si>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</si>
  <si>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</si>
  <si>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</si>
  <si>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</si>
  <si>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</si>
  <si>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</si>
  <si>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</si>
  <si>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</si>
  <si>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</si>
  <si>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</si>
  <si>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</si>
  <si>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</si>
  <si>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</si>
  <si>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</si>
  <si>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</si>
  <si>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</si>
  <si>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</si>
  <si>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</si>
  <si>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</si>
  <si>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</si>
  <si>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</si>
  <si>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</si>
  <si>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</si>
  <si>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</si>
  <si>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</si>
  <si>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</si>
  <si>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</si>
  <si>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</si>
  <si>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</si>
  <si>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</si>
  <si>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</si>
  <si>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</si>
  <si>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</si>
  <si>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</si>
  <si>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</si>
  <si>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</si>
  <si>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</si>
  <si>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</si>
  <si>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</si>
  <si>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</si>
  <si>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</si>
  <si>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</si>
  <si>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</si>
  <si>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</si>
  <si>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</si>
  <si>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</si>
  <si>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</si>
  <si>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</si>
  <si>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</si>
  <si>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</si>
  <si>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</si>
  <si>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</si>
  <si>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</si>
  <si>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</si>
  <si>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</si>
  <si>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</si>
  <si>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</si>
  <si>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</si>
  <si>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</si>
  <si>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</si>
  <si>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</si>
  <si>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</si>
  <si>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</si>
  <si>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</si>
  <si>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</si>
  <si>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</si>
  <si>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</si>
  <si>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</si>
  <si>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</si>
  <si>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</si>
  <si>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</si>
  <si>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</si>
  <si>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</si>
  <si>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</si>
  <si>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</si>
  <si>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</si>
  <si>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</si>
  <si>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</si>
  <si>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</si>
  <si>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</si>
  <si>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</si>
  <si>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</si>
  <si>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</si>
  <si>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</si>
  <si>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</si>
  <si>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</si>
  <si>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</si>
  <si>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</si>
  <si>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</si>
  <si>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</si>
  <si>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</si>
  <si>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</si>
  <si>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</si>
  <si>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</si>
  <si>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</si>
  <si>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</si>
  <si>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</si>
  <si>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</si>
  <si>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</si>
  <si>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</si>
  <si>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</si>
  <si>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</si>
  <si>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</si>
  <si>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</si>
  <si>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</si>
  <si>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</si>
  <si>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</si>
  <si>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</si>
  <si>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</si>
  <si>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</si>
  <si>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</si>
  <si>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</si>
  <si>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</si>
  <si>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</si>
  <si>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</si>
  <si>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</si>
  <si>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</si>
  <si>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</si>
  <si>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</si>
  <si>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</si>
  <si>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</si>
  <si>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</si>
  <si>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</si>
  <si>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</si>
  <si>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</si>
  <si>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</si>
  <si>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</si>
  <si>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</si>
  <si>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</si>
  <si>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</si>
  <si>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</si>
  <si>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</si>
  <si>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</si>
  <si>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</si>
  <si>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</si>
  <si>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</si>
  <si>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</si>
  <si>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</si>
  <si>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</si>
  <si>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</si>
  <si>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</si>
  <si>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</si>
  <si>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</si>
  <si>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</si>
  <si>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</si>
  <si>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</si>
  <si>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</si>
  <si>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</si>
  <si>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</si>
  <si>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</si>
  <si>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</si>
  <si>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</si>
  <si>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</si>
  <si>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</si>
  <si>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</si>
  <si>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</si>
  <si>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</si>
  <si>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</si>
  <si>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</si>
  <si>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</si>
  <si>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</si>
  <si>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</si>
  <si>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</si>
  <si>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</si>
  <si>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</si>
  <si>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</si>
  <si>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</si>
  <si>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</si>
  <si>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</si>
  <si>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</si>
  <si>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</si>
  <si>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</si>
  <si>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</si>
  <si>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</si>
  <si>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</si>
  <si>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</si>
  <si>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</si>
  <si>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</si>
  <si>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</si>
  <si>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</si>
  <si>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</si>
  <si>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</si>
  <si>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</si>
  <si>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</si>
  <si>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</si>
  <si>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</si>
  <si>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</si>
  <si>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</si>
  <si>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</si>
  <si>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Cowry Equity Fund</t>
  </si>
  <si>
    <t>CardinalStone Equity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</si>
  <si>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</si>
  <si>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</si>
  <si>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</si>
  <si>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</si>
  <si>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</si>
  <si>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Comercio Partners Money Market Fund</t>
  </si>
  <si>
    <t>Comercio Partners Asset Management Limited</t>
  </si>
  <si>
    <t>BALANCED</t>
  </si>
  <si>
    <t>Lotus Waqf (Endowment) Fund</t>
  </si>
  <si>
    <t>Marble Halal Commodities Fund</t>
  </si>
  <si>
    <t xml:space="preserve">Marble Capital Limited </t>
  </si>
  <si>
    <t>Marble Halal Fixed Income Fund</t>
  </si>
  <si>
    <t>FSDH Halal Fund</t>
  </si>
  <si>
    <t>Alpha Morgan Balanced Fund</t>
  </si>
  <si>
    <t>Alpha Morgan Capital Managers Limited</t>
  </si>
  <si>
    <t>Cowry Balanced Fund</t>
  </si>
  <si>
    <t>The Nigeria Football Fund</t>
  </si>
  <si>
    <t>GTI Asset Management &amp; Trust Limited</t>
  </si>
  <si>
    <t>GTI Balanced Fund</t>
  </si>
  <si>
    <t>Housing Solution Fund</t>
  </si>
  <si>
    <t>FUNDCO Capital Managers Limited</t>
  </si>
  <si>
    <t>Coral Money Market Fund</t>
  </si>
  <si>
    <t>AIICO Eurobond Fund</t>
  </si>
  <si>
    <t>RMBN Dollar Fixed Income Fund</t>
  </si>
  <si>
    <t>Lead Dollar Fixed Income Fund</t>
  </si>
  <si>
    <t>Lead Asset Management Limited</t>
  </si>
  <si>
    <t>Meristem Dollar Fund</t>
  </si>
  <si>
    <t>CardinalStone Dollar Fund</t>
  </si>
  <si>
    <t>Comercio Partners Dollar Fund</t>
  </si>
  <si>
    <t>Cowry Eurobond Fund</t>
  </si>
  <si>
    <t>EDC Dollar Fund</t>
  </si>
  <si>
    <t>Cowry Fixed Income Fund</t>
  </si>
  <si>
    <t>Guaranty Trust Fixed Income Fund</t>
  </si>
  <si>
    <t>Utica Custodian Assured Fixed Income Fund</t>
  </si>
  <si>
    <t>Utica Capital Limited</t>
  </si>
  <si>
    <t>Nigeria Bond Fund</t>
  </si>
  <si>
    <t>Meristem Fixed Income Fund</t>
  </si>
  <si>
    <t>Comercio Partners Fixed Income Fund</t>
  </si>
  <si>
    <t>FBN Bond Fund</t>
  </si>
  <si>
    <t>Norrenberger Turbo Fixed Income Fund</t>
  </si>
  <si>
    <t>Norrenberger Investment &amp; Capital Mgt. Ltd.</t>
  </si>
  <si>
    <t>GTI  Money Market Fund</t>
  </si>
  <si>
    <t>Growth and Development Asset Management Limited</t>
  </si>
  <si>
    <t>Halo Equity Fund</t>
  </si>
  <si>
    <t>Halo Asset Management Limited</t>
  </si>
  <si>
    <t>Zrosk Magna Equity Fund</t>
  </si>
  <si>
    <t>Zrosk Investment Management Limited</t>
  </si>
  <si>
    <t>Hillcrest Balanced Fund</t>
  </si>
  <si>
    <t>Hillcrest Capital Management Limited</t>
  </si>
  <si>
    <t>Coronation Dollar Fund</t>
  </si>
  <si>
    <t>Coronation Premium Fixed Income Fund</t>
  </si>
  <si>
    <t>Emerging Africa Halal Fund</t>
  </si>
  <si>
    <t>Chapel Hill Denham Money Market Fund</t>
  </si>
  <si>
    <t>Oct 2024</t>
  </si>
  <si>
    <t>Nov 2024</t>
  </si>
  <si>
    <t>223,141 ,271.01</t>
  </si>
  <si>
    <t>NET ASSET VALUE (N) PREVIOUS - NOVEMBER</t>
  </si>
  <si>
    <t>Guaranty Trust Investment Fund 724</t>
  </si>
  <si>
    <t>NFEM RATE NG₦/US$ as at 31st December, 2024 = N1,535.8176</t>
  </si>
  <si>
    <t>MONTHLY UPDATE ON REGISTERED MUTUAL FUNDS AS AT 31ST DECEMBER, 2024</t>
  </si>
  <si>
    <t>Radix Horizon Fund</t>
  </si>
  <si>
    <t>Radix Capital Partners Limited</t>
  </si>
  <si>
    <t>Norrenberger Investment and Capital Mgt Limited</t>
  </si>
  <si>
    <t>Dec 2024</t>
  </si>
  <si>
    <t>Guaranty Trust Dollar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</si>
</sst>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  <numFmt numFmtId="176" formatCode="_-* #,##0.0_-;\-* #,##0.0_-;_-* &quot;-&quot;??_-;_-@_-"/>
  </numFmts>
  <fonts count="39">
    <font>
      <sz val="11"/>
      <color theme="1"/>
      <name val="Calibri"/>
      <charset val="134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i/>
      <sz val="16"/>
      <name val="Helv"/>
      <charset val="134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0"/>
      <name val="Times New Roman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b/>
      <sz val="28"/>
      <color theme="0"/>
      <name val="Segoe UI Black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Century Gothic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b/>
      <sz val="12"/>
      <color theme="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79857783745845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64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164" fontId="1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5" fillId="20" borderId="0" applyNumberFormat="0" applyBorder="0" applyAlignment="0" applyProtection="0"/>
    <xf numFmtId="17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37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0" fontId="14" fillId="21" borderId="2" applyNumberFormat="0" applyFon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30">
    <xf numFmtId="0" fontId="0" fillId="0" borderId="0" xfId="0"/>
    <xf numFmtId="0" fontId="19" fillId="22" borderId="0" xfId="0" applyFont="1" applyFill="1" applyAlignment="1">
      <alignment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22" borderId="0" xfId="0" applyFont="1" applyFill="1"/>
    <xf numFmtId="0" fontId="4" fillId="22" borderId="0" xfId="0" applyFont="1" applyFill="1"/>
    <xf numFmtId="164" fontId="21" fillId="22" borderId="0" xfId="181" applyFont="1" applyFill="1" applyBorder="1" applyAlignment="1"/>
    <xf numFmtId="172" fontId="3" fillId="22" borderId="0" xfId="0" applyNumberFormat="1" applyFont="1" applyFill="1"/>
    <xf numFmtId="175" fontId="3" fillId="22" borderId="0" xfId="0" applyNumberFormat="1" applyFont="1" applyFill="1"/>
    <xf numFmtId="164" fontId="8" fillId="22" borderId="3" xfId="181" applyFont="1" applyFill="1" applyBorder="1"/>
    <xf numFmtId="172" fontId="8" fillId="22" borderId="3" xfId="0" applyNumberFormat="1" applyFont="1" applyFill="1" applyBorder="1" applyAlignment="1">
      <alignment horizontal="right"/>
    </xf>
    <xf numFmtId="164" fontId="8" fillId="22" borderId="3" xfId="181" applyFont="1" applyFill="1" applyBorder="1" applyAlignment="1"/>
    <xf numFmtId="10" fontId="8" fillId="22" borderId="3" xfId="0" applyNumberFormat="1" applyFont="1" applyFill="1" applyBorder="1" applyAlignment="1">
      <alignment horizontal="center"/>
    </xf>
    <xf numFmtId="0" fontId="23" fillId="24" borderId="0" xfId="0" applyFont="1" applyFill="1" applyAlignment="1">
      <alignment horizontal="right" vertical="center"/>
    </xf>
    <xf numFmtId="0" fontId="24" fillId="22" borderId="0" xfId="0" applyFont="1" applyFill="1"/>
    <xf numFmtId="0" fontId="25" fillId="0" borderId="0" xfId="0" applyFont="1"/>
    <xf numFmtId="0" fontId="26" fillId="22" borderId="0" xfId="0" applyFont="1" applyFill="1"/>
    <xf numFmtId="164" fontId="8" fillId="22" borderId="3" xfId="181" applyFont="1" applyFill="1" applyBorder="1" applyAlignment="1">
      <alignment horizontal="right"/>
    </xf>
    <xf numFmtId="164" fontId="8" fillId="0" borderId="3" xfId="181" applyFont="1" applyBorder="1"/>
    <xf numFmtId="164" fontId="8" fillId="0" borderId="3" xfId="181" applyFont="1" applyFill="1" applyBorder="1"/>
    <xf numFmtId="49" fontId="8" fillId="22" borderId="3" xfId="0" applyNumberFormat="1" applyFont="1" applyFill="1" applyBorder="1" applyAlignment="1">
      <alignment wrapText="1"/>
    </xf>
    <xf numFmtId="172" fontId="8" fillId="22" borderId="3" xfId="0" applyNumberFormat="1" applyFont="1" applyFill="1" applyBorder="1" applyAlignment="1">
      <alignment horizontal="left"/>
    </xf>
    <xf numFmtId="10" fontId="8" fillId="25" borderId="3" xfId="0" applyNumberFormat="1" applyFont="1" applyFill="1" applyBorder="1" applyAlignment="1">
      <alignment horizontal="center" vertical="center"/>
    </xf>
    <xf numFmtId="172" fontId="8" fillId="25" borderId="3" xfId="0" applyNumberFormat="1" applyFont="1" applyFill="1" applyBorder="1" applyAlignment="1">
      <alignment horizontal="right" vertical="center"/>
    </xf>
    <xf numFmtId="172" fontId="8" fillId="22" borderId="3" xfId="0" applyNumberFormat="1" applyFont="1" applyFill="1" applyBorder="1"/>
    <xf numFmtId="172" fontId="8" fillId="25" borderId="3" xfId="0" applyNumberFormat="1" applyFont="1" applyFill="1" applyBorder="1" applyAlignment="1">
      <alignment horizontal="center" vertical="center"/>
    </xf>
    <xf numFmtId="172" fontId="9" fillId="22" borderId="3" xfId="0" applyNumberFormat="1" applyFont="1" applyFill="1" applyBorder="1"/>
    <xf numFmtId="164" fontId="8" fillId="22" borderId="3" xfId="181" applyFont="1" applyFill="1" applyBorder="1" applyAlignment="1">
      <alignment horizontal="right" vertical="top" wrapText="1"/>
    </xf>
    <xf numFmtId="164" fontId="8" fillId="22" borderId="3" xfId="181" applyFont="1" applyFill="1" applyBorder="1" applyAlignment="1">
      <alignment horizontal="center" vertical="top" wrapText="1"/>
    </xf>
    <xf numFmtId="176" fontId="8" fillId="22" borderId="3" xfId="181" applyNumberFormat="1" applyFont="1" applyFill="1" applyBorder="1" applyAlignment="1">
      <alignment horizontal="right" vertical="top" wrapText="1"/>
    </xf>
    <xf numFmtId="172" fontId="8" fillId="22" borderId="3" xfId="0" applyNumberFormat="1" applyFont="1" applyFill="1" applyBorder="1" applyAlignment="1">
      <alignment horizontal="right" wrapText="1"/>
    </xf>
    <xf numFmtId="164" fontId="8" fillId="22" borderId="3" xfId="181" applyFont="1" applyFill="1" applyBorder="1" applyAlignment="1">
      <alignment horizontal="left"/>
    </xf>
    <xf numFmtId="49" fontId="2" fillId="26" borderId="3" xfId="0" applyNumberFormat="1" applyFont="1" applyFill="1" applyBorder="1" applyAlignment="1">
      <alignment horizontal="center" vertical="top" wrapText="1"/>
    </xf>
    <xf numFmtId="4" fontId="8" fillId="0" borderId="3" xfId="0" applyNumberFormat="1" applyFont="1" applyBorder="1"/>
    <xf numFmtId="171" fontId="8" fillId="0" borderId="3" xfId="0" applyNumberFormat="1" applyFont="1" applyFill="1" applyBorder="1" applyAlignment="1" applyProtection="1"/>
    <xf numFmtId="174" fontId="8" fillId="0" borderId="3" xfId="0" applyNumberFormat="1" applyFont="1" applyFill="1" applyBorder="1" applyAlignment="1" applyProtection="1"/>
    <xf numFmtId="164" fontId="2" fillId="26" borderId="3" xfId="181" applyFont="1" applyFill="1" applyBorder="1" applyAlignment="1">
      <alignment horizontal="center" vertical="top" wrapText="1"/>
    </xf>
    <xf numFmtId="172" fontId="9" fillId="22" borderId="3" xfId="0" applyNumberFormat="1" applyFont="1" applyFill="1" applyBorder="1" applyAlignment="1">
      <alignment horizontal="left"/>
    </xf>
    <xf numFmtId="164" fontId="9" fillId="22" borderId="3" xfId="181" applyFont="1" applyFill="1" applyBorder="1"/>
    <xf numFmtId="173" fontId="8" fillId="22" borderId="3" xfId="0" applyNumberFormat="1" applyFont="1" applyFill="1" applyBorder="1"/>
    <xf numFmtId="10" fontId="9" fillId="26" borderId="3" xfId="0" applyNumberFormat="1" applyFont="1" applyFill="1" applyBorder="1"/>
    <xf numFmtId="10" fontId="9" fillId="26" borderId="3" xfId="0" applyNumberFormat="1" applyFont="1" applyFill="1" applyBorder="1" applyAlignment="1">
      <alignment horizontal="right" vertical="center"/>
    </xf>
    <xf numFmtId="172" fontId="9" fillId="26" borderId="3" xfId="0" applyNumberFormat="1" applyFont="1" applyFill="1" applyBorder="1" applyAlignment="1">
      <alignment horizontal="right" vertical="center"/>
    </xf>
    <xf numFmtId="164" fontId="9" fillId="26" borderId="3" xfId="181" applyFont="1" applyFill="1" applyBorder="1"/>
    <xf numFmtId="164" fontId="8" fillId="22" borderId="4" xfId="181" applyFont="1" applyFill="1" applyBorder="1"/>
    <xf numFmtId="164" fontId="8" fillId="0" borderId="3" xfId="181" applyFont="1" applyBorder="1" applyAlignment="1"/>
    <xf numFmtId="164" fontId="8" fillId="27" borderId="3" xfId="181" applyFont="1" applyFill="1" applyBorder="1"/>
    <xf numFmtId="164" fontId="2" fillId="26" borderId="3" xfId="181" applyFont="1" applyFill="1" applyBorder="1"/>
    <xf numFmtId="10" fontId="2" fillId="26" borderId="3" xfId="0" applyNumberFormat="1" applyFont="1" applyFill="1" applyBorder="1"/>
    <xf numFmtId="0" fontId="10" fillId="0" borderId="0" xfId="0" applyFont="1" applyAlignment="1">
      <alignment horizontal="right"/>
    </xf>
    <xf numFmtId="164" fontId="12" fillId="22" borderId="0" xfId="181" applyFont="1" applyFill="1" applyBorder="1"/>
    <xf numFmtId="4" fontId="13" fillId="22" borderId="0" xfId="0" applyNumberFormat="1" applyFont="1" applyFill="1"/>
    <xf numFmtId="4" fontId="13" fillId="22" borderId="0" xfId="0" applyNumberFormat="1" applyFont="1" applyFill="1" applyAlignment="1">
      <alignment horizontal="right"/>
    </xf>
    <xf numFmtId="4" fontId="12" fillId="22" borderId="0" xfId="0" applyNumberFormat="1" applyFont="1" applyFill="1" applyAlignment="1">
      <alignment horizontal="right"/>
    </xf>
    <xf numFmtId="0" fontId="11" fillId="0" borderId="0" xfId="0" applyFont="1" applyAlignment="1">
      <alignment horizontal="right"/>
    </xf>
    <xf numFmtId="4" fontId="12" fillId="22" borderId="0" xfId="0" applyNumberFormat="1" applyFont="1" applyFill="1"/>
    <xf numFmtId="164" fontId="13" fillId="22" borderId="0" xfId="181" applyFont="1" applyFill="1" applyBorder="1" applyAlignment="1">
      <alignment horizontal="right" vertical="top" wrapText="1"/>
    </xf>
    <xf numFmtId="164" fontId="12" fillId="22" borderId="0" xfId="181" applyFont="1" applyFill="1" applyBorder="1" applyAlignment="1">
      <alignment horizontal="right" vertical="top" wrapText="1"/>
    </xf>
    <xf numFmtId="43" fontId="20" fillId="0" borderId="0" xfId="200" applyFont="1"/>
    <xf numFmtId="0" fontId="13" fillId="0" borderId="0" xfId="0" applyFont="1" applyAlignment="1">
      <alignment horizontal="right"/>
    </xf>
    <xf numFmtId="164" fontId="9" fillId="22" borderId="3" xfId="181" applyFont="1" applyFill="1" applyBorder="1" applyAlignment="1">
      <alignment horizontal="left"/>
    </xf>
    <xf numFmtId="164" fontId="8" fillId="0" borderId="3" xfId="181" applyFont="1" applyFill="1" applyBorder="1" applyAlignment="1" applyProtection="1"/>
    <xf numFmtId="0" fontId="27" fillId="24" borderId="1" xfId="0" applyFont="1" applyFill="1" applyBorder="1" applyAlignment="1">
      <alignment horizontal="left" vertical="center"/>
    </xf>
    <xf numFmtId="4" fontId="8" fillId="22" borderId="3" xfId="0" applyNumberFormat="1" applyFont="1" applyFill="1" applyBorder="1" applyAlignment="1">
      <alignment wrapText="1"/>
    </xf>
    <xf numFmtId="173" fontId="8" fillId="22" borderId="3" xfId="0" applyNumberFormat="1" applyFont="1" applyFill="1" applyBorder="1" applyAlignment="1">
      <alignment horizontal="right" wrapText="1"/>
    </xf>
    <xf numFmtId="164" fontId="8" fillId="0" borderId="3" xfId="181" applyFont="1" applyBorder="1" applyAlignment="1">
      <alignment horizontal="right"/>
    </xf>
    <xf numFmtId="0" fontId="8" fillId="22" borderId="3" xfId="0" applyFont="1" applyFill="1" applyBorder="1" applyAlignment="1">
      <alignment wrapText="1"/>
    </xf>
    <xf numFmtId="49" fontId="8" fillId="22" borderId="3" xfId="0" applyNumberFormat="1" applyFont="1" applyFill="1" applyBorder="1"/>
    <xf numFmtId="0" fontId="8" fillId="22" borderId="3" xfId="0" applyNumberFormat="1" applyFont="1" applyFill="1" applyBorder="1" applyAlignment="1">
      <alignment horizontal="right" wrapText="1"/>
    </xf>
    <xf numFmtId="2" fontId="8" fillId="22" borderId="3" xfId="0" applyNumberFormat="1" applyFont="1" applyFill="1" applyBorder="1" applyAlignment="1">
      <alignment wrapText="1"/>
    </xf>
    <xf numFmtId="2" fontId="8" fillId="22" borderId="3" xfId="0" applyNumberFormat="1" applyFont="1" applyFill="1" applyBorder="1"/>
    <xf numFmtId="49" fontId="8" fillId="22" borderId="3" xfId="0" applyNumberFormat="1" applyFont="1" applyFill="1" applyBorder="1" applyAlignment="1">
      <alignment vertical="center" wrapText="1"/>
    </xf>
    <xf numFmtId="164" fontId="8" fillId="22" borderId="3" xfId="181" applyFont="1" applyFill="1" applyBorder="1" applyAlignment="1">
      <alignment wrapText="1"/>
    </xf>
    <xf numFmtId="49" fontId="8" fillId="22" borderId="3" xfId="0" applyNumberFormat="1" applyFont="1" applyFill="1" applyBorder="1" applyAlignment="1">
      <alignment vertical="top" wrapText="1"/>
    </xf>
    <xf numFmtId="0" fontId="22" fillId="22" borderId="0" xfId="0" applyFont="1" applyFill="1"/>
    <xf numFmtId="0" fontId="22" fillId="23" borderId="0" xfId="0" applyFont="1" applyFill="1"/>
    <xf numFmtId="174" fontId="8" fillId="22" borderId="3" xfId="181" applyNumberFormat="1" applyFont="1" applyFill="1" applyBorder="1" applyAlignment="1">
      <alignment horizontal="center" wrapText="1"/>
    </xf>
    <xf numFmtId="164" fontId="8" fillId="22" borderId="3" xfId="181" applyFont="1" applyFill="1" applyBorder="1" applyAlignment="1">
      <alignment horizontal="left" vertical="top" wrapText="1"/>
    </xf>
    <xf numFmtId="164" fontId="8" fillId="22" borderId="3" xfId="181" applyFont="1" applyFill="1" applyBorder="1" applyAlignment="1">
      <alignment horizontal="left" wrapText="1"/>
    </xf>
    <xf numFmtId="2" fontId="8" fillId="22" borderId="3" xfId="413" applyNumberFormat="1" applyFont="1" applyFill="1" applyBorder="1" applyAlignment="1">
      <alignment wrapText="1"/>
    </xf>
    <xf numFmtId="172" fontId="8" fillId="0" borderId="3" xfId="0" applyNumberFormat="1" applyFont="1" applyFill="1" applyBorder="1"/>
    <xf numFmtId="0" fontId="8" fillId="22" borderId="3" xfId="0" applyFont="1" applyFill="1" applyBorder="1"/>
    <xf numFmtId="0" fontId="29" fillId="0" borderId="0" xfId="0" applyFont="1"/>
    <xf numFmtId="16" fontId="30" fillId="22" borderId="0" xfId="0" applyNumberFormat="1" applyFont="1" applyFill="1"/>
    <xf numFmtId="164" fontId="29" fillId="0" borderId="0" xfId="181" applyFont="1" applyBorder="1"/>
    <xf numFmtId="4" fontId="29" fillId="22" borderId="0" xfId="0" applyNumberFormat="1" applyFont="1" applyFill="1"/>
    <xf numFmtId="172" fontId="29" fillId="22" borderId="0" xfId="0" applyNumberFormat="1" applyFont="1" applyFill="1"/>
    <xf numFmtId="173" fontId="8" fillId="22" borderId="3" xfId="0" applyNumberFormat="1" applyFont="1" applyFill="1" applyBorder="1" applyAlignment="1">
      <alignment horizontal="center" wrapText="1"/>
    </xf>
    <xf numFmtId="10" fontId="8" fillId="25" borderId="3" xfId="0" applyNumberFormat="1" applyFont="1" applyFill="1" applyBorder="1" applyAlignment="1">
      <alignment horizontal="right" vertical="center"/>
    </xf>
    <xf numFmtId="0" fontId="8" fillId="0" borderId="3" xfId="0" applyFont="1" applyBorder="1"/>
    <xf numFmtId="173" fontId="8" fillId="22" borderId="3" xfId="0" applyNumberFormat="1" applyFont="1" applyFill="1" applyBorder="1" applyAlignment="1">
      <alignment horizontal="center" wrapText="1"/>
    </xf>
    <xf numFmtId="164" fontId="9" fillId="22" borderId="3" xfId="181" applyFont="1" applyFill="1" applyBorder="1" applyAlignment="1"/>
    <xf numFmtId="4" fontId="13" fillId="22" borderId="0" xfId="0" applyNumberFormat="1" applyFont="1" applyFill="1" applyBorder="1" applyAlignment="1">
      <alignment horizontal="right"/>
    </xf>
    <xf numFmtId="173" fontId="8" fillId="22" borderId="3" xfId="0" applyNumberFormat="1" applyFont="1" applyFill="1" applyBorder="1" applyAlignment="1">
      <alignment horizontal="center" wrapText="1"/>
    </xf>
    <xf numFmtId="49" fontId="2" fillId="22" borderId="3" xfId="0" applyNumberFormat="1" applyFont="1" applyFill="1" applyBorder="1" applyAlignment="1">
      <alignment horizontal="center" vertical="top" wrapText="1"/>
    </xf>
    <xf numFmtId="49" fontId="28" fillId="28" borderId="3" xfId="0" applyNumberFormat="1" applyFont="1" applyFill="1" applyBorder="1" applyAlignment="1">
      <alignment horizontal="center"/>
    </xf>
    <xf numFmtId="0" fontId="28" fillId="28" borderId="3" xfId="0" applyFont="1" applyFill="1" applyBorder="1" applyAlignment="1">
      <alignment horizontal="center"/>
    </xf>
    <xf numFmtId="49" fontId="9" fillId="22" borderId="3" xfId="0" applyNumberFormat="1" applyFont="1" applyFill="1" applyBorder="1" applyAlignment="1">
      <alignment horizontal="right"/>
    </xf>
    <xf numFmtId="173" fontId="8" fillId="22" borderId="3" xfId="0" applyNumberFormat="1" applyFont="1" applyFill="1" applyBorder="1" applyAlignment="1">
      <alignment horizontal="center"/>
    </xf>
    <xf numFmtId="49" fontId="8" fillId="22" borderId="3" xfId="0" applyNumberFormat="1" applyFont="1" applyFill="1" applyBorder="1" applyAlignment="1">
      <alignment horizontal="right"/>
    </xf>
    <xf numFmtId="49" fontId="8" fillId="22" borderId="3" xfId="0" applyNumberFormat="1" applyFont="1" applyFill="1" applyBorder="1" applyAlignment="1">
      <alignment horizontal="center" wrapText="1"/>
    </xf>
    <xf numFmtId="172" fontId="31" fillId="22" borderId="3" xfId="0" applyNumberFormat="1" applyFont="1" applyFill="1" applyBorder="1" applyAlignment="1">
      <alignment horizontal="center" wrapText="1"/>
    </xf>
    <xf numFmtId="173" fontId="8" fillId="22" borderId="3" xfId="0" applyNumberFormat="1" applyFont="1" applyFill="1" applyBorder="1" applyAlignment="1">
      <alignment horizontal="center" wrapText="1"/>
    </xf>
    <xf numFmtId="49" fontId="2" fillId="26" borderId="3" xfId="0" applyNumberFormat="1" applyFont="1" applyFill="1" applyBorder="1" applyAlignment="1">
      <alignment horizontal="right"/>
    </xf>
    <xf numFmtId="0" fontId="31" fillId="22" borderId="3" xfId="0" applyFont="1" applyFill="1" applyBorder="1" applyAlignment="1">
      <alignment horizontal="center" wrapText="1"/>
    </xf>
    <xf numFmtId="2" fontId="31" fillId="22" borderId="3" xfId="0" applyNumberFormat="1" applyFont="1" applyFill="1" applyBorder="1" applyAlignment="1">
      <alignment horizontal="center" wrapText="1"/>
    </xf>
    <xf numFmtId="0" fontId="26" fillId="22" borderId="0" xfId="0" applyFont="1" applyFill="1" applyAlignment="1">
      <alignment horizontal="center" wrapText="1"/>
    </xf>
    <xf numFmtId="0" fontId="34" fillId="0" borderId="0" xfId="0" applyFont="1" applyAlignment="1">
      <alignment horizontal="right"/>
    </xf>
    <xf numFmtId="16" fontId="34" fillId="22" borderId="0" xfId="0" quotePrefix="1" applyNumberFormat="1" applyFont="1" applyFill="1" applyAlignment="1">
      <alignment horizontal="right" wrapText="1"/>
    </xf>
    <xf numFmtId="0" fontId="33" fillId="0" borderId="0" xfId="0" applyFont="1"/>
    <xf numFmtId="0" fontId="34" fillId="0" borderId="0" xfId="0" applyFont="1" applyAlignment="1">
      <alignment horizontal="right" wrapText="1"/>
    </xf>
    <xf numFmtId="43" fontId="35" fillId="0" borderId="0" xfId="200" applyFont="1" applyBorder="1"/>
    <xf numFmtId="2" fontId="35" fillId="0" borderId="0" xfId="0" applyNumberFormat="1" applyFont="1"/>
    <xf numFmtId="164" fontId="35" fillId="0" borderId="0" xfId="181" applyFont="1"/>
    <xf numFmtId="0" fontId="35" fillId="0" borderId="0" xfId="0" applyFont="1"/>
    <xf numFmtId="0" fontId="34" fillId="0" borderId="3" xfId="0" applyFont="1" applyBorder="1" applyAlignment="1">
      <alignment horizontal="right"/>
    </xf>
    <xf numFmtId="16" fontId="34" fillId="22" borderId="3" xfId="0" quotePrefix="1" applyNumberFormat="1" applyFont="1" applyFill="1" applyBorder="1" applyAlignment="1">
      <alignment horizontal="right"/>
    </xf>
    <xf numFmtId="164" fontId="35" fillId="22" borderId="3" xfId="181" applyFont="1" applyFill="1" applyBorder="1" applyAlignment="1">
      <alignment horizontal="right" vertical="top" wrapText="1"/>
    </xf>
    <xf numFmtId="164" fontId="35" fillId="22" borderId="3" xfId="181" applyFont="1" applyFill="1" applyBorder="1"/>
    <xf numFmtId="4" fontId="35" fillId="22" borderId="3" xfId="0" applyNumberFormat="1" applyFont="1" applyFill="1" applyBorder="1"/>
    <xf numFmtId="4" fontId="35" fillId="22" borderId="3" xfId="0" applyNumberFormat="1" applyFont="1" applyFill="1" applyBorder="1" applyAlignment="1">
      <alignment horizontal="right"/>
    </xf>
    <xf numFmtId="0" fontId="36" fillId="0" borderId="0" xfId="0" applyFont="1" applyBorder="1" applyAlignment="1">
      <alignment horizontal="right"/>
    </xf>
    <xf numFmtId="43" fontId="33" fillId="0" borderId="0" xfId="200" applyFont="1"/>
    <xf numFmtId="4" fontId="37" fillId="22" borderId="3" xfId="0" applyNumberFormat="1" applyFont="1" applyFill="1" applyBorder="1"/>
    <xf numFmtId="4" fontId="37" fillId="22" borderId="3" xfId="0" applyNumberFormat="1" applyFont="1" applyFill="1" applyBorder="1" applyAlignment="1">
      <alignment horizontal="right"/>
    </xf>
    <xf numFmtId="0" fontId="38" fillId="0" borderId="1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36" fillId="0" borderId="1" xfId="0" applyFont="1" applyBorder="1" applyAlignment="1">
      <alignment horizontal="right"/>
    </xf>
    <xf numFmtId="171" fontId="33" fillId="0" borderId="0" xfId="200" applyNumberFormat="1" applyFont="1"/>
  </cellXfs>
  <cellStyles count="46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3 3" xfId="6"/>
    <cellStyle name="20% - Accent1 4" xfId="7"/>
    <cellStyle name="20% - Accent1 4 2" xfId="8"/>
    <cellStyle name="20% - Accent1 5" xfId="9"/>
    <cellStyle name="20% - Accent1 6" xfId="10"/>
    <cellStyle name="20% - Accent2 2" xfId="11"/>
    <cellStyle name="20% - Accent2 2 2" xfId="12"/>
    <cellStyle name="20% - Accent2 2 3" xfId="13"/>
    <cellStyle name="20% - Accent2 3" xfId="14"/>
    <cellStyle name="20% - Accent2 3 2" xfId="15"/>
    <cellStyle name="20% - Accent2 3 3" xfId="16"/>
    <cellStyle name="20% - Accent2 4" xfId="17"/>
    <cellStyle name="20% - Accent2 4 2" xfId="18"/>
    <cellStyle name="20% - Accent2 5" xfId="19"/>
    <cellStyle name="20% - Accent2 6" xfId="20"/>
    <cellStyle name="20% - Accent3 2" xfId="21"/>
    <cellStyle name="20% - Accent3 2 2" xfId="22"/>
    <cellStyle name="20% - Accent3 2 3" xfId="23"/>
    <cellStyle name="20% - Accent3 3" xfId="24"/>
    <cellStyle name="20% - Accent3 3 2" xfId="25"/>
    <cellStyle name="20% - Accent3 3 3" xfId="26"/>
    <cellStyle name="20% - Accent3 4" xfId="27"/>
    <cellStyle name="20% - Accent3 4 2" xfId="28"/>
    <cellStyle name="20% - Accent3 5" xfId="29"/>
    <cellStyle name="20% - Accent3 6" xfId="30"/>
    <cellStyle name="20% - Accent4 2" xfId="31"/>
    <cellStyle name="20% - Accent4 2 2" xfId="32"/>
    <cellStyle name="20% - Accent4 2 3" xfId="33"/>
    <cellStyle name="20% - Accent4 3" xfId="34"/>
    <cellStyle name="20% - Accent4 3 2" xfId="35"/>
    <cellStyle name="20% - Accent4 3 3" xfId="36"/>
    <cellStyle name="20% - Accent4 4" xfId="37"/>
    <cellStyle name="20% - Accent4 4 2" xfId="38"/>
    <cellStyle name="20% - Accent4 5" xfId="39"/>
    <cellStyle name="20% - Accent4 6" xfId="40"/>
    <cellStyle name="20% - Accent5 2" xfId="41"/>
    <cellStyle name="20% - Accent5 2 2" xfId="42"/>
    <cellStyle name="20% - Accent5 2 3" xfId="43"/>
    <cellStyle name="20% - Accent5 3" xfId="44"/>
    <cellStyle name="20% - Accent5 3 2" xfId="45"/>
    <cellStyle name="20% - Accent5 3 3" xfId="46"/>
    <cellStyle name="20% - Accent5 4" xfId="47"/>
    <cellStyle name="20% - Accent5 4 2" xfId="48"/>
    <cellStyle name="20% - Accent5 5" xfId="49"/>
    <cellStyle name="20% - Accent5 6" xfId="50"/>
    <cellStyle name="20% - Accent6 2" xfId="51"/>
    <cellStyle name="20% - Accent6 2 2" xfId="52"/>
    <cellStyle name="20% - Accent6 2 3" xfId="53"/>
    <cellStyle name="20% - Accent6 3" xfId="54"/>
    <cellStyle name="20% - Accent6 3 2" xfId="55"/>
    <cellStyle name="20% - Accent6 3 3" xfId="56"/>
    <cellStyle name="20% - Accent6 4" xfId="57"/>
    <cellStyle name="20% - Accent6 4 2" xfId="58"/>
    <cellStyle name="20% - Accent6 5" xfId="59"/>
    <cellStyle name="20% - Accent6 6" xfId="60"/>
    <cellStyle name="40% - Accent1 2" xfId="61"/>
    <cellStyle name="40% - Accent1 2 2" xfId="62"/>
    <cellStyle name="40% - Accent1 2 3" xfId="63"/>
    <cellStyle name="40% - Accent1 3" xfId="64"/>
    <cellStyle name="40% - Accent1 3 2" xfId="65"/>
    <cellStyle name="40% - Accent1 3 3" xfId="66"/>
    <cellStyle name="40% - Accent1 4" xfId="67"/>
    <cellStyle name="40% - Accent1 4 2" xfId="68"/>
    <cellStyle name="40% - Accent1 5" xfId="69"/>
    <cellStyle name="40% - Accent1 6" xfId="70"/>
    <cellStyle name="40% - Accent2 2" xfId="71"/>
    <cellStyle name="40% - Accent2 2 2" xfId="72"/>
    <cellStyle name="40% - Accent2 2 3" xfId="73"/>
    <cellStyle name="40% - Accent2 3" xfId="74"/>
    <cellStyle name="40% - Accent2 3 2" xfId="75"/>
    <cellStyle name="40% - Accent2 3 3" xfId="76"/>
    <cellStyle name="40% - Accent2 4" xfId="77"/>
    <cellStyle name="40% - Accent2 4 2" xfId="78"/>
    <cellStyle name="40% - Accent2 5" xfId="79"/>
    <cellStyle name="40% - Accent2 6" xfId="80"/>
    <cellStyle name="40% - Accent3 2" xfId="81"/>
    <cellStyle name="40% - Accent3 2 2" xfId="82"/>
    <cellStyle name="40% - Accent3 2 3" xfId="83"/>
    <cellStyle name="40% - Accent3 3" xfId="84"/>
    <cellStyle name="40% - Accent3 3 2" xfId="85"/>
    <cellStyle name="40% - Accent3 3 3" xfId="86"/>
    <cellStyle name="40% - Accent3 4" xfId="87"/>
    <cellStyle name="40% - Accent3 4 2" xfId="88"/>
    <cellStyle name="40% - Accent3 5" xfId="89"/>
    <cellStyle name="40% - Accent3 6" xfId="90"/>
    <cellStyle name="40% - Accent4 2" xfId="91"/>
    <cellStyle name="40% - Accent4 2 2" xfId="92"/>
    <cellStyle name="40% - Accent4 2 3" xfId="93"/>
    <cellStyle name="40% - Accent4 3" xfId="94"/>
    <cellStyle name="40% - Accent4 3 2" xfId="95"/>
    <cellStyle name="40% - Accent4 3 3" xfId="96"/>
    <cellStyle name="40% - Accent4 4" xfId="97"/>
    <cellStyle name="40% - Accent4 4 2" xfId="98"/>
    <cellStyle name="40% - Accent4 5" xfId="99"/>
    <cellStyle name="40% - Accent4 6" xfId="100"/>
    <cellStyle name="40% - Accent5 2" xfId="101"/>
    <cellStyle name="40% - Accent5 2 2" xfId="102"/>
    <cellStyle name="40% - Accent5 2 3" xfId="103"/>
    <cellStyle name="40% - Accent5 3" xfId="104"/>
    <cellStyle name="40% - Accent5 3 2" xfId="105"/>
    <cellStyle name="40% - Accent5 3 3" xfId="106"/>
    <cellStyle name="40% - Accent5 4" xfId="107"/>
    <cellStyle name="40% - Accent5 4 2" xfId="108"/>
    <cellStyle name="40% - Accent5 5" xfId="109"/>
    <cellStyle name="40% - Accent5 6" xfId="110"/>
    <cellStyle name="40% - Accent6 2" xfId="111"/>
    <cellStyle name="40% - Accent6 2 2" xfId="112"/>
    <cellStyle name="40% - Accent6 2 3" xfId="113"/>
    <cellStyle name="40% - Accent6 3" xfId="114"/>
    <cellStyle name="40% - Accent6 3 2" xfId="115"/>
    <cellStyle name="40% - Accent6 3 3" xfId="116"/>
    <cellStyle name="40% - Accent6 4" xfId="117"/>
    <cellStyle name="40% - Accent6 4 2" xfId="118"/>
    <cellStyle name="40% - Accent6 5" xfId="119"/>
    <cellStyle name="40% - Accent6 6" xfId="120"/>
    <cellStyle name="60% - Accent1 2" xfId="121"/>
    <cellStyle name="60% - Accent1 2 2" xfId="122"/>
    <cellStyle name="60% - Accent1 2 3" xfId="123"/>
    <cellStyle name="60% - Accent1 3" xfId="124"/>
    <cellStyle name="60% - Accent1 3 2" xfId="125"/>
    <cellStyle name="60% - Accent1 3 3" xfId="126"/>
    <cellStyle name="60% - Accent1 4" xfId="127"/>
    <cellStyle name="60% - Accent1 4 2" xfId="128"/>
    <cellStyle name="60% - Accent1 5" xfId="129"/>
    <cellStyle name="60% - Accent1 6" xfId="130"/>
    <cellStyle name="60% - Accent2 2" xfId="131"/>
    <cellStyle name="60% - Accent2 2 2" xfId="132"/>
    <cellStyle name="60% - Accent2 2 3" xfId="133"/>
    <cellStyle name="60% - Accent2 3" xfId="134"/>
    <cellStyle name="60% - Accent2 3 2" xfId="135"/>
    <cellStyle name="60% - Accent2 3 3" xfId="136"/>
    <cellStyle name="60% - Accent2 4" xfId="137"/>
    <cellStyle name="60% - Accent2 4 2" xfId="138"/>
    <cellStyle name="60% - Accent2 5" xfId="139"/>
    <cellStyle name="60% - Accent2 6" xfId="140"/>
    <cellStyle name="60% - Accent3 2" xfId="141"/>
    <cellStyle name="60% - Accent3 2 2" xfId="142"/>
    <cellStyle name="60% - Accent3 2 3" xfId="143"/>
    <cellStyle name="60% - Accent3 3" xfId="144"/>
    <cellStyle name="60% - Accent3 3 2" xfId="145"/>
    <cellStyle name="60% - Accent3 3 3" xfId="146"/>
    <cellStyle name="60% - Accent3 4" xfId="147"/>
    <cellStyle name="60% - Accent3 4 2" xfId="148"/>
    <cellStyle name="60% - Accent3 5" xfId="149"/>
    <cellStyle name="60% - Accent3 6" xfId="150"/>
    <cellStyle name="60% - Accent4 2" xfId="151"/>
    <cellStyle name="60% - Accent4 2 2" xfId="152"/>
    <cellStyle name="60% - Accent4 2 3" xfId="153"/>
    <cellStyle name="60% - Accent4 3" xfId="154"/>
    <cellStyle name="60% - Accent4 3 2" xfId="155"/>
    <cellStyle name="60% - Accent4 3 3" xfId="156"/>
    <cellStyle name="60% - Accent4 4" xfId="157"/>
    <cellStyle name="60% - Accent4 4 2" xfId="158"/>
    <cellStyle name="60% - Accent4 5" xfId="159"/>
    <cellStyle name="60% - Accent4 6" xfId="160"/>
    <cellStyle name="60% - Accent5 2" xfId="161"/>
    <cellStyle name="60% - Accent5 2 2" xfId="162"/>
    <cellStyle name="60% - Accent5 2 3" xfId="163"/>
    <cellStyle name="60% - Accent5 3" xfId="164"/>
    <cellStyle name="60% - Accent5 3 2" xfId="165"/>
    <cellStyle name="60% - Accent5 3 3" xfId="166"/>
    <cellStyle name="60% - Accent5 4" xfId="167"/>
    <cellStyle name="60% - Accent5 4 2" xfId="168"/>
    <cellStyle name="60% - Accent5 5" xfId="169"/>
    <cellStyle name="60% - Accent5 6" xfId="170"/>
    <cellStyle name="60% - Accent6 2" xfId="171"/>
    <cellStyle name="60% - Accent6 2 2" xfId="172"/>
    <cellStyle name="60% - Accent6 2 3" xfId="173"/>
    <cellStyle name="60% - Accent6 3" xfId="174"/>
    <cellStyle name="60% - Accent6 3 2" xfId="175"/>
    <cellStyle name="60% - Accent6 3 3" xfId="176"/>
    <cellStyle name="60% - Accent6 4" xfId="177"/>
    <cellStyle name="60% - Accent6 4 2" xfId="178"/>
    <cellStyle name="60% - Accent6 5" xfId="179"/>
    <cellStyle name="60% - Accent6 6" xfId="180"/>
    <cellStyle name="Comma" xfId="18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13"/>
    <cellStyle name="Normal 8" xfId="414"/>
    <cellStyle name="Normal 8 2" xfId="415"/>
    <cellStyle name="Normal 8 3" xfId="416"/>
    <cellStyle name="Normal 9" xfId="417"/>
    <cellStyle name="Normal 9 2" xfId="418"/>
    <cellStyle name="Normal 9 3" xfId="419"/>
    <cellStyle name="Note 10" xfId="420"/>
    <cellStyle name="Note 10 2" xfId="421"/>
    <cellStyle name="Note 10 3" xfId="422"/>
    <cellStyle name="Note 11" xfId="423"/>
    <cellStyle name="Note 11 2" xfId="424"/>
    <cellStyle name="Note 11 3" xfId="425"/>
    <cellStyle name="Note 12" xfId="426"/>
    <cellStyle name="Note 12 2" xfId="427"/>
    <cellStyle name="Note 12 3" xfId="428"/>
    <cellStyle name="Note 13" xfId="429"/>
    <cellStyle name="Note 13 2" xfId="430"/>
    <cellStyle name="Note 14" xfId="431"/>
    <cellStyle name="Note 14 2" xfId="432"/>
    <cellStyle name="Note 2" xfId="433"/>
    <cellStyle name="Note 2 2" xfId="434"/>
    <cellStyle name="Note 2 3" xfId="435"/>
    <cellStyle name="Note 3" xfId="436"/>
    <cellStyle name="Note 3 2" xfId="437"/>
    <cellStyle name="Note 3 3" xfId="438"/>
    <cellStyle name="Note 4" xfId="439"/>
    <cellStyle name="Note 4 2" xfId="440"/>
    <cellStyle name="Note 4 3" xfId="441"/>
    <cellStyle name="Note 5" xfId="442"/>
    <cellStyle name="Note 5 2" xfId="443"/>
    <cellStyle name="Note 5 3" xfId="444"/>
    <cellStyle name="Note 6" xfId="445"/>
    <cellStyle name="Note 6 2" xfId="446"/>
    <cellStyle name="Note 6 3" xfId="447"/>
    <cellStyle name="Note 7" xfId="448"/>
    <cellStyle name="Note 7 2" xfId="449"/>
    <cellStyle name="Note 7 3" xfId="450"/>
    <cellStyle name="Note 8" xfId="451"/>
    <cellStyle name="Note 8 2" xfId="452"/>
    <cellStyle name="Note 8 3" xfId="453"/>
    <cellStyle name="Note 9" xfId="454"/>
    <cellStyle name="Note 9 2" xfId="455"/>
    <cellStyle name="Note 9 3" xfId="456"/>
    <cellStyle name="Percent 2" xfId="457"/>
    <cellStyle name="Percent 2 2" xfId="458"/>
    <cellStyle name="Percent 2 2 2" xfId="459"/>
    <cellStyle name="Percent 3" xfId="460"/>
    <cellStyle name="Percent 4" xfId="461"/>
    <cellStyle name="Title 2" xfId="462"/>
    <cellStyle name="Title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Oct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30.628950018609999</c:v>
                </c:pt>
                <c:pt idx="1">
                  <c:v>1510.5252124151007</c:v>
                </c:pt>
                <c:pt idx="2">
                  <c:v>209.49459869465005</c:v>
                </c:pt>
                <c:pt idx="3">
                  <c:v>1786.413448419692</c:v>
                </c:pt>
                <c:pt idx="4">
                  <c:v>99.346313362030003</c:v>
                </c:pt>
                <c:pt idx="5">
                  <c:v>52.694261751090004</c:v>
                </c:pt>
                <c:pt idx="6">
                  <c:v>5.4822518282099999</c:v>
                </c:pt>
                <c:pt idx="7">
                  <c:v>50.610103410020002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F-4931-A1AB-C4C479631BE5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Nov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31.228529608879999</c:v>
                </c:pt>
                <c:pt idx="1">
                  <c:v>1584.1650796173797</c:v>
                </c:pt>
                <c:pt idx="2">
                  <c:v>199.84515983545998</c:v>
                </c:pt>
                <c:pt idx="3">
                  <c:v>1813.5641643351717</c:v>
                </c:pt>
                <c:pt idx="4">
                  <c:v>99.731344023310001</c:v>
                </c:pt>
                <c:pt idx="5">
                  <c:v>53.404869418139995</c:v>
                </c:pt>
                <c:pt idx="6">
                  <c:v>5.6402502335799998</c:v>
                </c:pt>
                <c:pt idx="7">
                  <c:v>51.425579792678008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F-4931-A1AB-C4C479631BE5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Dec 2024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_-* #,##0.00_-;\-* #,##0.00_-;_-* "-"??_-;_-@_-</c:formatCode>
                <c:ptCount val="8"/>
                <c:pt idx="0" formatCode="0.00">
                  <c:v>33.205769505459998</c:v>
                </c:pt>
                <c:pt idx="1">
                  <c:v>1698.8041475135601</c:v>
                </c:pt>
                <c:pt idx="2" formatCode="0.00">
                  <c:v>186.56969501159</c:v>
                </c:pt>
                <c:pt idx="3">
                  <c:v>1702.1319299943202</c:v>
                </c:pt>
                <c:pt idx="4" formatCode="0.00">
                  <c:v>99.766059352709988</c:v>
                </c:pt>
                <c:pt idx="5" formatCode="0.00">
                  <c:v>54.456634889870003</c:v>
                </c:pt>
                <c:pt idx="6" formatCode="0.00">
                  <c:v>5.9068025219799996</c:v>
                </c:pt>
                <c:pt idx="7" formatCode="0.00">
                  <c:v>52.486058399730013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A-407D-9D1D-D1FBE8970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7295504"/>
        <c:axId val="1"/>
      </c:barChart>
      <c:catAx>
        <c:axId val="93729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37295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08380381372145"/>
          <c:y val="0.93120492330320359"/>
          <c:w val="0.25951814285926128"/>
          <c:h val="6.879503291743410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6350">
      <a:noFill/>
    </a:ln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4235435135"/>
          <c:y val="9.3377174007095252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30612036398778"/>
          <c:y val="0.16516634114243717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Dec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386C-466F-ABAD-5942FFFF25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6C-466F-ABAD-5942FFFF253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86C-466F-ABAD-5942FFFF253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86C-466F-ABAD-5942FFFF253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86C-466F-ABAD-5942FFFF253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86C-466F-ABAD-5942FFFF25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86C-466F-ABAD-5942FFFF253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86C-466F-ABAD-5942FFFF2532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6C-466F-ABAD-5942FFFF2532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6C-466F-ABAD-5942FFFF2532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6C-466F-ABAD-5942FFFF2532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6C-466F-ABAD-5942FFFF2532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6C-466F-ABAD-5942FFFF2532}"/>
                </c:ext>
              </c:extLst>
            </c:dLbl>
            <c:dLbl>
              <c:idx val="5"/>
              <c:layout>
                <c:manualLayout>
                  <c:x val="0.16387243416296915"/>
                  <c:y val="-0.1429328983576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6C-466F-ABAD-5942FFFF2532}"/>
                </c:ext>
              </c:extLst>
            </c:dLbl>
            <c:dLbl>
              <c:idx val="6"/>
              <c:layout>
                <c:manualLayout>
                  <c:x val="4.1958195051844678E-2"/>
                  <c:y val="0.13655900323029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6C-466F-ABAD-5942FFFF2532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86C-466F-ABAD-5942FFFF2532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5906802521.9799995</c:v>
                </c:pt>
                <c:pt idx="1">
                  <c:v>33205769505.459999</c:v>
                </c:pt>
                <c:pt idx="2" formatCode="#,##0.00">
                  <c:v>52486058399.730011</c:v>
                </c:pt>
                <c:pt idx="3" formatCode="#,##0.00">
                  <c:v>54456634889.870003</c:v>
                </c:pt>
                <c:pt idx="4" formatCode="#,##0.00">
                  <c:v>99766059352.709991</c:v>
                </c:pt>
                <c:pt idx="5" formatCode="#,##0.00">
                  <c:v>186569695011.59</c:v>
                </c:pt>
                <c:pt idx="6" formatCode="#,##0.00">
                  <c:v>1702131929994.3203</c:v>
                </c:pt>
                <c:pt idx="7" formatCode="#,##0.00">
                  <c:v>1698804147513.5601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6C-466F-ABAD-5942FFFF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49431</c:v>
                </c:pt>
                <c:pt idx="1">
                  <c:v>338427</c:v>
                </c:pt>
                <c:pt idx="2">
                  <c:v>42670</c:v>
                </c:pt>
                <c:pt idx="3">
                  <c:v>16864</c:v>
                </c:pt>
                <c:pt idx="4">
                  <c:v>217006</c:v>
                </c:pt>
                <c:pt idx="5">
                  <c:v>69068</c:v>
                </c:pt>
                <c:pt idx="6">
                  <c:v>13339</c:v>
                </c:pt>
                <c:pt idx="7">
                  <c:v>28653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E-4E23-81C4-725663298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0196976"/>
        <c:axId val="1"/>
      </c:barChart>
      <c:catAx>
        <c:axId val="9901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CLASSES OF FUNDS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4544443655160732"/>
              <c:y val="0.93623841323632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990196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556260</xdr:colOff>
      <xdr:row>22</xdr:row>
      <xdr:rowOff>142875</xdr:rowOff>
    </xdr:to>
    <xdr:graphicFrame macro="">
      <xdr:nvGraphicFramePr>
        <xdr:cNvPr id="11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561975</xdr:colOff>
      <xdr:row>31</xdr:row>
      <xdr:rowOff>1681</xdr:rowOff>
    </xdr:to>
    <xdr:graphicFrame macro="">
      <xdr:nvGraphicFramePr>
        <xdr:cNvPr id="21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1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%20on%20Registered%20Mutual%20Funds%20as%20at%20NOV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er"/>
      <sheetName val="NAV Comparison"/>
      <sheetName val="Market Share"/>
      <sheetName val="Unitholders"/>
    </sheetNames>
    <sheetDataSet>
      <sheetData sheetId="0">
        <row r="24">
          <cell r="K24">
            <v>31228529608.879997</v>
          </cell>
        </row>
        <row r="61">
          <cell r="K61">
            <v>1584165079617.3796</v>
          </cell>
        </row>
        <row r="98">
          <cell r="K98">
            <v>199845159835.45999</v>
          </cell>
        </row>
        <row r="132">
          <cell r="K132">
            <v>1813564164335.1716</v>
          </cell>
        </row>
        <row r="140">
          <cell r="K140">
            <v>99731344023.309998</v>
          </cell>
        </row>
        <row r="171">
          <cell r="K171">
            <v>53404869418.139992</v>
          </cell>
        </row>
        <row r="177">
          <cell r="K177">
            <v>5640250233.5799999</v>
          </cell>
        </row>
        <row r="200">
          <cell r="K200">
            <v>51425579792.678009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6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3" customWidth="1"/>
    <col min="2" max="2" width="44.6640625" style="16" customWidth="1"/>
    <col min="3" max="3" width="43.88671875" style="16" customWidth="1"/>
    <col min="4" max="4" width="21.5546875" style="3" customWidth="1"/>
    <col min="5" max="6" width="19.33203125" style="3" customWidth="1"/>
    <col min="7" max="7" width="19.6640625" style="3" customWidth="1"/>
    <col min="8" max="8" width="20" style="3" customWidth="1"/>
    <col min="9" max="9" width="22" style="3" customWidth="1"/>
    <col min="10" max="10" width="9" style="3"/>
    <col min="11" max="11" width="24.5546875" style="3" customWidth="1"/>
    <col min="12" max="12" width="9" style="3"/>
    <col min="13" max="13" width="11.5546875" style="3" customWidth="1"/>
    <col min="14" max="14" width="12.109375" style="3" customWidth="1"/>
    <col min="15" max="15" width="12.5546875" style="3" customWidth="1"/>
    <col min="16" max="16" width="12.33203125" style="3" customWidth="1"/>
    <col min="17" max="17" width="12.6640625" style="3" customWidth="1"/>
    <col min="18" max="18" width="14.44140625" style="3" customWidth="1"/>
    <col min="19" max="19" width="14.33203125" style="3" bestFit="1" customWidth="1"/>
    <col min="20" max="20" width="16.44140625" style="3" customWidth="1"/>
    <col min="21" max="22" width="20.109375" style="3" customWidth="1"/>
    <col min="23" max="16384" width="9" style="3"/>
  </cols>
  <sheetData>
    <row r="1" spans="1:23" ht="39.9" customHeight="1">
      <c r="A1" s="96" t="s">
        <v>273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4"/>
    </row>
    <row r="2" spans="1:23" ht="48" customHeight="1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7" t="s">
        <v>7</v>
      </c>
      <c r="I2" s="33" t="s">
        <v>270</v>
      </c>
      <c r="J2" s="33" t="s">
        <v>8</v>
      </c>
      <c r="K2" s="33" t="s">
        <v>9</v>
      </c>
      <c r="L2" s="33" t="s">
        <v>8</v>
      </c>
      <c r="M2" s="33" t="s">
        <v>10</v>
      </c>
      <c r="N2" s="33" t="s">
        <v>11</v>
      </c>
      <c r="O2" s="33" t="s">
        <v>12</v>
      </c>
      <c r="P2" s="33" t="s">
        <v>13</v>
      </c>
      <c r="Q2" s="33" t="s">
        <v>14</v>
      </c>
      <c r="R2" s="33" t="s">
        <v>15</v>
      </c>
      <c r="S2" s="33" t="s">
        <v>16</v>
      </c>
      <c r="T2" s="33" t="s">
        <v>17</v>
      </c>
      <c r="U2" s="33" t="s">
        <v>18</v>
      </c>
      <c r="V2" s="33" t="s">
        <v>19</v>
      </c>
    </row>
    <row r="3" spans="1:23" ht="6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3" ht="16.5" customHeight="1">
      <c r="A4" s="95" t="s">
        <v>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3" ht="15" customHeight="1">
      <c r="A5" s="88">
        <v>1</v>
      </c>
      <c r="B5" s="21" t="s">
        <v>21</v>
      </c>
      <c r="C5" s="21" t="s">
        <v>22</v>
      </c>
      <c r="D5" s="10">
        <v>1285465713.75</v>
      </c>
      <c r="E5" s="10">
        <v>5242965.5599999996</v>
      </c>
      <c r="F5" s="10">
        <v>451449064.13</v>
      </c>
      <c r="G5" s="10">
        <v>2394770.4900000002</v>
      </c>
      <c r="H5" s="12">
        <f>(E5+F5)-G5</f>
        <v>454297259.19999999</v>
      </c>
      <c r="I5" s="32">
        <v>1202992174.52</v>
      </c>
      <c r="J5" s="13">
        <f>(K5/$I$24)</f>
        <v>4.1756741215225206E-2</v>
      </c>
      <c r="K5" s="32">
        <v>1304001629.4100001</v>
      </c>
      <c r="L5" s="13">
        <f t="shared" ref="L5:L23" si="0">(K5/$K$24)</f>
        <v>3.9270333102673138E-2</v>
      </c>
      <c r="M5" s="13">
        <f t="shared" ref="M5:M24" si="1">((K5-I5)/I5)</f>
        <v>8.3965180347331345E-2</v>
      </c>
      <c r="N5" s="23">
        <f t="shared" ref="N5" si="2">(G5/K5)</f>
        <v>1.8364781423498085E-3</v>
      </c>
      <c r="O5" s="23">
        <f t="shared" ref="O5" si="3">H5/K5</f>
        <v>0.34838703338549376</v>
      </c>
      <c r="P5" s="24">
        <f t="shared" ref="P5" si="4">K5/V5</f>
        <v>396.35784116579373</v>
      </c>
      <c r="Q5" s="24">
        <f>H5/V5</f>
        <v>138.0859324428296</v>
      </c>
      <c r="R5" s="10">
        <v>396.3578</v>
      </c>
      <c r="S5" s="10">
        <v>396.3578</v>
      </c>
      <c r="T5" s="10">
        <v>1696</v>
      </c>
      <c r="U5" s="10">
        <v>3193590.72</v>
      </c>
      <c r="V5" s="10">
        <v>3289960.47</v>
      </c>
    </row>
    <row r="6" spans="1:23">
      <c r="A6" s="88">
        <v>2</v>
      </c>
      <c r="B6" s="21" t="s">
        <v>23</v>
      </c>
      <c r="C6" s="21" t="s">
        <v>24</v>
      </c>
      <c r="D6" s="10">
        <v>615755556.83000004</v>
      </c>
      <c r="E6" s="10">
        <v>2129820.52</v>
      </c>
      <c r="F6" s="10">
        <v>0</v>
      </c>
      <c r="G6" s="10">
        <v>891563.26</v>
      </c>
      <c r="H6" s="12">
        <f>(E6+F6)-G6</f>
        <v>1238257.26</v>
      </c>
      <c r="I6" s="32">
        <v>633336203.47000003</v>
      </c>
      <c r="J6" s="13">
        <f t="shared" ref="J6:J23" si="5">(I6/$I$24)</f>
        <v>2.0280692411784495E-2</v>
      </c>
      <c r="K6" s="32">
        <v>630574699.89999998</v>
      </c>
      <c r="L6" s="13">
        <f t="shared" si="0"/>
        <v>1.8989913779782007E-2</v>
      </c>
      <c r="M6" s="13">
        <f t="shared" si="1"/>
        <v>-4.3602490349832967E-3</v>
      </c>
      <c r="N6" s="23">
        <f t="shared" ref="N6:N23" si="6">(G6/K6)</f>
        <v>1.4138899961279592E-3</v>
      </c>
      <c r="O6" s="23">
        <f t="shared" ref="O6:O23" si="7">H6/K6</f>
        <v>1.9636963871153879E-3</v>
      </c>
      <c r="P6" s="24">
        <f t="shared" ref="P6:P23" si="8">K6/V6</f>
        <v>260.27423401203851</v>
      </c>
      <c r="Q6" s="24">
        <f t="shared" ref="Q6:Q23" si="9">H6/V6</f>
        <v>0.51109957298866504</v>
      </c>
      <c r="R6" s="10">
        <v>258.47000000000003</v>
      </c>
      <c r="S6" s="10">
        <v>261.38</v>
      </c>
      <c r="T6" s="10">
        <v>354</v>
      </c>
      <c r="U6" s="10">
        <v>2590543.31</v>
      </c>
      <c r="V6" s="10">
        <v>2422731.94</v>
      </c>
    </row>
    <row r="7" spans="1:23">
      <c r="A7" s="91">
        <v>3</v>
      </c>
      <c r="B7" s="21" t="s">
        <v>25</v>
      </c>
      <c r="C7" s="68" t="s">
        <v>26</v>
      </c>
      <c r="D7" s="10">
        <v>3723430669.8299999</v>
      </c>
      <c r="E7" s="10">
        <v>35813502.200000003</v>
      </c>
      <c r="F7" s="10">
        <v>245391289.56999999</v>
      </c>
      <c r="G7" s="10">
        <v>10582037.02</v>
      </c>
      <c r="H7" s="12">
        <f t="shared" ref="H7:H23" si="10">(E7+F7)-G7</f>
        <v>270622754.75</v>
      </c>
      <c r="I7" s="32">
        <v>3874154202</v>
      </c>
      <c r="J7" s="13">
        <f t="shared" si="5"/>
        <v>0.12405816894108149</v>
      </c>
      <c r="K7" s="32">
        <v>3919708098</v>
      </c>
      <c r="L7" s="13">
        <f t="shared" si="0"/>
        <v>0.11804298338442316</v>
      </c>
      <c r="M7" s="13">
        <f t="shared" si="1"/>
        <v>1.1758410642633476E-2</v>
      </c>
      <c r="N7" s="23">
        <f t="shared" si="6"/>
        <v>2.6997002724257453E-3</v>
      </c>
      <c r="O7" s="23">
        <f t="shared" si="7"/>
        <v>6.9041558193601998E-2</v>
      </c>
      <c r="P7" s="24">
        <f t="shared" si="8"/>
        <v>35.669714018337913</v>
      </c>
      <c r="Q7" s="24">
        <f t="shared" si="9"/>
        <v>2.4626926361462176</v>
      </c>
      <c r="R7" s="10">
        <v>35.491500000000002</v>
      </c>
      <c r="S7" s="10">
        <v>36.560499999999998</v>
      </c>
      <c r="T7" s="10">
        <v>6620</v>
      </c>
      <c r="U7" s="10">
        <v>109892706</v>
      </c>
      <c r="V7" s="10">
        <v>109888969</v>
      </c>
    </row>
    <row r="8" spans="1:23">
      <c r="A8" s="91">
        <v>4</v>
      </c>
      <c r="B8" s="72" t="s">
        <v>27</v>
      </c>
      <c r="C8" s="72" t="s">
        <v>28</v>
      </c>
      <c r="D8" s="10">
        <v>530011115.14999998</v>
      </c>
      <c r="E8" s="10">
        <v>2236060.71</v>
      </c>
      <c r="F8" s="10">
        <v>0</v>
      </c>
      <c r="G8" s="10">
        <v>972227.08</v>
      </c>
      <c r="H8" s="12">
        <f t="shared" si="10"/>
        <v>1263833.6299999999</v>
      </c>
      <c r="I8" s="32">
        <v>589228192.46000004</v>
      </c>
      <c r="J8" s="13">
        <f t="shared" si="5"/>
        <v>1.886826564810307E-2</v>
      </c>
      <c r="K8" s="32">
        <v>641019727.99000001</v>
      </c>
      <c r="L8" s="13">
        <f t="shared" si="0"/>
        <v>1.9304468396210413E-2</v>
      </c>
      <c r="M8" s="13">
        <f t="shared" si="1"/>
        <v>8.7897246249831903E-2</v>
      </c>
      <c r="N8" s="23">
        <f t="shared" si="6"/>
        <v>1.5166882352412824E-3</v>
      </c>
      <c r="O8" s="23">
        <f t="shared" si="7"/>
        <v>1.971598649487611E-3</v>
      </c>
      <c r="P8" s="24">
        <f t="shared" si="8"/>
        <v>220.34812653447895</v>
      </c>
      <c r="Q8" s="24">
        <f t="shared" si="9"/>
        <v>0.43443806869250395</v>
      </c>
      <c r="R8" s="10">
        <v>219.24639999999999</v>
      </c>
      <c r="S8" s="10">
        <v>220.34809999999999</v>
      </c>
      <c r="T8" s="10">
        <v>1887</v>
      </c>
      <c r="U8" s="10">
        <v>2744312.69</v>
      </c>
      <c r="V8" s="10">
        <v>2909122.66</v>
      </c>
    </row>
    <row r="9" spans="1:23">
      <c r="A9" s="91">
        <v>5</v>
      </c>
      <c r="B9" s="21" t="s">
        <v>213</v>
      </c>
      <c r="C9" s="68" t="s">
        <v>105</v>
      </c>
      <c r="D9" s="10">
        <v>940566176.85000002</v>
      </c>
      <c r="E9" s="10">
        <v>3546198.9</v>
      </c>
      <c r="F9" s="10">
        <v>39571133.909999996</v>
      </c>
      <c r="G9" s="10">
        <v>1667344.72</v>
      </c>
      <c r="H9" s="12">
        <f t="shared" si="10"/>
        <v>41449988.089999996</v>
      </c>
      <c r="I9" s="32">
        <v>930872418.38999999</v>
      </c>
      <c r="J9" s="13">
        <f t="shared" si="5"/>
        <v>2.9808397322853827E-2</v>
      </c>
      <c r="K9" s="32">
        <v>964499440.97000003</v>
      </c>
      <c r="L9" s="13">
        <f t="shared" si="0"/>
        <v>2.9046140334480372E-2</v>
      </c>
      <c r="M9" s="13">
        <f t="shared" si="1"/>
        <v>3.6124201250005893E-2</v>
      </c>
      <c r="N9" s="23">
        <f t="shared" si="6"/>
        <v>1.7287150714396955E-3</v>
      </c>
      <c r="O9" s="23">
        <f t="shared" si="7"/>
        <v>4.297564760464103E-2</v>
      </c>
      <c r="P9" s="24">
        <f t="shared" si="8"/>
        <v>1.2499508000482948</v>
      </c>
      <c r="Q9" s="24">
        <f t="shared" si="9"/>
        <v>5.3717445106014644E-2</v>
      </c>
      <c r="R9" s="10">
        <v>1.2387999999999999</v>
      </c>
      <c r="S9" s="10">
        <v>1.2544</v>
      </c>
      <c r="T9" s="10">
        <v>506</v>
      </c>
      <c r="U9" s="10">
        <v>778433823.21000004</v>
      </c>
      <c r="V9" s="10">
        <v>771629924.10000002</v>
      </c>
    </row>
    <row r="10" spans="1:23">
      <c r="A10" s="91">
        <v>6</v>
      </c>
      <c r="B10" s="64" t="s">
        <v>212</v>
      </c>
      <c r="C10" s="67" t="s">
        <v>48</v>
      </c>
      <c r="D10" s="10">
        <v>88740204.370000005</v>
      </c>
      <c r="E10" s="10">
        <v>226179.95</v>
      </c>
      <c r="F10" s="10">
        <v>0</v>
      </c>
      <c r="G10" s="10">
        <v>2722307.86</v>
      </c>
      <c r="H10" s="12">
        <f t="shared" si="10"/>
        <v>-2496127.9099999997</v>
      </c>
      <c r="I10" s="19">
        <v>93576871.670000002</v>
      </c>
      <c r="J10" s="13">
        <f t="shared" si="5"/>
        <v>2.9965186591235128E-3</v>
      </c>
      <c r="K10" s="32">
        <v>95274584.969999999</v>
      </c>
      <c r="L10" s="13">
        <f t="shared" si="0"/>
        <v>2.869217801271977E-3</v>
      </c>
      <c r="M10" s="13">
        <f t="shared" si="1"/>
        <v>1.8142445560554794E-2</v>
      </c>
      <c r="N10" s="23">
        <f t="shared" si="6"/>
        <v>2.8573284899191094E-2</v>
      </c>
      <c r="O10" s="23">
        <f t="shared" si="7"/>
        <v>-2.6199304996038335E-2</v>
      </c>
      <c r="P10" s="24">
        <f t="shared" si="8"/>
        <v>172.08753953808596</v>
      </c>
      <c r="Q10" s="24">
        <f t="shared" si="9"/>
        <v>-4.5085739343761198</v>
      </c>
      <c r="R10" s="10">
        <v>171.85380000000001</v>
      </c>
      <c r="S10" s="10">
        <v>172.6524</v>
      </c>
      <c r="T10" s="10">
        <v>95</v>
      </c>
      <c r="U10" s="10">
        <v>557391.47</v>
      </c>
      <c r="V10" s="10">
        <v>553640.23</v>
      </c>
    </row>
    <row r="11" spans="1:23">
      <c r="A11" s="91">
        <v>7</v>
      </c>
      <c r="B11" s="21" t="s">
        <v>29</v>
      </c>
      <c r="C11" s="21" t="s">
        <v>30</v>
      </c>
      <c r="D11" s="10">
        <v>1177835043.79</v>
      </c>
      <c r="E11" s="10">
        <v>4883086.5599999996</v>
      </c>
      <c r="F11" s="10">
        <v>84230094.25</v>
      </c>
      <c r="G11" s="10">
        <v>2000121.52</v>
      </c>
      <c r="H11" s="12">
        <v>87113059.290000007</v>
      </c>
      <c r="I11" s="32">
        <v>1068695624.0700001</v>
      </c>
      <c r="J11" s="13">
        <f t="shared" si="5"/>
        <v>3.4221772124874907E-2</v>
      </c>
      <c r="K11" s="32">
        <v>1158217862.1700001</v>
      </c>
      <c r="L11" s="13">
        <f t="shared" si="0"/>
        <v>3.4880018726250427E-2</v>
      </c>
      <c r="M11" s="13">
        <f t="shared" si="1"/>
        <v>8.3767759578789361E-2</v>
      </c>
      <c r="N11" s="23">
        <f t="shared" si="6"/>
        <v>1.7268957640254625E-3</v>
      </c>
      <c r="O11" s="23">
        <f t="shared" si="7"/>
        <v>7.5213016596711563E-2</v>
      </c>
      <c r="P11" s="24">
        <f t="shared" si="8"/>
        <v>323.81461889743133</v>
      </c>
      <c r="Q11" s="24">
        <f t="shared" si="9"/>
        <v>24.355074305390332</v>
      </c>
      <c r="R11" s="10">
        <v>323.81</v>
      </c>
      <c r="S11" s="10">
        <v>328.39</v>
      </c>
      <c r="T11" s="10">
        <v>1642</v>
      </c>
      <c r="U11" s="10">
        <v>3565963</v>
      </c>
      <c r="V11" s="10">
        <v>3576793</v>
      </c>
    </row>
    <row r="12" spans="1:23">
      <c r="A12" s="91">
        <v>8</v>
      </c>
      <c r="B12" s="21" t="s">
        <v>31</v>
      </c>
      <c r="C12" s="68" t="s">
        <v>32</v>
      </c>
      <c r="D12" s="10">
        <v>422713455.02999997</v>
      </c>
      <c r="E12" s="10">
        <v>11932031.16</v>
      </c>
      <c r="F12" s="10">
        <v>39839240.25</v>
      </c>
      <c r="G12" s="10">
        <v>1431250.01</v>
      </c>
      <c r="H12" s="12">
        <f>(E11+F12)-G12</f>
        <v>43291076.800000004</v>
      </c>
      <c r="I12" s="32">
        <v>405064878.20999998</v>
      </c>
      <c r="J12" s="13">
        <f t="shared" si="5"/>
        <v>1.297098785255703E-2</v>
      </c>
      <c r="K12" s="32">
        <v>421036391.33999997</v>
      </c>
      <c r="L12" s="13">
        <f t="shared" si="0"/>
        <v>1.2679615549062018E-2</v>
      </c>
      <c r="M12" s="13">
        <f t="shared" si="1"/>
        <v>3.9429518551642478E-2</v>
      </c>
      <c r="N12" s="23">
        <f t="shared" si="6"/>
        <v>3.3993498886043349E-3</v>
      </c>
      <c r="O12" s="23">
        <f t="shared" si="7"/>
        <v>0.10282027323628924</v>
      </c>
      <c r="P12" s="24">
        <f t="shared" si="8"/>
        <v>211.22082173349645</v>
      </c>
      <c r="Q12" s="24">
        <f t="shared" si="9"/>
        <v>21.717782603831647</v>
      </c>
      <c r="R12" s="10">
        <v>211.22</v>
      </c>
      <c r="S12" s="10">
        <v>219.93</v>
      </c>
      <c r="T12" s="10">
        <v>2468</v>
      </c>
      <c r="U12" s="10">
        <v>1993347</v>
      </c>
      <c r="V12" s="10">
        <v>1993347</v>
      </c>
    </row>
    <row r="13" spans="1:23">
      <c r="A13" s="91">
        <v>9</v>
      </c>
      <c r="B13" s="21" t="s">
        <v>33</v>
      </c>
      <c r="C13" s="21" t="s">
        <v>34</v>
      </c>
      <c r="D13" s="10">
        <v>63237905.780000001</v>
      </c>
      <c r="E13" s="10">
        <v>2276735.0099999998</v>
      </c>
      <c r="F13" s="10">
        <v>8693863.1899999995</v>
      </c>
      <c r="G13" s="10">
        <v>1452898.75</v>
      </c>
      <c r="H13" s="12">
        <f t="shared" si="10"/>
        <v>9517699.4499999993</v>
      </c>
      <c r="I13" s="32">
        <v>56948918.579999998</v>
      </c>
      <c r="J13" s="13">
        <f t="shared" si="5"/>
        <v>1.8236183161120167E-3</v>
      </c>
      <c r="K13" s="32">
        <v>62044127.740000002</v>
      </c>
      <c r="L13" s="13">
        <f t="shared" si="0"/>
        <v>1.8684743243127715E-3</v>
      </c>
      <c r="M13" s="13">
        <f t="shared" si="1"/>
        <v>8.9469814125485436E-2</v>
      </c>
      <c r="N13" s="23">
        <f t="shared" si="6"/>
        <v>2.341718391285099E-2</v>
      </c>
      <c r="O13" s="23">
        <f t="shared" si="7"/>
        <v>0.15340209938778646</v>
      </c>
      <c r="P13" s="24">
        <f t="shared" si="8"/>
        <v>224.71259686011479</v>
      </c>
      <c r="Q13" s="24">
        <f t="shared" si="9"/>
        <v>34.471384117222918</v>
      </c>
      <c r="R13" s="10">
        <v>220.89</v>
      </c>
      <c r="S13" s="10">
        <v>227.97</v>
      </c>
      <c r="T13" s="10">
        <v>16</v>
      </c>
      <c r="U13" s="10">
        <v>276065.45</v>
      </c>
      <c r="V13" s="10">
        <v>276104.36</v>
      </c>
      <c r="W13" s="5"/>
    </row>
    <row r="14" spans="1:23">
      <c r="A14" s="91">
        <v>10</v>
      </c>
      <c r="B14" s="68" t="s">
        <v>35</v>
      </c>
      <c r="C14" s="68" t="s">
        <v>36</v>
      </c>
      <c r="D14" s="10">
        <v>617395742.5</v>
      </c>
      <c r="E14" s="10">
        <v>2484671.9300000002</v>
      </c>
      <c r="F14" s="10">
        <v>34133182.039999999</v>
      </c>
      <c r="G14" s="10">
        <v>1215621.53</v>
      </c>
      <c r="H14" s="12">
        <f t="shared" si="10"/>
        <v>35402232.439999998</v>
      </c>
      <c r="I14" s="32">
        <v>575935318.01999998</v>
      </c>
      <c r="J14" s="13">
        <f t="shared" si="5"/>
        <v>1.8442601212201478E-2</v>
      </c>
      <c r="K14" s="32">
        <v>609615381.78999996</v>
      </c>
      <c r="L14" s="13">
        <f t="shared" si="0"/>
        <v>1.8358718706692263E-2</v>
      </c>
      <c r="M14" s="13">
        <f t="shared" si="1"/>
        <v>5.8478899828175501E-2</v>
      </c>
      <c r="N14" s="23">
        <f t="shared" si="6"/>
        <v>1.9940794906299734E-3</v>
      </c>
      <c r="O14" s="23">
        <f t="shared" si="7"/>
        <v>5.8073062946753767E-2</v>
      </c>
      <c r="P14" s="24">
        <f t="shared" si="8"/>
        <v>2.0946668549775964</v>
      </c>
      <c r="Q14" s="24">
        <f t="shared" si="9"/>
        <v>0.12164372012159269</v>
      </c>
      <c r="R14" s="10">
        <v>2.09</v>
      </c>
      <c r="S14" s="10">
        <v>2.13</v>
      </c>
      <c r="T14" s="10">
        <v>473</v>
      </c>
      <c r="U14" s="10">
        <v>291793149.29000002</v>
      </c>
      <c r="V14" s="10">
        <v>291032142.10000002</v>
      </c>
    </row>
    <row r="15" spans="1:23">
      <c r="A15" s="91">
        <v>11</v>
      </c>
      <c r="B15" s="64" t="s">
        <v>257</v>
      </c>
      <c r="C15" s="67" t="s">
        <v>258</v>
      </c>
      <c r="D15" s="10">
        <v>9012173.1999999993</v>
      </c>
      <c r="E15" s="10">
        <v>380153.83</v>
      </c>
      <c r="F15" s="10">
        <v>1027749.26</v>
      </c>
      <c r="G15" s="10">
        <v>119531.08</v>
      </c>
      <c r="H15" s="12">
        <f t="shared" si="10"/>
        <v>1288372.01</v>
      </c>
      <c r="I15" s="32">
        <v>14577874.390000001</v>
      </c>
      <c r="J15" s="13">
        <f t="shared" si="5"/>
        <v>4.6681270532361873E-4</v>
      </c>
      <c r="K15" s="32">
        <v>15616343.73</v>
      </c>
      <c r="L15" s="13">
        <f t="shared" si="0"/>
        <v>4.7029007195367712E-4</v>
      </c>
      <c r="M15" s="13">
        <f t="shared" si="1"/>
        <v>7.1235991765189008E-2</v>
      </c>
      <c r="N15" s="23">
        <f t="shared" si="6"/>
        <v>7.6542295729808453E-3</v>
      </c>
      <c r="O15" s="23">
        <f t="shared" si="7"/>
        <v>8.2501514584681857E-2</v>
      </c>
      <c r="P15" s="24">
        <f t="shared" si="8"/>
        <v>13.480564045944785</v>
      </c>
      <c r="Q15" s="24">
        <f t="shared" si="9"/>
        <v>1.1121669512462513</v>
      </c>
      <c r="R15" s="10">
        <v>13.48</v>
      </c>
      <c r="S15" s="10">
        <v>14.26</v>
      </c>
      <c r="T15" s="10">
        <v>25</v>
      </c>
      <c r="U15" s="10">
        <v>1156435</v>
      </c>
      <c r="V15" s="10">
        <v>1158434</v>
      </c>
    </row>
    <row r="16" spans="1:23">
      <c r="A16" s="91">
        <v>12</v>
      </c>
      <c r="B16" s="21" t="s">
        <v>37</v>
      </c>
      <c r="C16" s="68" t="s">
        <v>38</v>
      </c>
      <c r="D16" s="10">
        <v>1801757607.51</v>
      </c>
      <c r="E16" s="10">
        <v>5907076.0800000001</v>
      </c>
      <c r="F16" s="10">
        <v>0</v>
      </c>
      <c r="G16" s="10">
        <v>3265503.79</v>
      </c>
      <c r="H16" s="12">
        <f t="shared" si="10"/>
        <v>2641572.29</v>
      </c>
      <c r="I16" s="32">
        <v>1713987453.1700001</v>
      </c>
      <c r="J16" s="13">
        <f t="shared" si="5"/>
        <v>5.488530759010244E-2</v>
      </c>
      <c r="K16" s="32">
        <v>1788190206.73</v>
      </c>
      <c r="L16" s="13">
        <f t="shared" si="0"/>
        <v>5.38517924252883E-2</v>
      </c>
      <c r="M16" s="13">
        <f t="shared" si="1"/>
        <v>4.3292471845556867E-2</v>
      </c>
      <c r="N16" s="23">
        <f t="shared" si="6"/>
        <v>1.8261501364396301E-3</v>
      </c>
      <c r="O16" s="23">
        <f t="shared" si="7"/>
        <v>1.477232276554377E-3</v>
      </c>
      <c r="P16" s="24">
        <f t="shared" si="8"/>
        <v>3.6894245438172404</v>
      </c>
      <c r="Q16" s="24">
        <f t="shared" si="9"/>
        <v>5.4501370180387353E-3</v>
      </c>
      <c r="R16" s="10">
        <v>3.64</v>
      </c>
      <c r="S16" s="10">
        <v>3.72</v>
      </c>
      <c r="T16" s="10">
        <v>3660</v>
      </c>
      <c r="U16" s="10">
        <v>484743482</v>
      </c>
      <c r="V16" s="10">
        <v>484679978</v>
      </c>
    </row>
    <row r="17" spans="1:23">
      <c r="A17" s="91">
        <v>13</v>
      </c>
      <c r="B17" s="21" t="s">
        <v>39</v>
      </c>
      <c r="C17" s="21" t="s">
        <v>40</v>
      </c>
      <c r="D17" s="10">
        <v>717374457.40999997</v>
      </c>
      <c r="E17" s="10">
        <v>6343418.7300000004</v>
      </c>
      <c r="F17" s="10">
        <v>36772763.850000001</v>
      </c>
      <c r="G17" s="10">
        <v>1075124.79</v>
      </c>
      <c r="H17" s="12">
        <f t="shared" si="10"/>
        <v>42041057.789999999</v>
      </c>
      <c r="I17" s="32">
        <v>679980082.90999997</v>
      </c>
      <c r="J17" s="13">
        <f t="shared" si="5"/>
        <v>2.1774322756350464E-2</v>
      </c>
      <c r="K17" s="32">
        <v>771234696.42999995</v>
      </c>
      <c r="L17" s="13">
        <f t="shared" si="0"/>
        <v>2.3225924528060896E-2</v>
      </c>
      <c r="M17" s="13">
        <f t="shared" si="1"/>
        <v>0.1342018918105255</v>
      </c>
      <c r="N17" s="23">
        <f t="shared" si="6"/>
        <v>1.3940306303343061E-3</v>
      </c>
      <c r="O17" s="23">
        <f t="shared" si="7"/>
        <v>5.4511367271993315E-2</v>
      </c>
      <c r="P17" s="24">
        <f t="shared" si="8"/>
        <v>24.272682174612314</v>
      </c>
      <c r="Q17" s="24">
        <f t="shared" si="9"/>
        <v>1.3231370926966572</v>
      </c>
      <c r="R17" s="10">
        <v>24.29</v>
      </c>
      <c r="S17" s="10">
        <v>24.43</v>
      </c>
      <c r="T17" s="10">
        <v>375</v>
      </c>
      <c r="U17" s="10">
        <v>29754028.550000001</v>
      </c>
      <c r="V17" s="10">
        <v>31773773.120000001</v>
      </c>
    </row>
    <row r="18" spans="1:23">
      <c r="A18" s="91">
        <v>14</v>
      </c>
      <c r="B18" s="72" t="s">
        <v>41</v>
      </c>
      <c r="C18" s="72" t="s">
        <v>42</v>
      </c>
      <c r="D18" s="10">
        <v>125192071.45</v>
      </c>
      <c r="E18" s="10">
        <v>2641555.77</v>
      </c>
      <c r="F18" s="10">
        <v>57698701.32</v>
      </c>
      <c r="G18" s="10">
        <v>256231.07</v>
      </c>
      <c r="H18" s="12">
        <f t="shared" si="10"/>
        <v>60084026.020000003</v>
      </c>
      <c r="I18" s="32">
        <v>131859769.65000001</v>
      </c>
      <c r="J18" s="13">
        <f t="shared" si="5"/>
        <v>4.2224136487202706E-3</v>
      </c>
      <c r="K18" s="32">
        <v>126915014.20999999</v>
      </c>
      <c r="L18" s="13">
        <f t="shared" si="0"/>
        <v>3.8220771902042943E-3</v>
      </c>
      <c r="M18" s="13">
        <f t="shared" si="1"/>
        <v>-3.7500106765885076E-2</v>
      </c>
      <c r="N18" s="23">
        <f t="shared" si="6"/>
        <v>2.0189184990833877E-3</v>
      </c>
      <c r="O18" s="23">
        <f t="shared" si="7"/>
        <v>0.47341936959942293</v>
      </c>
      <c r="P18" s="24">
        <f t="shared" si="8"/>
        <v>1.3710879126435263</v>
      </c>
      <c r="Q18" s="24">
        <f t="shared" si="9"/>
        <v>0.6490995752690869</v>
      </c>
      <c r="R18" s="10">
        <v>1.39</v>
      </c>
      <c r="S18" s="10">
        <v>1.45</v>
      </c>
      <c r="T18" s="10">
        <v>22</v>
      </c>
      <c r="U18" s="10">
        <v>92565190.780000001</v>
      </c>
      <c r="V18" s="10">
        <v>92565190.780000001</v>
      </c>
    </row>
    <row r="19" spans="1:23">
      <c r="A19" s="91">
        <v>15</v>
      </c>
      <c r="B19" s="21" t="s">
        <v>43</v>
      </c>
      <c r="C19" s="21" t="s">
        <v>44</v>
      </c>
      <c r="D19" s="10">
        <v>1783654016.3299999</v>
      </c>
      <c r="E19" s="10">
        <v>338359</v>
      </c>
      <c r="F19" s="10">
        <v>76082323.890000001</v>
      </c>
      <c r="G19" s="10">
        <v>5366529</v>
      </c>
      <c r="H19" s="12">
        <f t="shared" si="10"/>
        <v>71054153.890000001</v>
      </c>
      <c r="I19" s="32">
        <v>1640802377.21</v>
      </c>
      <c r="J19" s="13">
        <f t="shared" si="5"/>
        <v>5.2541775029440685E-2</v>
      </c>
      <c r="K19" s="32">
        <v>1773759024.6199999</v>
      </c>
      <c r="L19" s="13">
        <f t="shared" si="0"/>
        <v>5.3417193790023208E-2</v>
      </c>
      <c r="M19" s="13">
        <f t="shared" si="1"/>
        <v>8.1031481460965255E-2</v>
      </c>
      <c r="N19" s="23">
        <f t="shared" si="6"/>
        <v>3.0255118792980882E-3</v>
      </c>
      <c r="O19" s="23">
        <f t="shared" si="7"/>
        <v>4.0058515786958286E-2</v>
      </c>
      <c r="P19" s="24">
        <f t="shared" si="8"/>
        <v>31.481533290449445</v>
      </c>
      <c r="Q19" s="24">
        <f t="shared" si="9"/>
        <v>1.261103498313122</v>
      </c>
      <c r="R19" s="10">
        <v>31.48</v>
      </c>
      <c r="S19" s="10">
        <v>31.65</v>
      </c>
      <c r="T19" s="10">
        <v>9049</v>
      </c>
      <c r="U19" s="10">
        <v>55946853</v>
      </c>
      <c r="V19" s="10">
        <v>56342841</v>
      </c>
    </row>
    <row r="20" spans="1:23">
      <c r="A20" s="91">
        <v>16</v>
      </c>
      <c r="B20" s="68" t="s">
        <v>45</v>
      </c>
      <c r="C20" s="21" t="s">
        <v>46</v>
      </c>
      <c r="D20" s="10">
        <v>762198564.14999998</v>
      </c>
      <c r="E20" s="10">
        <v>18071078.73</v>
      </c>
      <c r="F20" s="10">
        <v>29250427.129999999</v>
      </c>
      <c r="G20" s="10">
        <v>1154851.83</v>
      </c>
      <c r="H20" s="12">
        <f t="shared" si="10"/>
        <v>46166654.030000001</v>
      </c>
      <c r="I20" s="32">
        <v>709717763.85000002</v>
      </c>
      <c r="J20" s="13">
        <f t="shared" si="5"/>
        <v>2.2726582799088561E-2</v>
      </c>
      <c r="K20" s="32">
        <v>759390839.67999995</v>
      </c>
      <c r="L20" s="13">
        <f t="shared" si="0"/>
        <v>2.2869243838939915E-2</v>
      </c>
      <c r="M20" s="13">
        <f t="shared" si="1"/>
        <v>6.9989900718475481E-2</v>
      </c>
      <c r="N20" s="23">
        <f t="shared" si="6"/>
        <v>1.5207608120301314E-3</v>
      </c>
      <c r="O20" s="23">
        <f t="shared" si="7"/>
        <v>6.079432568537986E-2</v>
      </c>
      <c r="P20" s="24">
        <f t="shared" si="8"/>
        <v>8172.4051728052991</v>
      </c>
      <c r="Q20" s="24">
        <f t="shared" si="9"/>
        <v>496.83586170840846</v>
      </c>
      <c r="R20" s="10">
        <v>8007.86</v>
      </c>
      <c r="S20" s="10">
        <v>8110.91</v>
      </c>
      <c r="T20" s="10">
        <v>19</v>
      </c>
      <c r="U20" s="10">
        <v>92531.520000000004</v>
      </c>
      <c r="V20" s="10">
        <v>92921.34</v>
      </c>
    </row>
    <row r="21" spans="1:23">
      <c r="A21" s="91">
        <v>17</v>
      </c>
      <c r="B21" s="21" t="s">
        <v>47</v>
      </c>
      <c r="C21" s="21" t="s">
        <v>46</v>
      </c>
      <c r="D21" s="10">
        <v>12744251590.540001</v>
      </c>
      <c r="E21" s="10">
        <v>188603300.46000001</v>
      </c>
      <c r="F21" s="10">
        <v>442681622.61000001</v>
      </c>
      <c r="G21" s="10">
        <v>38773350.939999998</v>
      </c>
      <c r="H21" s="12">
        <f t="shared" si="10"/>
        <v>592511572.13000011</v>
      </c>
      <c r="I21" s="32">
        <v>12151443518.950001</v>
      </c>
      <c r="J21" s="13">
        <f t="shared" si="5"/>
        <v>0.38911353403890886</v>
      </c>
      <c r="K21" s="32">
        <v>13015430951.040001</v>
      </c>
      <c r="L21" s="13">
        <f t="shared" si="0"/>
        <v>0.39196293731123694</v>
      </c>
      <c r="M21" s="13">
        <f t="shared" si="1"/>
        <v>7.1101629262615942E-2</v>
      </c>
      <c r="N21" s="23">
        <f t="shared" si="6"/>
        <v>2.9790293602918929E-3</v>
      </c>
      <c r="O21" s="23">
        <f t="shared" si="7"/>
        <v>4.55237766892886E-2</v>
      </c>
      <c r="P21" s="24">
        <f t="shared" si="8"/>
        <v>25551.655926178086</v>
      </c>
      <c r="Q21" s="24">
        <f t="shared" si="9"/>
        <v>1163.2078784248688</v>
      </c>
      <c r="R21" s="10">
        <v>25333.200000000001</v>
      </c>
      <c r="S21" s="10">
        <v>25701.38</v>
      </c>
      <c r="T21" s="10">
        <v>17448</v>
      </c>
      <c r="U21" s="10">
        <v>498632.1</v>
      </c>
      <c r="V21" s="10">
        <v>509377.2</v>
      </c>
    </row>
    <row r="22" spans="1:23">
      <c r="A22" s="91">
        <v>18</v>
      </c>
      <c r="B22" s="21" t="s">
        <v>49</v>
      </c>
      <c r="C22" s="21" t="s">
        <v>50</v>
      </c>
      <c r="D22" s="10">
        <v>2927651365</v>
      </c>
      <c r="E22" s="10">
        <v>21053150</v>
      </c>
      <c r="F22" s="10">
        <v>211977359</v>
      </c>
      <c r="G22" s="10">
        <v>6358715</v>
      </c>
      <c r="H22" s="12">
        <f t="shared" si="10"/>
        <v>226671794</v>
      </c>
      <c r="I22" s="32">
        <v>3520395469</v>
      </c>
      <c r="J22" s="13">
        <f t="shared" si="5"/>
        <v>0.11273010651128951</v>
      </c>
      <c r="K22" s="32">
        <v>3768985539</v>
      </c>
      <c r="L22" s="13">
        <f t="shared" si="0"/>
        <v>0.11350393606690153</v>
      </c>
      <c r="M22" s="13">
        <f t="shared" si="1"/>
        <v>7.0614245526970362E-2</v>
      </c>
      <c r="N22" s="23">
        <f t="shared" si="6"/>
        <v>1.6871157859860389E-3</v>
      </c>
      <c r="O22" s="23">
        <f t="shared" si="7"/>
        <v>6.0141327594517999E-2</v>
      </c>
      <c r="P22" s="24">
        <f t="shared" si="8"/>
        <v>1.4916229882240517</v>
      </c>
      <c r="Q22" s="24">
        <f t="shared" si="9"/>
        <v>8.9708186782296556E-2</v>
      </c>
      <c r="R22" s="10">
        <v>1.49</v>
      </c>
      <c r="S22" s="10">
        <v>1.51</v>
      </c>
      <c r="T22" s="10">
        <v>3051</v>
      </c>
      <c r="U22" s="10">
        <v>2496817353</v>
      </c>
      <c r="V22" s="10">
        <v>2526768204</v>
      </c>
    </row>
    <row r="23" spans="1:23">
      <c r="A23" s="91">
        <v>19</v>
      </c>
      <c r="B23" s="67" t="s">
        <v>259</v>
      </c>
      <c r="C23" s="67" t="s">
        <v>260</v>
      </c>
      <c r="D23" s="10">
        <v>1319600018.2</v>
      </c>
      <c r="E23" s="10">
        <v>22303586.75</v>
      </c>
      <c r="F23" s="10">
        <v>119076218.73999999</v>
      </c>
      <c r="G23" s="10">
        <v>5300158.08</v>
      </c>
      <c r="H23" s="12">
        <f t="shared" si="10"/>
        <v>136079647.41</v>
      </c>
      <c r="I23" s="32">
        <f>1241758466.14-6797967.78</f>
        <v>1234960498.3600001</v>
      </c>
      <c r="J23" s="13">
        <f t="shared" si="5"/>
        <v>3.954590606177092E-2</v>
      </c>
      <c r="K23" s="32">
        <v>1380254945.74</v>
      </c>
      <c r="L23" s="13">
        <f t="shared" si="0"/>
        <v>4.156672067223275E-2</v>
      </c>
      <c r="M23" s="13">
        <f t="shared" si="1"/>
        <v>0.11765108889956209</v>
      </c>
      <c r="N23" s="23">
        <f t="shared" si="6"/>
        <v>3.8399848494354871E-3</v>
      </c>
      <c r="O23" s="23">
        <f t="shared" si="7"/>
        <v>9.8590226269425346E-2</v>
      </c>
      <c r="P23" s="24">
        <f t="shared" si="8"/>
        <v>130.03927551165478</v>
      </c>
      <c r="Q23" s="24">
        <f t="shared" si="9"/>
        <v>12.820601596606187</v>
      </c>
      <c r="R23" s="10">
        <v>127.43</v>
      </c>
      <c r="S23" s="10">
        <v>131.72</v>
      </c>
      <c r="T23" s="10">
        <v>25</v>
      </c>
      <c r="U23" s="10">
        <v>10438567</v>
      </c>
      <c r="V23" s="10">
        <v>10614139</v>
      </c>
    </row>
    <row r="24" spans="1:23">
      <c r="A24" s="98" t="s">
        <v>51</v>
      </c>
      <c r="B24" s="98"/>
      <c r="C24" s="98"/>
      <c r="D24" s="98"/>
      <c r="E24" s="98"/>
      <c r="F24" s="98"/>
      <c r="G24" s="98"/>
      <c r="H24" s="98"/>
      <c r="I24" s="38">
        <f>SUM(I5:I23)</f>
        <v>31228529608.879997</v>
      </c>
      <c r="J24" s="13">
        <f>(I24/$I$204)</f>
        <v>8.1345374119272517E-3</v>
      </c>
      <c r="K24" s="61">
        <f>SUM(K5:K23)</f>
        <v>33205769505.459999</v>
      </c>
      <c r="L24" s="13">
        <f>(K24/$K$204)</f>
        <v>8.6623887457472817E-3</v>
      </c>
      <c r="M24" s="13">
        <f t="shared" si="1"/>
        <v>6.3315177542581549E-2</v>
      </c>
      <c r="N24" s="23"/>
      <c r="O24" s="23"/>
      <c r="P24" s="24"/>
      <c r="Q24" s="24"/>
      <c r="R24" s="10"/>
      <c r="S24" s="10"/>
      <c r="T24" s="39">
        <f>SUM(T5:T23)</f>
        <v>49431</v>
      </c>
      <c r="U24" s="10"/>
      <c r="V24" s="10"/>
    </row>
    <row r="25" spans="1:23" ht="6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4"/>
    </row>
    <row r="26" spans="1:23">
      <c r="A26" s="95" t="s">
        <v>52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</row>
    <row r="27" spans="1:23" ht="12.9" customHeight="1">
      <c r="A27" s="88">
        <v>20</v>
      </c>
      <c r="B27" s="21" t="s">
        <v>53</v>
      </c>
      <c r="C27" s="21" t="s">
        <v>22</v>
      </c>
      <c r="D27" s="20">
        <v>1847353792.5699999</v>
      </c>
      <c r="E27" s="20">
        <v>34329983.719999999</v>
      </c>
      <c r="F27" s="20">
        <v>0</v>
      </c>
      <c r="G27" s="20">
        <v>3392366.25</v>
      </c>
      <c r="H27" s="12">
        <f>(E27+F27)-G27</f>
        <v>30937617.469999999</v>
      </c>
      <c r="I27" s="47">
        <v>1554344768.1400001</v>
      </c>
      <c r="J27" s="13">
        <f t="shared" ref="J27:J61" si="11">(I27/$I$62)</f>
        <v>9.8117600756318776E-4</v>
      </c>
      <c r="K27" s="47">
        <v>1755372237.1700001</v>
      </c>
      <c r="L27" s="13">
        <f t="shared" ref="L27:L61" si="12">(K27/$K$62)</f>
        <v>1.0332987706318209E-3</v>
      </c>
      <c r="M27" s="13">
        <f t="shared" ref="M27:M62" si="13">((K27-I27)/I27)</f>
        <v>0.12933261214020014</v>
      </c>
      <c r="N27" s="23">
        <f>(G27/K27)</f>
        <v>1.9325623239143574E-3</v>
      </c>
      <c r="O27" s="23">
        <f>H27/K27</f>
        <v>1.7624533882270709E-2</v>
      </c>
      <c r="P27" s="26">
        <f>K27/V27</f>
        <v>100.74513998710965</v>
      </c>
      <c r="Q27" s="26">
        <f>H27/V27</f>
        <v>1.7755861331769196</v>
      </c>
      <c r="R27" s="10">
        <v>100</v>
      </c>
      <c r="S27" s="10">
        <v>100</v>
      </c>
      <c r="T27" s="10">
        <v>788</v>
      </c>
      <c r="U27" s="20">
        <v>15415250</v>
      </c>
      <c r="V27" s="20">
        <v>17423890</v>
      </c>
    </row>
    <row r="28" spans="1:23" ht="15" customHeight="1">
      <c r="A28" s="88">
        <v>21</v>
      </c>
      <c r="B28" s="21" t="s">
        <v>54</v>
      </c>
      <c r="C28" s="21" t="s">
        <v>55</v>
      </c>
      <c r="D28" s="20">
        <v>10974003865.57</v>
      </c>
      <c r="E28" s="20">
        <v>213761352.81</v>
      </c>
      <c r="F28" s="20">
        <v>0</v>
      </c>
      <c r="G28" s="20">
        <v>19339925.27</v>
      </c>
      <c r="H28" s="12">
        <f t="shared" ref="H28:H61" si="14">(E28+F28)-G28</f>
        <v>194421427.53999999</v>
      </c>
      <c r="I28" s="47">
        <v>9906583374.9500008</v>
      </c>
      <c r="J28" s="13">
        <f t="shared" si="11"/>
        <v>6.2535044500177462E-3</v>
      </c>
      <c r="K28" s="47">
        <v>10991210517.16</v>
      </c>
      <c r="L28" s="13">
        <f t="shared" si="12"/>
        <v>6.4699692034818667E-3</v>
      </c>
      <c r="M28" s="13">
        <f t="shared" si="13"/>
        <v>0.10948549072454289</v>
      </c>
      <c r="N28" s="23">
        <f t="shared" ref="N28:N61" si="15">(G28/K28)</f>
        <v>1.759581007006061E-3</v>
      </c>
      <c r="O28" s="23">
        <f t="shared" ref="O28:O61" si="16">H28/K28</f>
        <v>1.7688809366034799E-2</v>
      </c>
      <c r="P28" s="26">
        <f t="shared" ref="P28:P61" si="17">K28/V28</f>
        <v>105.10273222325341</v>
      </c>
      <c r="Q28" s="26">
        <f t="shared" ref="Q28:Q61" si="18">H28/V28</f>
        <v>1.8591421941465325</v>
      </c>
      <c r="R28" s="10">
        <v>100</v>
      </c>
      <c r="S28" s="10">
        <v>100</v>
      </c>
      <c r="T28" s="10">
        <v>1941</v>
      </c>
      <c r="U28" s="20">
        <v>95727109.359999999</v>
      </c>
      <c r="V28" s="20">
        <v>104575878.14</v>
      </c>
    </row>
    <row r="29" spans="1:23">
      <c r="A29" s="88">
        <v>22</v>
      </c>
      <c r="B29" s="21" t="s">
        <v>56</v>
      </c>
      <c r="C29" s="21" t="s">
        <v>24</v>
      </c>
      <c r="D29" s="20">
        <v>1141275429.4200001</v>
      </c>
      <c r="E29" s="20">
        <v>21036512.469999999</v>
      </c>
      <c r="F29" s="20">
        <v>0</v>
      </c>
      <c r="G29" s="20">
        <v>1451484.14</v>
      </c>
      <c r="H29" s="12">
        <f t="shared" si="14"/>
        <v>19585028.329999998</v>
      </c>
      <c r="I29" s="47">
        <v>1018801624.4400001</v>
      </c>
      <c r="J29" s="13">
        <f t="shared" si="11"/>
        <v>6.4311582015560476E-4</v>
      </c>
      <c r="K29" s="47">
        <v>1144210152.4200001</v>
      </c>
      <c r="L29" s="13">
        <f t="shared" si="12"/>
        <v>6.7353859130536817E-4</v>
      </c>
      <c r="M29" s="13">
        <f t="shared" si="13"/>
        <v>0.12309415785328448</v>
      </c>
      <c r="N29" s="23">
        <f t="shared" si="15"/>
        <v>1.2685468110295269E-3</v>
      </c>
      <c r="O29" s="23">
        <f t="shared" si="16"/>
        <v>1.7116635688450885E-2</v>
      </c>
      <c r="P29" s="26">
        <f t="shared" si="17"/>
        <v>97.866377885351511</v>
      </c>
      <c r="Q29" s="26">
        <f t="shared" si="18"/>
        <v>1.6751431364118279</v>
      </c>
      <c r="R29" s="10">
        <v>100</v>
      </c>
      <c r="S29" s="10">
        <v>100</v>
      </c>
      <c r="T29" s="10">
        <v>1389</v>
      </c>
      <c r="U29" s="20">
        <v>10613224.16</v>
      </c>
      <c r="V29" s="20">
        <v>11691555.130000001</v>
      </c>
    </row>
    <row r="30" spans="1:23">
      <c r="A30" s="88">
        <v>23</v>
      </c>
      <c r="B30" s="21" t="s">
        <v>57</v>
      </c>
      <c r="C30" s="68" t="s">
        <v>58</v>
      </c>
      <c r="D30" s="20">
        <v>52579191015.610001</v>
      </c>
      <c r="E30" s="20">
        <v>2231365207.3899999</v>
      </c>
      <c r="F30" s="20">
        <v>0</v>
      </c>
      <c r="G30" s="20">
        <v>251759696.83000001</v>
      </c>
      <c r="H30" s="12">
        <f t="shared" si="14"/>
        <v>1979605510.5599999</v>
      </c>
      <c r="I30" s="47">
        <v>113347259247</v>
      </c>
      <c r="J30" s="13">
        <f t="shared" si="11"/>
        <v>7.1550156423329667E-2</v>
      </c>
      <c r="K30" s="47">
        <v>119345195888</v>
      </c>
      <c r="L30" s="13">
        <f t="shared" si="12"/>
        <v>7.0252474991115699E-2</v>
      </c>
      <c r="M30" s="13">
        <f t="shared" si="13"/>
        <v>5.2916468213224571E-2</v>
      </c>
      <c r="N30" s="23">
        <f t="shared" si="15"/>
        <v>2.1095084302032983E-3</v>
      </c>
      <c r="O30" s="23">
        <f t="shared" si="16"/>
        <v>1.6587224109278507E-2</v>
      </c>
      <c r="P30" s="26">
        <f t="shared" si="17"/>
        <v>1.0068178995625796</v>
      </c>
      <c r="Q30" s="26">
        <f t="shared" si="18"/>
        <v>1.6700314137277569E-2</v>
      </c>
      <c r="R30" s="10">
        <v>1</v>
      </c>
      <c r="S30" s="10">
        <v>1</v>
      </c>
      <c r="T30" s="10">
        <v>64044</v>
      </c>
      <c r="U30" s="20">
        <v>113347259247</v>
      </c>
      <c r="V30" s="20">
        <v>118537022375</v>
      </c>
    </row>
    <row r="31" spans="1:23" ht="15" customHeight="1">
      <c r="A31" s="88">
        <v>24</v>
      </c>
      <c r="B31" s="21" t="s">
        <v>59</v>
      </c>
      <c r="C31" s="21" t="s">
        <v>28</v>
      </c>
      <c r="D31" s="20">
        <v>42199036064.300003</v>
      </c>
      <c r="E31" s="20">
        <v>1470863754.6700001</v>
      </c>
      <c r="F31" s="20">
        <v>0</v>
      </c>
      <c r="G31" s="20">
        <v>117465652.58</v>
      </c>
      <c r="H31" s="12">
        <f t="shared" si="14"/>
        <v>1353398102.0900002</v>
      </c>
      <c r="I31" s="47">
        <v>76745380457.089996</v>
      </c>
      <c r="J31" s="13">
        <f t="shared" si="11"/>
        <v>4.8445317627899082E-2</v>
      </c>
      <c r="K31" s="47">
        <v>81684601982.179993</v>
      </c>
      <c r="L31" s="13">
        <f t="shared" si="12"/>
        <v>4.8083589919259942E-2</v>
      </c>
      <c r="M31" s="13">
        <f t="shared" si="13"/>
        <v>6.4358551559355701E-2</v>
      </c>
      <c r="N31" s="23">
        <f t="shared" si="15"/>
        <v>1.4380391129974028E-3</v>
      </c>
      <c r="O31" s="23">
        <f t="shared" si="16"/>
        <v>1.6568582930541212E-2</v>
      </c>
      <c r="P31" s="26">
        <f t="shared" si="17"/>
        <v>1.0474151321804335</v>
      </c>
      <c r="Q31" s="26">
        <f t="shared" si="18"/>
        <v>1.7354184480235294E-2</v>
      </c>
      <c r="R31" s="10">
        <v>1</v>
      </c>
      <c r="S31" s="10">
        <v>1</v>
      </c>
      <c r="T31" s="10">
        <v>31201</v>
      </c>
      <c r="U31" s="20">
        <v>74356363434.559998</v>
      </c>
      <c r="V31" s="20">
        <v>77986845399.240005</v>
      </c>
    </row>
    <row r="32" spans="1:23">
      <c r="A32" s="88">
        <v>25</v>
      </c>
      <c r="B32" s="68" t="s">
        <v>266</v>
      </c>
      <c r="C32" s="68" t="s">
        <v>44</v>
      </c>
      <c r="D32" s="20">
        <v>12642482077.42</v>
      </c>
      <c r="E32" s="20">
        <v>237084575.56999999</v>
      </c>
      <c r="F32" s="20">
        <v>0</v>
      </c>
      <c r="G32" s="20">
        <v>20038808.780000001</v>
      </c>
      <c r="H32" s="12">
        <f t="shared" si="14"/>
        <v>217045766.78999999</v>
      </c>
      <c r="I32" s="47">
        <v>10261846963.799999</v>
      </c>
      <c r="J32" s="13">
        <f t="shared" si="11"/>
        <v>6.4777636471310953E-3</v>
      </c>
      <c r="K32" s="47">
        <v>12587116857.389999</v>
      </c>
      <c r="L32" s="13">
        <f t="shared" si="12"/>
        <v>7.4093984735162221E-3</v>
      </c>
      <c r="M32" s="13">
        <f t="shared" si="13"/>
        <v>0.22659370206871066</v>
      </c>
      <c r="N32" s="23">
        <f t="shared" si="15"/>
        <v>1.5920094336960933E-3</v>
      </c>
      <c r="O32" s="23">
        <f t="shared" si="16"/>
        <v>1.7243485481949001E-2</v>
      </c>
      <c r="P32" s="26">
        <f t="shared" si="17"/>
        <v>100.00000000309841</v>
      </c>
      <c r="Q32" s="26">
        <f t="shared" si="18"/>
        <v>1.7243485482483274</v>
      </c>
      <c r="R32" s="10">
        <v>100</v>
      </c>
      <c r="S32" s="10">
        <v>100</v>
      </c>
      <c r="T32" s="10">
        <v>2134</v>
      </c>
      <c r="U32" s="20">
        <v>102618468.38</v>
      </c>
      <c r="V32" s="20">
        <v>125871168.56999999</v>
      </c>
    </row>
    <row r="33" spans="1:22">
      <c r="A33" s="88">
        <v>26</v>
      </c>
      <c r="B33" s="73" t="s">
        <v>219</v>
      </c>
      <c r="C33" s="73" t="s">
        <v>220</v>
      </c>
      <c r="D33" s="20">
        <v>354696349.10000002</v>
      </c>
      <c r="E33" s="20">
        <v>18070860.530000001</v>
      </c>
      <c r="F33" s="20">
        <v>0</v>
      </c>
      <c r="G33" s="20">
        <v>378214.33</v>
      </c>
      <c r="H33" s="12">
        <f t="shared" si="14"/>
        <v>17692646.200000003</v>
      </c>
      <c r="I33" s="47">
        <v>335851189.80000001</v>
      </c>
      <c r="J33" s="13">
        <f t="shared" si="11"/>
        <v>2.1200517175969913E-4</v>
      </c>
      <c r="K33" s="47">
        <v>334382569.41000003</v>
      </c>
      <c r="L33" s="13">
        <f t="shared" si="12"/>
        <v>1.9683409055682856E-4</v>
      </c>
      <c r="M33" s="13">
        <f t="shared" si="13"/>
        <v>-4.3728306899092776E-3</v>
      </c>
      <c r="N33" s="23">
        <f t="shared" si="15"/>
        <v>1.1310826717652741E-3</v>
      </c>
      <c r="O33" s="23">
        <f t="shared" si="16"/>
        <v>5.2911388985429839E-2</v>
      </c>
      <c r="P33" s="26">
        <f t="shared" si="17"/>
        <v>1.0257697213485131</v>
      </c>
      <c r="Q33" s="26">
        <f t="shared" si="18"/>
        <v>5.4274900735747145E-2</v>
      </c>
      <c r="R33" s="10">
        <v>1</v>
      </c>
      <c r="S33" s="10">
        <v>1</v>
      </c>
      <c r="T33" s="10">
        <v>291</v>
      </c>
      <c r="U33" s="20">
        <v>75030612.230000004</v>
      </c>
      <c r="V33" s="20">
        <v>325982101.49000001</v>
      </c>
    </row>
    <row r="34" spans="1:22">
      <c r="A34" s="88">
        <v>27</v>
      </c>
      <c r="B34" s="21" t="s">
        <v>235</v>
      </c>
      <c r="C34" s="21" t="s">
        <v>60</v>
      </c>
      <c r="D34" s="20">
        <v>34499119990.5</v>
      </c>
      <c r="E34" s="20">
        <v>689902331.65999997</v>
      </c>
      <c r="F34" s="20">
        <v>0</v>
      </c>
      <c r="G34" s="20">
        <v>52769603.409999996</v>
      </c>
      <c r="H34" s="12">
        <f t="shared" si="14"/>
        <v>637132728.25</v>
      </c>
      <c r="I34" s="47">
        <v>31161435872.240002</v>
      </c>
      <c r="J34" s="13">
        <f t="shared" si="11"/>
        <v>1.9670573649916815E-2</v>
      </c>
      <c r="K34" s="47">
        <v>32773404809.32</v>
      </c>
      <c r="L34" s="13">
        <f t="shared" si="12"/>
        <v>1.9292044263777262E-2</v>
      </c>
      <c r="M34" s="13">
        <f t="shared" si="13"/>
        <v>5.1729610396933343E-2</v>
      </c>
      <c r="N34" s="23">
        <f t="shared" si="15"/>
        <v>1.6101349163146314E-3</v>
      </c>
      <c r="O34" s="23">
        <f t="shared" si="16"/>
        <v>1.9440541254621618E-2</v>
      </c>
      <c r="P34" s="26">
        <f t="shared" si="17"/>
        <v>100.00000000097641</v>
      </c>
      <c r="Q34" s="26">
        <f t="shared" si="18"/>
        <v>1.9440541254811436</v>
      </c>
      <c r="R34" s="10">
        <v>100</v>
      </c>
      <c r="S34" s="10">
        <v>100</v>
      </c>
      <c r="T34" s="10">
        <v>3233</v>
      </c>
      <c r="U34" s="20">
        <v>311614358.72000003</v>
      </c>
      <c r="V34" s="20">
        <v>327734048.08999997</v>
      </c>
    </row>
    <row r="35" spans="1:22">
      <c r="A35" s="88">
        <v>28</v>
      </c>
      <c r="B35" s="21" t="s">
        <v>61</v>
      </c>
      <c r="C35" s="21" t="s">
        <v>62</v>
      </c>
      <c r="D35" s="20">
        <v>6929475770.4899998</v>
      </c>
      <c r="E35" s="20">
        <v>269383193.69999999</v>
      </c>
      <c r="F35" s="20">
        <v>0</v>
      </c>
      <c r="G35" s="20">
        <v>18014133.789999999</v>
      </c>
      <c r="H35" s="12">
        <f t="shared" si="14"/>
        <v>251369059.91</v>
      </c>
      <c r="I35" s="47">
        <v>13661808300</v>
      </c>
      <c r="J35" s="13">
        <f t="shared" si="11"/>
        <v>8.6239802125291833E-3</v>
      </c>
      <c r="K35" s="47">
        <v>15997110200</v>
      </c>
      <c r="L35" s="13">
        <f t="shared" si="12"/>
        <v>9.4166889240375543E-3</v>
      </c>
      <c r="M35" s="13">
        <f t="shared" si="13"/>
        <v>0.17093651504391261</v>
      </c>
      <c r="N35" s="23">
        <f t="shared" si="15"/>
        <v>1.1260867472176318E-3</v>
      </c>
      <c r="O35" s="23">
        <f t="shared" si="16"/>
        <v>1.5713404281605812E-2</v>
      </c>
      <c r="P35" s="26">
        <f t="shared" si="17"/>
        <v>100</v>
      </c>
      <c r="Q35" s="26">
        <f t="shared" si="18"/>
        <v>1.5713404281605812</v>
      </c>
      <c r="R35" s="10">
        <v>100</v>
      </c>
      <c r="S35" s="10">
        <v>100</v>
      </c>
      <c r="T35" s="10">
        <v>6474</v>
      </c>
      <c r="U35" s="20">
        <v>136618083</v>
      </c>
      <c r="V35" s="20">
        <v>159971102</v>
      </c>
    </row>
    <row r="36" spans="1:22">
      <c r="A36" s="88">
        <v>29</v>
      </c>
      <c r="B36" s="21" t="s">
        <v>63</v>
      </c>
      <c r="C36" s="68" t="s">
        <v>64</v>
      </c>
      <c r="D36" s="10">
        <v>39263942.280000001</v>
      </c>
      <c r="E36" s="10">
        <v>275433.01</v>
      </c>
      <c r="F36" s="10"/>
      <c r="G36" s="10">
        <v>41437.480000000003</v>
      </c>
      <c r="H36" s="12">
        <f t="shared" si="14"/>
        <v>233995.53</v>
      </c>
      <c r="I36" s="45">
        <v>39203248.560000002</v>
      </c>
      <c r="J36" s="13">
        <f t="shared" si="11"/>
        <v>2.4746946555259687E-5</v>
      </c>
      <c r="K36" s="10">
        <v>39203248.560000002</v>
      </c>
      <c r="L36" s="13">
        <f t="shared" si="12"/>
        <v>2.3076967770169091E-5</v>
      </c>
      <c r="M36" s="13">
        <f t="shared" si="13"/>
        <v>0</v>
      </c>
      <c r="N36" s="23">
        <f t="shared" si="15"/>
        <v>1.056990977076314E-3</v>
      </c>
      <c r="O36" s="23">
        <f t="shared" si="16"/>
        <v>5.9687790832403404E-3</v>
      </c>
      <c r="P36" s="26">
        <f t="shared" si="17"/>
        <v>101.87107246798604</v>
      </c>
      <c r="Q36" s="26">
        <f t="shared" si="18"/>
        <v>0.608045926534176</v>
      </c>
      <c r="R36" s="10">
        <v>10</v>
      </c>
      <c r="S36" s="10">
        <v>10</v>
      </c>
      <c r="T36" s="10">
        <v>86</v>
      </c>
      <c r="U36" s="10">
        <v>384832</v>
      </c>
      <c r="V36" s="10">
        <v>384832</v>
      </c>
    </row>
    <row r="37" spans="1:22" s="4" customFormat="1">
      <c r="A37" s="88">
        <v>30</v>
      </c>
      <c r="B37" s="21" t="s">
        <v>65</v>
      </c>
      <c r="C37" s="21" t="s">
        <v>66</v>
      </c>
      <c r="D37" s="20">
        <v>8977819390.3600006</v>
      </c>
      <c r="E37" s="20">
        <v>176973919.72</v>
      </c>
      <c r="F37" s="20">
        <v>0</v>
      </c>
      <c r="G37" s="20">
        <v>15013666.65</v>
      </c>
      <c r="H37" s="12">
        <f t="shared" si="14"/>
        <v>161960253.06999999</v>
      </c>
      <c r="I37" s="47">
        <v>8123428519.3400002</v>
      </c>
      <c r="J37" s="13">
        <f t="shared" si="11"/>
        <v>5.1278926823093689E-3</v>
      </c>
      <c r="K37" s="47">
        <v>9224932024.6200008</v>
      </c>
      <c r="L37" s="13">
        <f t="shared" si="12"/>
        <v>5.4302504724408592E-3</v>
      </c>
      <c r="M37" s="13">
        <f t="shared" si="13"/>
        <v>0.1355958881964156</v>
      </c>
      <c r="N37" s="23">
        <f t="shared" si="15"/>
        <v>1.6275097323135508E-3</v>
      </c>
      <c r="O37" s="23">
        <f t="shared" si="16"/>
        <v>1.7556796368553357E-2</v>
      </c>
      <c r="P37" s="26">
        <f t="shared" si="17"/>
        <v>1.0046836841057376</v>
      </c>
      <c r="Q37" s="26">
        <f t="shared" si="18"/>
        <v>1.7639026856652421E-2</v>
      </c>
      <c r="R37" s="10">
        <v>1</v>
      </c>
      <c r="S37" s="10">
        <v>1</v>
      </c>
      <c r="T37" s="10">
        <v>2589</v>
      </c>
      <c r="U37" s="20">
        <v>7877568714.4499998</v>
      </c>
      <c r="V37" s="20">
        <v>9181926780.1000004</v>
      </c>
    </row>
    <row r="38" spans="1:22">
      <c r="A38" s="88">
        <v>31</v>
      </c>
      <c r="B38" s="21" t="s">
        <v>67</v>
      </c>
      <c r="C38" s="21" t="s">
        <v>68</v>
      </c>
      <c r="D38" s="20">
        <v>12817093869.26</v>
      </c>
      <c r="E38" s="20">
        <v>576125131.26999998</v>
      </c>
      <c r="F38" s="20">
        <v>0</v>
      </c>
      <c r="G38" s="20">
        <v>46852837.219999999</v>
      </c>
      <c r="H38" s="12">
        <f t="shared" si="14"/>
        <v>529272294.04999995</v>
      </c>
      <c r="I38" s="47">
        <v>29460357935.360001</v>
      </c>
      <c r="J38" s="13">
        <f t="shared" si="11"/>
        <v>1.8596772719214026E-2</v>
      </c>
      <c r="K38" s="47">
        <v>30820479727.740002</v>
      </c>
      <c r="L38" s="13">
        <f t="shared" si="12"/>
        <v>1.8142456134716958E-2</v>
      </c>
      <c r="M38" s="13">
        <f t="shared" si="13"/>
        <v>4.6167863790531387E-2</v>
      </c>
      <c r="N38" s="23">
        <f t="shared" si="15"/>
        <v>1.5201852026277857E-3</v>
      </c>
      <c r="O38" s="23">
        <f t="shared" si="16"/>
        <v>1.7172746781537858E-2</v>
      </c>
      <c r="P38" s="26">
        <f t="shared" si="17"/>
        <v>100.00000009000509</v>
      </c>
      <c r="Q38" s="26">
        <f t="shared" si="18"/>
        <v>1.7172746796994207</v>
      </c>
      <c r="R38" s="10">
        <v>100</v>
      </c>
      <c r="S38" s="10">
        <v>100</v>
      </c>
      <c r="T38" s="10">
        <v>6178</v>
      </c>
      <c r="U38" s="20">
        <v>294603579</v>
      </c>
      <c r="V38" s="20">
        <v>308204797</v>
      </c>
    </row>
    <row r="39" spans="1:22">
      <c r="A39" s="88">
        <v>32</v>
      </c>
      <c r="B39" s="21" t="s">
        <v>69</v>
      </c>
      <c r="C39" s="21" t="s">
        <v>68</v>
      </c>
      <c r="D39" s="20">
        <v>993829754.99000001</v>
      </c>
      <c r="E39" s="20">
        <v>31094308.309999999</v>
      </c>
      <c r="F39" s="20">
        <v>0</v>
      </c>
      <c r="G39" s="20">
        <v>1636469.17</v>
      </c>
      <c r="H39" s="12">
        <f t="shared" si="14"/>
        <v>29457839.140000001</v>
      </c>
      <c r="I39" s="47">
        <v>1400425112.1500001</v>
      </c>
      <c r="J39" s="13">
        <f t="shared" si="11"/>
        <v>8.8401463342964361E-4</v>
      </c>
      <c r="K39" s="47">
        <v>1808185822.04</v>
      </c>
      <c r="L39" s="13">
        <f t="shared" si="12"/>
        <v>1.0643874543669648E-3</v>
      </c>
      <c r="M39" s="13">
        <f t="shared" si="13"/>
        <v>0.29116923593578381</v>
      </c>
      <c r="N39" s="23">
        <f t="shared" si="15"/>
        <v>9.050337360535938E-4</v>
      </c>
      <c r="O39" s="23">
        <f t="shared" si="16"/>
        <v>1.6291378231671781E-2</v>
      </c>
      <c r="P39" s="26">
        <f t="shared" si="17"/>
        <v>1000102.7776769912</v>
      </c>
      <c r="Q39" s="26">
        <f t="shared" si="18"/>
        <v>16293.052621681416</v>
      </c>
      <c r="R39" s="10">
        <v>1000</v>
      </c>
      <c r="S39" s="10">
        <v>1000</v>
      </c>
      <c r="T39" s="10">
        <v>28</v>
      </c>
      <c r="U39" s="20">
        <v>1400</v>
      </c>
      <c r="V39" s="20">
        <v>1808</v>
      </c>
    </row>
    <row r="40" spans="1:22">
      <c r="A40" s="88">
        <v>33</v>
      </c>
      <c r="B40" s="68" t="s">
        <v>70</v>
      </c>
      <c r="C40" s="68" t="s">
        <v>71</v>
      </c>
      <c r="D40" s="20">
        <v>3667301619.5100002</v>
      </c>
      <c r="E40" s="20">
        <v>73098153.230000004</v>
      </c>
      <c r="F40" s="20">
        <v>0</v>
      </c>
      <c r="G40" s="20">
        <v>6140369.3200000003</v>
      </c>
      <c r="H40" s="12">
        <f t="shared" si="14"/>
        <v>66957783.910000004</v>
      </c>
      <c r="I40" s="47">
        <v>3431677514.1700001</v>
      </c>
      <c r="J40" s="13">
        <f t="shared" si="11"/>
        <v>2.1662373185241824E-3</v>
      </c>
      <c r="K40" s="47">
        <v>3476191318.8299999</v>
      </c>
      <c r="L40" s="13">
        <f t="shared" si="12"/>
        <v>2.0462578478619192E-3</v>
      </c>
      <c r="M40" s="13">
        <f t="shared" si="13"/>
        <v>1.2971441656797447E-2</v>
      </c>
      <c r="N40" s="23">
        <f t="shared" si="15"/>
        <v>1.766407184420073E-3</v>
      </c>
      <c r="O40" s="23">
        <f t="shared" si="16"/>
        <v>1.9261823578955471E-2</v>
      </c>
      <c r="P40" s="26">
        <f t="shared" si="17"/>
        <v>0.99515917290363265</v>
      </c>
      <c r="Q40" s="26">
        <f t="shared" si="18"/>
        <v>1.9168580421449016E-2</v>
      </c>
      <c r="R40" s="10">
        <v>1</v>
      </c>
      <c r="S40" s="10">
        <v>1</v>
      </c>
      <c r="T40" s="10">
        <v>752</v>
      </c>
      <c r="U40" s="20">
        <v>3654100362.3099999</v>
      </c>
      <c r="V40" s="20">
        <v>3493100815.9099998</v>
      </c>
    </row>
    <row r="41" spans="1:22" ht="12.75" customHeight="1">
      <c r="A41" s="88">
        <v>34</v>
      </c>
      <c r="B41" s="21" t="s">
        <v>72</v>
      </c>
      <c r="C41" s="21" t="s">
        <v>73</v>
      </c>
      <c r="D41" s="20">
        <v>635814824.57000005</v>
      </c>
      <c r="E41" s="20">
        <v>14574239.42</v>
      </c>
      <c r="F41" s="20">
        <v>0</v>
      </c>
      <c r="G41" s="20">
        <v>1118618.19</v>
      </c>
      <c r="H41" s="12">
        <f t="shared" si="14"/>
        <v>13455621.23</v>
      </c>
      <c r="I41" s="47">
        <v>689614536.90999997</v>
      </c>
      <c r="J41" s="13">
        <f t="shared" si="11"/>
        <v>4.3531734525833712E-4</v>
      </c>
      <c r="K41" s="47">
        <v>744443908.17999995</v>
      </c>
      <c r="L41" s="13">
        <f t="shared" si="12"/>
        <v>4.3821644141238929E-4</v>
      </c>
      <c r="M41" s="13">
        <f t="shared" si="13"/>
        <v>7.9507273027737288E-2</v>
      </c>
      <c r="N41" s="23">
        <f t="shared" si="15"/>
        <v>1.5026225316757216E-3</v>
      </c>
      <c r="O41" s="23">
        <f t="shared" si="16"/>
        <v>1.8074728105299441E-2</v>
      </c>
      <c r="P41" s="26">
        <f t="shared" si="17"/>
        <v>1.2859821993372749</v>
      </c>
      <c r="Q41" s="26">
        <f t="shared" si="18"/>
        <v>2.324377860127623E-2</v>
      </c>
      <c r="R41" s="10">
        <v>1</v>
      </c>
      <c r="S41" s="10">
        <v>1</v>
      </c>
      <c r="T41" s="10">
        <v>786</v>
      </c>
      <c r="U41" s="20">
        <v>578891300.79999995</v>
      </c>
      <c r="V41" s="20">
        <v>578891300.79999995</v>
      </c>
    </row>
    <row r="42" spans="1:22">
      <c r="A42" s="88">
        <v>35</v>
      </c>
      <c r="B42" s="21" t="s">
        <v>74</v>
      </c>
      <c r="C42" s="21" t="s">
        <v>75</v>
      </c>
      <c r="D42" s="20">
        <v>368619952362.82001</v>
      </c>
      <c r="E42" s="20">
        <v>7665622222.5900002</v>
      </c>
      <c r="F42" s="20">
        <v>0</v>
      </c>
      <c r="G42" s="20">
        <v>481861464.91000003</v>
      </c>
      <c r="H42" s="12">
        <f t="shared" si="14"/>
        <v>7183760757.6800003</v>
      </c>
      <c r="I42" s="47">
        <v>338711177544.69</v>
      </c>
      <c r="J42" s="13">
        <f t="shared" si="11"/>
        <v>0.21381053142927395</v>
      </c>
      <c r="K42" s="47">
        <v>349029131036.02002</v>
      </c>
      <c r="L42" s="13">
        <f t="shared" si="12"/>
        <v>0.20545577990663225</v>
      </c>
      <c r="M42" s="13">
        <f t="shared" si="13"/>
        <v>3.0462394439193411E-2</v>
      </c>
      <c r="N42" s="23">
        <f t="shared" si="15"/>
        <v>1.3805766397770151E-3</v>
      </c>
      <c r="O42" s="23">
        <f t="shared" si="16"/>
        <v>2.0582123722328014E-2</v>
      </c>
      <c r="P42" s="26">
        <f t="shared" si="17"/>
        <v>100.06449666008575</v>
      </c>
      <c r="Q42" s="26">
        <f t="shared" si="18"/>
        <v>2.059539850470363</v>
      </c>
      <c r="R42" s="10">
        <v>100</v>
      </c>
      <c r="S42" s="10">
        <v>100</v>
      </c>
      <c r="T42" s="10">
        <v>30124</v>
      </c>
      <c r="U42" s="20">
        <v>3384995722</v>
      </c>
      <c r="V42" s="20">
        <v>3488041640</v>
      </c>
    </row>
    <row r="43" spans="1:22" ht="16.95" customHeight="1">
      <c r="A43" s="88">
        <v>36</v>
      </c>
      <c r="B43" s="21" t="s">
        <v>76</v>
      </c>
      <c r="C43" s="21" t="s">
        <v>77</v>
      </c>
      <c r="D43" s="20">
        <v>814686500.34000003</v>
      </c>
      <c r="E43" s="20">
        <v>14049709.52</v>
      </c>
      <c r="F43" s="20">
        <v>0</v>
      </c>
      <c r="G43" s="20">
        <v>2107200.06</v>
      </c>
      <c r="H43" s="12">
        <f t="shared" si="14"/>
        <v>11942509.459999999</v>
      </c>
      <c r="I43" s="47">
        <v>742050933.13999999</v>
      </c>
      <c r="J43" s="13">
        <f t="shared" si="11"/>
        <v>4.6841768114168136E-4</v>
      </c>
      <c r="K43" s="47">
        <v>774750916.48000002</v>
      </c>
      <c r="L43" s="13">
        <f t="shared" si="12"/>
        <v>4.5605664291199045E-4</v>
      </c>
      <c r="M43" s="13">
        <f t="shared" si="13"/>
        <v>4.4067033514302786E-2</v>
      </c>
      <c r="N43" s="23">
        <f t="shared" si="15"/>
        <v>2.7198419713704166E-3</v>
      </c>
      <c r="O43" s="23">
        <f t="shared" si="16"/>
        <v>1.5414643862906991E-2</v>
      </c>
      <c r="P43" s="26">
        <f t="shared" si="17"/>
        <v>9.9521183436817253</v>
      </c>
      <c r="Q43" s="26">
        <f t="shared" si="18"/>
        <v>0.15340835994935761</v>
      </c>
      <c r="R43" s="10">
        <v>10</v>
      </c>
      <c r="S43" s="10">
        <v>10</v>
      </c>
      <c r="T43" s="10">
        <v>403</v>
      </c>
      <c r="U43" s="20">
        <v>74937465</v>
      </c>
      <c r="V43" s="20">
        <v>77847840</v>
      </c>
    </row>
    <row r="44" spans="1:22" s="4" customFormat="1">
      <c r="A44" s="88">
        <v>37</v>
      </c>
      <c r="B44" s="21" t="s">
        <v>78</v>
      </c>
      <c r="C44" s="21" t="s">
        <v>79</v>
      </c>
      <c r="D44" s="20">
        <v>2019167340.8099999</v>
      </c>
      <c r="E44" s="20">
        <v>72010036.790000007</v>
      </c>
      <c r="F44" s="20">
        <v>0</v>
      </c>
      <c r="G44" s="20">
        <v>8987110.0800000001</v>
      </c>
      <c r="H44" s="12">
        <f t="shared" si="14"/>
        <v>63022926.710000008</v>
      </c>
      <c r="I44" s="47">
        <v>4816570836.3699999</v>
      </c>
      <c r="J44" s="13">
        <f t="shared" si="11"/>
        <v>3.0404475507901847E-3</v>
      </c>
      <c r="K44" s="47">
        <v>4893889187.0900002</v>
      </c>
      <c r="L44" s="13">
        <f t="shared" si="12"/>
        <v>2.8807848122179938E-3</v>
      </c>
      <c r="M44" s="13">
        <f t="shared" si="13"/>
        <v>1.6052572119601816E-2</v>
      </c>
      <c r="N44" s="23">
        <f t="shared" si="15"/>
        <v>1.8363942738441749E-3</v>
      </c>
      <c r="O44" s="23">
        <f t="shared" si="16"/>
        <v>1.2877881844209604E-2</v>
      </c>
      <c r="P44" s="26">
        <f t="shared" si="17"/>
        <v>106.30516618725804</v>
      </c>
      <c r="Q44" s="26">
        <f t="shared" si="18"/>
        <v>1.368985369588575</v>
      </c>
      <c r="R44" s="10">
        <v>100</v>
      </c>
      <c r="S44" s="10">
        <v>100</v>
      </c>
      <c r="T44" s="10">
        <v>777</v>
      </c>
      <c r="U44" s="20">
        <v>48167599</v>
      </c>
      <c r="V44" s="20">
        <v>46036231</v>
      </c>
    </row>
    <row r="45" spans="1:22">
      <c r="A45" s="88">
        <v>38</v>
      </c>
      <c r="B45" s="64" t="s">
        <v>255</v>
      </c>
      <c r="C45" s="64" t="s">
        <v>231</v>
      </c>
      <c r="D45" s="20">
        <v>73136099.959999993</v>
      </c>
      <c r="E45" s="20">
        <v>3697170.21</v>
      </c>
      <c r="F45" s="20">
        <v>0</v>
      </c>
      <c r="G45" s="20">
        <v>79603.03</v>
      </c>
      <c r="H45" s="12">
        <f t="shared" si="14"/>
        <v>3617567.18</v>
      </c>
      <c r="I45" s="47">
        <v>66237167.140000001</v>
      </c>
      <c r="J45" s="13">
        <f t="shared" si="11"/>
        <v>4.1812035874441911E-5</v>
      </c>
      <c r="K45" s="47">
        <v>73356378.569999993</v>
      </c>
      <c r="L45" s="13">
        <f t="shared" si="12"/>
        <v>4.3181186411257245E-5</v>
      </c>
      <c r="M45" s="13">
        <f t="shared" si="13"/>
        <v>0.10748061454610078</v>
      </c>
      <c r="N45" s="23">
        <f t="shared" si="15"/>
        <v>1.0851548502225905E-3</v>
      </c>
      <c r="O45" s="23">
        <f t="shared" si="16"/>
        <v>4.9314964158814804E-2</v>
      </c>
      <c r="P45" s="26">
        <f t="shared" si="17"/>
        <v>1.1294158370146623</v>
      </c>
      <c r="Q45" s="26">
        <f t="shared" si="18"/>
        <v>5.5697101522775898E-2</v>
      </c>
      <c r="R45" s="10">
        <v>1</v>
      </c>
      <c r="S45" s="10">
        <v>1</v>
      </c>
      <c r="T45" s="10">
        <v>43</v>
      </c>
      <c r="U45" s="20">
        <v>64950726</v>
      </c>
      <c r="V45" s="20">
        <v>64950726</v>
      </c>
    </row>
    <row r="46" spans="1:22">
      <c r="A46" s="88">
        <v>39</v>
      </c>
      <c r="B46" s="68" t="s">
        <v>271</v>
      </c>
      <c r="C46" s="68" t="s">
        <v>36</v>
      </c>
      <c r="D46" s="20">
        <v>160626876.22</v>
      </c>
      <c r="E46" s="20">
        <v>2597803.1800000002</v>
      </c>
      <c r="F46" s="20">
        <v>0</v>
      </c>
      <c r="G46" s="20">
        <v>254976.95</v>
      </c>
      <c r="H46" s="12">
        <f t="shared" si="14"/>
        <v>2342826.23</v>
      </c>
      <c r="I46" s="47">
        <v>0</v>
      </c>
      <c r="J46" s="13">
        <f t="shared" si="11"/>
        <v>0</v>
      </c>
      <c r="K46" s="47">
        <v>153407455</v>
      </c>
      <c r="L46" s="13">
        <f t="shared" si="12"/>
        <v>9.0303202534873427E-5</v>
      </c>
      <c r="M46" s="13" t="e">
        <f t="shared" si="13"/>
        <v>#DIV/0!</v>
      </c>
      <c r="N46" s="23">
        <f t="shared" si="15"/>
        <v>1.6620896944024004E-3</v>
      </c>
      <c r="O46" s="23">
        <f t="shared" si="16"/>
        <v>1.5271919021145355E-2</v>
      </c>
      <c r="P46" s="26">
        <f t="shared" si="17"/>
        <v>100</v>
      </c>
      <c r="Q46" s="26">
        <f t="shared" si="18"/>
        <v>1.5271919021145355</v>
      </c>
      <c r="R46" s="10">
        <v>100</v>
      </c>
      <c r="S46" s="10">
        <v>100</v>
      </c>
      <c r="T46" s="10">
        <v>271</v>
      </c>
      <c r="U46" s="20">
        <v>1515442.65</v>
      </c>
      <c r="V46" s="20">
        <v>1534074.55</v>
      </c>
    </row>
    <row r="47" spans="1:22">
      <c r="A47" s="88">
        <v>40</v>
      </c>
      <c r="B47" s="68" t="s">
        <v>80</v>
      </c>
      <c r="C47" s="68" t="s">
        <v>36</v>
      </c>
      <c r="D47" s="20">
        <v>47696442336.629997</v>
      </c>
      <c r="E47" s="20">
        <v>888907604.13999999</v>
      </c>
      <c r="F47" s="20">
        <v>0</v>
      </c>
      <c r="G47" s="20">
        <v>49830566.299999997</v>
      </c>
      <c r="H47" s="12">
        <f t="shared" si="14"/>
        <v>839077037.84000003</v>
      </c>
      <c r="I47" s="47">
        <v>43519202837.660004</v>
      </c>
      <c r="J47" s="13">
        <f t="shared" si="11"/>
        <v>2.7471381232675014E-2</v>
      </c>
      <c r="K47" s="47">
        <v>45577906401.050003</v>
      </c>
      <c r="L47" s="13">
        <f t="shared" si="12"/>
        <v>2.6829406125338056E-2</v>
      </c>
      <c r="M47" s="13">
        <f t="shared" si="13"/>
        <v>4.7305635883763686E-2</v>
      </c>
      <c r="N47" s="23">
        <f t="shared" si="15"/>
        <v>1.0933052927339379E-3</v>
      </c>
      <c r="O47" s="23">
        <f t="shared" si="16"/>
        <v>1.8409731909508457E-2</v>
      </c>
      <c r="P47" s="26">
        <f t="shared" si="17"/>
        <v>100.00000000010971</v>
      </c>
      <c r="Q47" s="26">
        <f t="shared" si="18"/>
        <v>1.8409731909528655</v>
      </c>
      <c r="R47" s="10">
        <v>100</v>
      </c>
      <c r="S47" s="10">
        <v>100</v>
      </c>
      <c r="T47" s="10">
        <v>12973</v>
      </c>
      <c r="U47" s="20">
        <v>435192028.38</v>
      </c>
      <c r="V47" s="20">
        <v>455779064.00999999</v>
      </c>
    </row>
    <row r="48" spans="1:22">
      <c r="A48" s="88">
        <v>41</v>
      </c>
      <c r="B48" s="21" t="s">
        <v>81</v>
      </c>
      <c r="C48" s="21" t="s">
        <v>38</v>
      </c>
      <c r="D48" s="20">
        <v>8507621582.5100002</v>
      </c>
      <c r="E48" s="20">
        <v>172944503.47999999</v>
      </c>
      <c r="F48" s="20">
        <v>0</v>
      </c>
      <c r="G48" s="20">
        <v>12879278.359999999</v>
      </c>
      <c r="H48" s="12">
        <f t="shared" si="14"/>
        <v>160065225.12</v>
      </c>
      <c r="I48" s="47">
        <v>7186671083.21</v>
      </c>
      <c r="J48" s="13">
        <f t="shared" si="11"/>
        <v>4.5365670381686376E-3</v>
      </c>
      <c r="K48" s="47">
        <v>8458380545.5200005</v>
      </c>
      <c r="L48" s="13">
        <f t="shared" si="12"/>
        <v>4.9790204232194957E-3</v>
      </c>
      <c r="M48" s="13">
        <f t="shared" si="13"/>
        <v>0.17695389806847517</v>
      </c>
      <c r="N48" s="23">
        <f t="shared" si="15"/>
        <v>1.5226648045318246E-3</v>
      </c>
      <c r="O48" s="23">
        <f t="shared" si="16"/>
        <v>1.8923861873864127E-2</v>
      </c>
      <c r="P48" s="26">
        <f t="shared" si="17"/>
        <v>0.99953534280089029</v>
      </c>
      <c r="Q48" s="26">
        <f t="shared" si="18"/>
        <v>1.8915068765209479E-2</v>
      </c>
      <c r="R48" s="10">
        <v>1</v>
      </c>
      <c r="S48" s="10">
        <v>1</v>
      </c>
      <c r="T48" s="10">
        <v>1164</v>
      </c>
      <c r="U48" s="20">
        <v>7188996664</v>
      </c>
      <c r="V48" s="20">
        <v>8462312620</v>
      </c>
    </row>
    <row r="49" spans="1:23">
      <c r="A49" s="88">
        <v>42</v>
      </c>
      <c r="B49" s="21" t="s">
        <v>82</v>
      </c>
      <c r="C49" s="21" t="s">
        <v>40</v>
      </c>
      <c r="D49" s="20">
        <v>17183029137.84</v>
      </c>
      <c r="E49" s="20">
        <v>322661399.72000003</v>
      </c>
      <c r="F49" s="20">
        <v>0</v>
      </c>
      <c r="G49" s="20">
        <v>22366083.18</v>
      </c>
      <c r="H49" s="12">
        <f t="shared" si="14"/>
        <v>300295316.54000002</v>
      </c>
      <c r="I49" s="47">
        <v>15785679740.58</v>
      </c>
      <c r="J49" s="13">
        <f t="shared" si="11"/>
        <v>9.9646684197790079E-3</v>
      </c>
      <c r="K49" s="47">
        <v>17218334807.66</v>
      </c>
      <c r="L49" s="13">
        <f t="shared" si="12"/>
        <v>1.0135562026300364E-2</v>
      </c>
      <c r="M49" s="13">
        <f t="shared" si="13"/>
        <v>9.0756628198727221E-2</v>
      </c>
      <c r="N49" s="23">
        <f t="shared" si="15"/>
        <v>1.2989690019298437E-3</v>
      </c>
      <c r="O49" s="23">
        <f t="shared" si="16"/>
        <v>1.7440438921329737E-2</v>
      </c>
      <c r="P49" s="26">
        <f t="shared" si="17"/>
        <v>9.9839735756643915</v>
      </c>
      <c r="Q49" s="26">
        <f t="shared" si="18"/>
        <v>0.1741248813385449</v>
      </c>
      <c r="R49" s="10">
        <v>10</v>
      </c>
      <c r="S49" s="10">
        <v>10</v>
      </c>
      <c r="T49" s="10">
        <v>3197</v>
      </c>
      <c r="U49" s="20">
        <v>1542404591.79</v>
      </c>
      <c r="V49" s="20">
        <v>1724597393.73</v>
      </c>
    </row>
    <row r="50" spans="1:23" ht="14.1" customHeight="1">
      <c r="A50" s="88">
        <v>43</v>
      </c>
      <c r="B50" s="21" t="s">
        <v>83</v>
      </c>
      <c r="C50" s="21" t="s">
        <v>276</v>
      </c>
      <c r="D50" s="20">
        <v>5797065785.2799997</v>
      </c>
      <c r="E50" s="20">
        <v>247700819.66999999</v>
      </c>
      <c r="F50" s="20">
        <v>0</v>
      </c>
      <c r="G50" s="20">
        <v>14557802.539999999</v>
      </c>
      <c r="H50" s="12">
        <f t="shared" si="14"/>
        <v>233143017.13</v>
      </c>
      <c r="I50" s="47">
        <v>11876142605</v>
      </c>
      <c r="J50" s="13">
        <f t="shared" si="11"/>
        <v>7.4967834841230194E-3</v>
      </c>
      <c r="K50" s="47">
        <v>12513773836</v>
      </c>
      <c r="L50" s="13">
        <f t="shared" si="12"/>
        <v>7.3662251498006264E-3</v>
      </c>
      <c r="M50" s="13">
        <f t="shared" si="13"/>
        <v>5.3690095530812297E-2</v>
      </c>
      <c r="N50" s="23">
        <f t="shared" si="15"/>
        <v>1.1633423083066818E-3</v>
      </c>
      <c r="O50" s="23">
        <f t="shared" si="16"/>
        <v>1.8630911840462321E-2</v>
      </c>
      <c r="P50" s="26">
        <f t="shared" si="17"/>
        <v>100.00000028768299</v>
      </c>
      <c r="Q50" s="26">
        <f t="shared" si="18"/>
        <v>1.8630911894060287</v>
      </c>
      <c r="R50" s="10">
        <v>100</v>
      </c>
      <c r="S50" s="10">
        <v>100</v>
      </c>
      <c r="T50" s="10">
        <v>3220</v>
      </c>
      <c r="U50" s="20">
        <v>118761426</v>
      </c>
      <c r="V50" s="20">
        <v>125137738</v>
      </c>
    </row>
    <row r="51" spans="1:23">
      <c r="A51" s="88">
        <v>44</v>
      </c>
      <c r="B51" s="21" t="s">
        <v>84</v>
      </c>
      <c r="C51" s="68" t="s">
        <v>85</v>
      </c>
      <c r="D51" s="20">
        <v>261180572.41999999</v>
      </c>
      <c r="E51" s="20">
        <v>3673432.57</v>
      </c>
      <c r="F51" s="20">
        <v>0</v>
      </c>
      <c r="G51" s="20">
        <v>3527498.32</v>
      </c>
      <c r="H51" s="12">
        <f t="shared" si="14"/>
        <v>145934.25</v>
      </c>
      <c r="I51" s="47">
        <v>194284569.94</v>
      </c>
      <c r="J51" s="13">
        <f t="shared" si="11"/>
        <v>1.2264161888161628E-4</v>
      </c>
      <c r="K51" s="47">
        <v>245227077.81999999</v>
      </c>
      <c r="L51" s="13">
        <f t="shared" si="12"/>
        <v>1.4435276613782965E-4</v>
      </c>
      <c r="M51" s="13">
        <f t="shared" si="13"/>
        <v>0.26220562907148176</v>
      </c>
      <c r="N51" s="23">
        <f t="shared" si="15"/>
        <v>1.4384619966760895E-2</v>
      </c>
      <c r="O51" s="23">
        <f t="shared" si="16"/>
        <v>5.9509843406084918E-4</v>
      </c>
      <c r="P51" s="26">
        <f t="shared" si="17"/>
        <v>1.0147606998124434</v>
      </c>
      <c r="Q51" s="26">
        <f t="shared" si="18"/>
        <v>6.0388250340487662E-4</v>
      </c>
      <c r="R51" s="10">
        <v>1</v>
      </c>
      <c r="S51" s="10">
        <v>1</v>
      </c>
      <c r="T51" s="10">
        <v>83</v>
      </c>
      <c r="U51" s="20">
        <v>241660007</v>
      </c>
      <c r="V51" s="20">
        <v>241660007</v>
      </c>
    </row>
    <row r="52" spans="1:23" ht="15" customHeight="1">
      <c r="A52" s="88">
        <v>45</v>
      </c>
      <c r="B52" s="68" t="s">
        <v>86</v>
      </c>
      <c r="C52" s="68" t="s">
        <v>42</v>
      </c>
      <c r="D52" s="20">
        <v>959627038.75999999</v>
      </c>
      <c r="E52" s="20">
        <v>46149199.229999997</v>
      </c>
      <c r="F52" s="20">
        <v>0</v>
      </c>
      <c r="G52" s="20">
        <v>1338191.8700000001</v>
      </c>
      <c r="H52" s="12">
        <f t="shared" si="14"/>
        <v>44811007.359999999</v>
      </c>
      <c r="I52" s="47">
        <v>1068176045.65</v>
      </c>
      <c r="J52" s="13">
        <f t="shared" si="11"/>
        <v>6.7428329243818101E-4</v>
      </c>
      <c r="K52" s="47">
        <v>981194341.27999997</v>
      </c>
      <c r="L52" s="13">
        <f t="shared" si="12"/>
        <v>5.7757943593210351E-4</v>
      </c>
      <c r="M52" s="13">
        <f t="shared" si="13"/>
        <v>-8.1430120741071685E-2</v>
      </c>
      <c r="N52" s="23">
        <f t="shared" si="15"/>
        <v>1.3638397753642619E-3</v>
      </c>
      <c r="O52" s="23">
        <f t="shared" si="16"/>
        <v>4.5669859144868874E-2</v>
      </c>
      <c r="P52" s="26">
        <f t="shared" si="17"/>
        <v>10.735041634619908</v>
      </c>
      <c r="Q52" s="26">
        <f t="shared" si="18"/>
        <v>0.4902678393673941</v>
      </c>
      <c r="R52" s="10">
        <v>10</v>
      </c>
      <c r="S52" s="10">
        <v>10</v>
      </c>
      <c r="T52" s="10">
        <v>741</v>
      </c>
      <c r="U52" s="20">
        <v>91959554.599999994</v>
      </c>
      <c r="V52" s="20">
        <v>91401074.599999994</v>
      </c>
    </row>
    <row r="53" spans="1:23" ht="15" customHeight="1">
      <c r="A53" s="88">
        <v>46</v>
      </c>
      <c r="B53" s="10" t="s">
        <v>214</v>
      </c>
      <c r="C53" s="10" t="s">
        <v>215</v>
      </c>
      <c r="D53" s="20">
        <v>399615176.05000001</v>
      </c>
      <c r="E53" s="20">
        <v>15012269.970000001</v>
      </c>
      <c r="F53" s="20">
        <v>0</v>
      </c>
      <c r="G53" s="20">
        <v>1677010.62</v>
      </c>
      <c r="H53" s="12">
        <f t="shared" si="14"/>
        <v>13335259.350000001</v>
      </c>
      <c r="I53" s="47">
        <v>715097230.41999996</v>
      </c>
      <c r="J53" s="13">
        <f t="shared" si="11"/>
        <v>4.5140322787112314E-4</v>
      </c>
      <c r="K53" s="47">
        <v>716150676.88999999</v>
      </c>
      <c r="L53" s="13">
        <f t="shared" si="12"/>
        <v>4.2156164849149194E-4</v>
      </c>
      <c r="M53" s="13">
        <f t="shared" si="13"/>
        <v>1.4731513774445821E-3</v>
      </c>
      <c r="N53" s="23">
        <f t="shared" si="15"/>
        <v>2.3417008097830609E-3</v>
      </c>
      <c r="O53" s="23">
        <f t="shared" si="16"/>
        <v>1.8620745298895087E-2</v>
      </c>
      <c r="P53" s="26">
        <f t="shared" si="17"/>
        <v>1.0000070752231518</v>
      </c>
      <c r="Q53" s="26">
        <f t="shared" si="18"/>
        <v>1.862087704482333E-2</v>
      </c>
      <c r="R53" s="10">
        <v>1</v>
      </c>
      <c r="S53" s="10">
        <v>1</v>
      </c>
      <c r="T53" s="10">
        <v>69</v>
      </c>
      <c r="U53" s="20">
        <v>704139841</v>
      </c>
      <c r="V53" s="20">
        <v>716145610</v>
      </c>
    </row>
    <row r="54" spans="1:23" s="4" customFormat="1" ht="15" customHeight="1">
      <c r="A54" s="88">
        <v>47</v>
      </c>
      <c r="B54" s="64" t="s">
        <v>216</v>
      </c>
      <c r="C54" s="67" t="s">
        <v>217</v>
      </c>
      <c r="D54" s="20">
        <v>5415743251.3800001</v>
      </c>
      <c r="E54" s="20">
        <v>110598421.65000001</v>
      </c>
      <c r="F54" s="20">
        <v>0</v>
      </c>
      <c r="G54" s="20">
        <v>7997609.1399999997</v>
      </c>
      <c r="H54" s="12">
        <f t="shared" si="14"/>
        <v>102600812.51000001</v>
      </c>
      <c r="I54" s="47">
        <v>5937571789.8500004</v>
      </c>
      <c r="J54" s="13">
        <f t="shared" si="11"/>
        <v>3.7480764260275773E-3</v>
      </c>
      <c r="K54" s="47">
        <v>5387731391.5500002</v>
      </c>
      <c r="L54" s="13">
        <f t="shared" si="12"/>
        <v>3.1714847173146513E-3</v>
      </c>
      <c r="M54" s="13">
        <f t="shared" si="13"/>
        <v>-9.2603578998392319E-2</v>
      </c>
      <c r="N54" s="23">
        <f t="shared" si="15"/>
        <v>1.4844112593555192E-3</v>
      </c>
      <c r="O54" s="23">
        <f t="shared" si="16"/>
        <v>1.9043416431434736E-2</v>
      </c>
      <c r="P54" s="26">
        <f t="shared" si="17"/>
        <v>110.5132071411179</v>
      </c>
      <c r="Q54" s="26">
        <f t="shared" si="18"/>
        <v>2.1045490247617153</v>
      </c>
      <c r="R54" s="10">
        <v>100</v>
      </c>
      <c r="S54" s="10">
        <v>100</v>
      </c>
      <c r="T54" s="10">
        <v>80</v>
      </c>
      <c r="U54" s="20">
        <v>100000000</v>
      </c>
      <c r="V54" s="20">
        <v>48751923.240000002</v>
      </c>
    </row>
    <row r="55" spans="1:23" s="4" customFormat="1" ht="15" customHeight="1">
      <c r="A55" s="88">
        <v>48</v>
      </c>
      <c r="B55" s="64" t="s">
        <v>218</v>
      </c>
      <c r="C55" s="67" t="s">
        <v>112</v>
      </c>
      <c r="D55" s="20">
        <v>50000000</v>
      </c>
      <c r="E55" s="20">
        <v>1004939.92</v>
      </c>
      <c r="F55" s="20">
        <v>0</v>
      </c>
      <c r="G55" s="20">
        <v>64321.5</v>
      </c>
      <c r="H55" s="12">
        <f t="shared" si="14"/>
        <v>940618.42</v>
      </c>
      <c r="I55" s="47">
        <v>56987330.859999999</v>
      </c>
      <c r="J55" s="13">
        <f t="shared" si="11"/>
        <v>3.5973101284219722E-5</v>
      </c>
      <c r="K55" s="47">
        <v>57601346.350000001</v>
      </c>
      <c r="L55" s="13">
        <f t="shared" si="12"/>
        <v>3.3906996538893381E-5</v>
      </c>
      <c r="M55" s="13">
        <f t="shared" si="13"/>
        <v>1.0774596401232505E-2</v>
      </c>
      <c r="N55" s="23">
        <f t="shared" si="15"/>
        <v>1.1166666072207183E-3</v>
      </c>
      <c r="O55" s="23">
        <f t="shared" si="16"/>
        <v>1.6329799207896466E-2</v>
      </c>
      <c r="P55" s="26">
        <f t="shared" si="17"/>
        <v>1131.5681744067265</v>
      </c>
      <c r="Q55" s="26">
        <f t="shared" si="18"/>
        <v>18.478281078107813</v>
      </c>
      <c r="R55" s="10">
        <v>1000</v>
      </c>
      <c r="S55" s="10">
        <v>1000</v>
      </c>
      <c r="T55" s="10">
        <v>25</v>
      </c>
      <c r="U55" s="20">
        <v>50904</v>
      </c>
      <c r="V55" s="20">
        <v>50904</v>
      </c>
    </row>
    <row r="56" spans="1:23" s="4" customFormat="1">
      <c r="A56" s="88">
        <v>49</v>
      </c>
      <c r="B56" s="21" t="s">
        <v>87</v>
      </c>
      <c r="C56" s="21" t="s">
        <v>46</v>
      </c>
      <c r="D56" s="20">
        <v>769933222889.27002</v>
      </c>
      <c r="E56" s="20">
        <v>14561617429</v>
      </c>
      <c r="F56" s="20">
        <v>0</v>
      </c>
      <c r="G56" s="20">
        <v>1259632955.4200001</v>
      </c>
      <c r="H56" s="12">
        <f t="shared" si="14"/>
        <v>13301984473.58</v>
      </c>
      <c r="I56" s="47">
        <v>728861277360.07996</v>
      </c>
      <c r="J56" s="13">
        <f t="shared" si="11"/>
        <v>0.46009174595372371</v>
      </c>
      <c r="K56" s="47">
        <v>785952913814.55005</v>
      </c>
      <c r="L56" s="13">
        <f t="shared" si="12"/>
        <v>0.46265069164382677</v>
      </c>
      <c r="M56" s="13">
        <f t="shared" si="13"/>
        <v>7.8329907525413869E-2</v>
      </c>
      <c r="N56" s="23">
        <f t="shared" si="15"/>
        <v>1.6026824677148757E-3</v>
      </c>
      <c r="O56" s="23">
        <f t="shared" si="16"/>
        <v>1.6924658258495467E-2</v>
      </c>
      <c r="P56" s="26">
        <f t="shared" si="17"/>
        <v>1</v>
      </c>
      <c r="Q56" s="26">
        <f t="shared" si="18"/>
        <v>1.6924658258495467E-2</v>
      </c>
      <c r="R56" s="10">
        <v>100</v>
      </c>
      <c r="S56" s="10">
        <v>100</v>
      </c>
      <c r="T56" s="10">
        <v>148049</v>
      </c>
      <c r="U56" s="20">
        <v>728861277360.06995</v>
      </c>
      <c r="V56" s="20">
        <v>785952913814.55005</v>
      </c>
    </row>
    <row r="57" spans="1:23" s="4" customFormat="1">
      <c r="A57" s="88">
        <v>50</v>
      </c>
      <c r="B57" s="21" t="s">
        <v>88</v>
      </c>
      <c r="C57" s="21" t="s">
        <v>89</v>
      </c>
      <c r="D57" s="20">
        <v>3746051221.73</v>
      </c>
      <c r="E57" s="20">
        <v>66068814.460000001</v>
      </c>
      <c r="F57" s="20">
        <v>0</v>
      </c>
      <c r="G57" s="20">
        <v>5114973.0599999996</v>
      </c>
      <c r="H57" s="12">
        <f t="shared" si="14"/>
        <v>60953841.399999999</v>
      </c>
      <c r="I57" s="47">
        <v>3487143517.21</v>
      </c>
      <c r="J57" s="13">
        <f t="shared" si="11"/>
        <v>2.2012500856616805E-3</v>
      </c>
      <c r="K57" s="47">
        <v>3758447510.0999999</v>
      </c>
      <c r="L57" s="13">
        <f t="shared" si="12"/>
        <v>2.2124077784958429E-3</v>
      </c>
      <c r="M57" s="13">
        <f t="shared" si="13"/>
        <v>7.7801212238911593E-2</v>
      </c>
      <c r="N57" s="23">
        <f t="shared" si="15"/>
        <v>1.3609270972268833E-3</v>
      </c>
      <c r="O57" s="23">
        <f t="shared" si="16"/>
        <v>1.6217824310755965E-2</v>
      </c>
      <c r="P57" s="26">
        <f t="shared" si="17"/>
        <v>1.0510606118624815</v>
      </c>
      <c r="Q57" s="26">
        <f t="shared" si="18"/>
        <v>1.7045916343141388E-2</v>
      </c>
      <c r="R57" s="10">
        <v>1</v>
      </c>
      <c r="S57" s="10">
        <v>1</v>
      </c>
      <c r="T57" s="10">
        <v>399</v>
      </c>
      <c r="U57" s="20">
        <v>3364068076.9299998</v>
      </c>
      <c r="V57" s="20">
        <v>3575861817.75</v>
      </c>
    </row>
    <row r="58" spans="1:23">
      <c r="A58" s="88">
        <v>51</v>
      </c>
      <c r="B58" s="21" t="s">
        <v>90</v>
      </c>
      <c r="C58" s="21" t="s">
        <v>50</v>
      </c>
      <c r="D58" s="20">
        <v>32188730438.240002</v>
      </c>
      <c r="E58" s="20">
        <v>1436757570</v>
      </c>
      <c r="F58" s="20">
        <v>0</v>
      </c>
      <c r="G58" s="20">
        <v>83869025</v>
      </c>
      <c r="H58" s="12">
        <f t="shared" si="14"/>
        <v>1352888545</v>
      </c>
      <c r="I58" s="47">
        <v>67966483249</v>
      </c>
      <c r="J58" s="13">
        <f t="shared" si="11"/>
        <v>4.2903662076313291E-2</v>
      </c>
      <c r="K58" s="47">
        <v>76382197888.020004</v>
      </c>
      <c r="L58" s="13">
        <f t="shared" si="12"/>
        <v>4.4962333062240366E-2</v>
      </c>
      <c r="M58" s="13">
        <f t="shared" si="13"/>
        <v>0.12382154021693959</v>
      </c>
      <c r="N58" s="23">
        <f t="shared" si="15"/>
        <v>1.0980179586211442E-3</v>
      </c>
      <c r="O58" s="23">
        <f t="shared" si="16"/>
        <v>1.771209237764276E-2</v>
      </c>
      <c r="P58" s="26">
        <f t="shared" si="17"/>
        <v>1.0255168652629221</v>
      </c>
      <c r="Q58" s="26">
        <f t="shared" si="18"/>
        <v>1.8164049452367499E-2</v>
      </c>
      <c r="R58" s="10">
        <v>1</v>
      </c>
      <c r="S58" s="10">
        <v>1</v>
      </c>
      <c r="T58" s="10">
        <v>10182</v>
      </c>
      <c r="U58" s="20">
        <v>65938300911.709999</v>
      </c>
      <c r="V58" s="20">
        <v>74481659420.039993</v>
      </c>
    </row>
    <row r="59" spans="1:23" s="4" customFormat="1">
      <c r="A59" s="88">
        <v>52</v>
      </c>
      <c r="B59" s="74" t="s">
        <v>91</v>
      </c>
      <c r="C59" s="21" t="s">
        <v>92</v>
      </c>
      <c r="D59" s="20">
        <v>1077617945.4200001</v>
      </c>
      <c r="E59" s="20">
        <v>33901685.640000001</v>
      </c>
      <c r="F59" s="20">
        <v>0</v>
      </c>
      <c r="G59" s="20">
        <v>2423082.19</v>
      </c>
      <c r="H59" s="12">
        <f t="shared" si="14"/>
        <v>31478603.449999999</v>
      </c>
      <c r="I59" s="47">
        <v>1193005842.23</v>
      </c>
      <c r="J59" s="13">
        <f t="shared" si="11"/>
        <v>7.5308177006284244E-4</v>
      </c>
      <c r="K59" s="47">
        <v>1544656888.4400001</v>
      </c>
      <c r="L59" s="13">
        <f t="shared" si="12"/>
        <v>9.0926131225946424E-4</v>
      </c>
      <c r="M59" s="13">
        <f t="shared" si="13"/>
        <v>0.29476053994227225</v>
      </c>
      <c r="N59" s="23">
        <f t="shared" si="15"/>
        <v>1.5686863588503144E-3</v>
      </c>
      <c r="O59" s="23">
        <f t="shared" si="16"/>
        <v>2.0379026362153007E-2</v>
      </c>
      <c r="P59" s="26">
        <f t="shared" si="17"/>
        <v>1.0567270710153469</v>
      </c>
      <c r="Q59" s="26">
        <f t="shared" si="18"/>
        <v>2.1535068837822489E-2</v>
      </c>
      <c r="R59" s="10">
        <v>1</v>
      </c>
      <c r="S59" s="10">
        <v>1</v>
      </c>
      <c r="T59" s="10">
        <v>137</v>
      </c>
      <c r="U59" s="20">
        <v>1138780530.45</v>
      </c>
      <c r="V59" s="20">
        <v>1461736838.97</v>
      </c>
    </row>
    <row r="60" spans="1:23" s="4" customFormat="1">
      <c r="A60" s="88">
        <v>53</v>
      </c>
      <c r="B60" s="21" t="s">
        <v>93</v>
      </c>
      <c r="C60" s="21" t="s">
        <v>94</v>
      </c>
      <c r="D60" s="20">
        <v>3234245710.2800002</v>
      </c>
      <c r="E60" s="20">
        <v>57704004.219999999</v>
      </c>
      <c r="F60" s="20">
        <v>0</v>
      </c>
      <c r="G60" s="20">
        <v>5154308.53</v>
      </c>
      <c r="H60" s="12">
        <f t="shared" si="14"/>
        <v>52549695.689999998</v>
      </c>
      <c r="I60" s="47">
        <v>2961054486.4000001</v>
      </c>
      <c r="J60" s="13">
        <f t="shared" si="11"/>
        <v>1.869157781911957E-3</v>
      </c>
      <c r="K60" s="47">
        <v>3249657773.27</v>
      </c>
      <c r="L60" s="13">
        <f t="shared" si="12"/>
        <v>1.9129090178089884E-3</v>
      </c>
      <c r="M60" s="13">
        <f t="shared" si="13"/>
        <v>9.746638847597798E-2</v>
      </c>
      <c r="N60" s="23">
        <f t="shared" si="15"/>
        <v>1.586108104181514E-3</v>
      </c>
      <c r="O60" s="23">
        <f t="shared" si="16"/>
        <v>1.6170839933437469E-2</v>
      </c>
      <c r="P60" s="26">
        <f t="shared" si="17"/>
        <v>1.0432065834949587</v>
      </c>
      <c r="Q60" s="26">
        <f t="shared" si="18"/>
        <v>1.6869526679205146E-2</v>
      </c>
      <c r="R60" s="10">
        <v>1</v>
      </c>
      <c r="S60" s="10">
        <v>1</v>
      </c>
      <c r="T60" s="10">
        <v>347</v>
      </c>
      <c r="U60" s="20">
        <v>2876760877.8000002</v>
      </c>
      <c r="V60" s="20">
        <v>3115066396.9000001</v>
      </c>
    </row>
    <row r="61" spans="1:23" s="4" customFormat="1">
      <c r="A61" s="88">
        <v>54</v>
      </c>
      <c r="B61" s="21" t="s">
        <v>95</v>
      </c>
      <c r="C61" s="21" t="s">
        <v>96</v>
      </c>
      <c r="D61" s="20">
        <v>59235849715.059998</v>
      </c>
      <c r="E61" s="20">
        <v>1030589575.4299999</v>
      </c>
      <c r="F61" s="20">
        <v>0</v>
      </c>
      <c r="G61" s="20">
        <v>63214275.340000004</v>
      </c>
      <c r="H61" s="12">
        <f t="shared" si="14"/>
        <v>967375300.08999991</v>
      </c>
      <c r="I61" s="47">
        <v>47882246784</v>
      </c>
      <c r="J61" s="13">
        <f t="shared" si="11"/>
        <v>3.0225541138405164E-2</v>
      </c>
      <c r="K61" s="47">
        <v>59109396978.879997</v>
      </c>
      <c r="L61" s="13">
        <f t="shared" si="12"/>
        <v>3.4794709599334894E-2</v>
      </c>
      <c r="M61" s="13">
        <f t="shared" si="13"/>
        <v>0.23447417255765834</v>
      </c>
      <c r="N61" s="23">
        <f t="shared" si="15"/>
        <v>1.0694454447333762E-3</v>
      </c>
      <c r="O61" s="23">
        <f t="shared" si="16"/>
        <v>1.6365846202688324E-2</v>
      </c>
      <c r="P61" s="26">
        <f t="shared" si="17"/>
        <v>1.0426657865783755</v>
      </c>
      <c r="Q61" s="26">
        <f t="shared" si="18"/>
        <v>1.7064107903946742E-2</v>
      </c>
      <c r="R61" s="10">
        <v>1</v>
      </c>
      <c r="S61" s="10">
        <v>1</v>
      </c>
      <c r="T61" s="10">
        <v>4229</v>
      </c>
      <c r="U61" s="20">
        <v>46395479169.949997</v>
      </c>
      <c r="V61" s="20">
        <v>56690645976.650002</v>
      </c>
    </row>
    <row r="62" spans="1:23" ht="15" customHeight="1">
      <c r="A62" s="100" t="s">
        <v>51</v>
      </c>
      <c r="B62" s="100"/>
      <c r="C62" s="100"/>
      <c r="D62" s="100"/>
      <c r="E62" s="100"/>
      <c r="F62" s="100"/>
      <c r="G62" s="100"/>
      <c r="H62" s="100"/>
      <c r="I62" s="27">
        <f>SUM(I27:I61)</f>
        <v>1584165079617.3796</v>
      </c>
      <c r="J62" s="13">
        <f>(I62/$I$204)</f>
        <v>0.41264991558078223</v>
      </c>
      <c r="K62" s="39">
        <f>SUM(K27:K61)</f>
        <v>1698804147513.5601</v>
      </c>
      <c r="L62" s="13">
        <f>(K62/$K$204)</f>
        <v>0.44316702030442556</v>
      </c>
      <c r="M62" s="13">
        <f t="shared" si="13"/>
        <v>7.236560720292419E-2</v>
      </c>
      <c r="N62" s="23"/>
      <c r="O62" s="23"/>
      <c r="P62" s="26"/>
      <c r="Q62" s="26"/>
      <c r="R62" s="10"/>
      <c r="S62" s="10"/>
      <c r="T62" s="39">
        <f>SUM(T27:T61)</f>
        <v>338427</v>
      </c>
      <c r="U62" s="10"/>
      <c r="V62" s="10"/>
    </row>
    <row r="63" spans="1:23" ht="6.9" customHeight="1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4"/>
    </row>
    <row r="64" spans="1:23">
      <c r="A64" s="95" t="s">
        <v>97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</row>
    <row r="65" spans="1:22">
      <c r="A65" s="88">
        <v>55</v>
      </c>
      <c r="B65" s="21" t="s">
        <v>98</v>
      </c>
      <c r="C65" s="21" t="s">
        <v>24</v>
      </c>
      <c r="D65" s="10">
        <v>498712219.79000002</v>
      </c>
      <c r="E65" s="10">
        <v>8216591.21</v>
      </c>
      <c r="F65" s="10">
        <v>0</v>
      </c>
      <c r="G65" s="10">
        <v>716297.17</v>
      </c>
      <c r="H65" s="12">
        <f>(E65+F65)-G65</f>
        <v>7500294.04</v>
      </c>
      <c r="I65" s="10">
        <v>497127093.42000002</v>
      </c>
      <c r="J65" s="13">
        <f t="shared" ref="J65:J99" si="19">(I65/$I$100)</f>
        <v>2.4875613391352755E-3</v>
      </c>
      <c r="K65" s="10">
        <v>500089020.86000001</v>
      </c>
      <c r="L65" s="13">
        <f t="shared" ref="L65" si="20">(K65/$K$100)</f>
        <v>2.6804407909276676E-3</v>
      </c>
      <c r="M65" s="13">
        <f t="shared" ref="M65" si="21">((K65-I65)/I65)</f>
        <v>5.9580889458736462E-3</v>
      </c>
      <c r="N65" s="23">
        <f>(G65/K65)</f>
        <v>1.4323393238431595E-3</v>
      </c>
      <c r="O65" s="23">
        <f>H65/K65</f>
        <v>1.4997917824914034E-2</v>
      </c>
      <c r="P65" s="26">
        <f>K65/V65</f>
        <v>1.3208365771822626</v>
      </c>
      <c r="Q65" s="26">
        <f>H65/V65</f>
        <v>1.9809798444720295E-2</v>
      </c>
      <c r="R65" s="10">
        <v>1.31</v>
      </c>
      <c r="S65" s="10">
        <v>1.31</v>
      </c>
      <c r="T65" s="19">
        <v>360</v>
      </c>
      <c r="U65" s="10">
        <v>380765081.94999999</v>
      </c>
      <c r="V65" s="10">
        <v>378615363.55000001</v>
      </c>
    </row>
    <row r="66" spans="1:22" s="4" customFormat="1" ht="12.9" customHeight="1">
      <c r="A66" s="88">
        <v>56</v>
      </c>
      <c r="B66" s="21" t="s">
        <v>99</v>
      </c>
      <c r="C66" s="68" t="s">
        <v>26</v>
      </c>
      <c r="D66" s="10">
        <v>1186919356.5699999</v>
      </c>
      <c r="E66" s="10">
        <v>18704354.219999999</v>
      </c>
      <c r="F66" s="10">
        <v>-5912311.8799999999</v>
      </c>
      <c r="G66" s="10">
        <v>2845670.49</v>
      </c>
      <c r="H66" s="12">
        <f t="shared" ref="H66:H99" si="22">(E66+F66)-G66</f>
        <v>9946371.8499999996</v>
      </c>
      <c r="I66" s="10">
        <v>1400639264</v>
      </c>
      <c r="J66" s="13">
        <f t="shared" si="19"/>
        <v>7.0086224012290256E-3</v>
      </c>
      <c r="K66" s="10">
        <v>1265601528</v>
      </c>
      <c r="L66" s="13">
        <f t="shared" ref="L66:L99" si="23">(K66/$K$100)</f>
        <v>6.7835321696880025E-3</v>
      </c>
      <c r="M66" s="13">
        <f t="shared" ref="M66:M100" si="24">((K66-I66)/I66)</f>
        <v>-9.6411502569443891E-2</v>
      </c>
      <c r="N66" s="23">
        <f t="shared" ref="N66:N99" si="25">(G66/K66)</f>
        <v>2.2484727041195548E-3</v>
      </c>
      <c r="O66" s="23">
        <f t="shared" ref="O66:O99" si="26">H66/K66</f>
        <v>7.8590074600478829E-3</v>
      </c>
      <c r="P66" s="26">
        <f t="shared" ref="P66:P99" si="27">K66/V66</f>
        <v>1.1840157084416778</v>
      </c>
      <c r="Q66" s="26">
        <f t="shared" ref="Q66:Q99" si="28">H66/V66</f>
        <v>9.305188285457025E-3</v>
      </c>
      <c r="R66" s="10">
        <v>1.1839999999999999</v>
      </c>
      <c r="S66" s="10">
        <v>1.1839999999999999</v>
      </c>
      <c r="T66" s="19">
        <v>822</v>
      </c>
      <c r="U66" s="10">
        <v>1150391681</v>
      </c>
      <c r="V66" s="10">
        <v>1068906028</v>
      </c>
    </row>
    <row r="67" spans="1:22" s="4" customFormat="1" ht="15" customHeight="1">
      <c r="A67" s="88">
        <v>57</v>
      </c>
      <c r="B67" s="21" t="s">
        <v>100</v>
      </c>
      <c r="C67" s="21" t="s">
        <v>101</v>
      </c>
      <c r="D67" s="10">
        <v>773225053.34000003</v>
      </c>
      <c r="E67" s="10">
        <v>10496241.35</v>
      </c>
      <c r="F67" s="10">
        <v>0</v>
      </c>
      <c r="G67" s="10">
        <v>2094846.27</v>
      </c>
      <c r="H67" s="12">
        <f t="shared" si="22"/>
        <v>8401395.0800000001</v>
      </c>
      <c r="I67" s="10">
        <v>841432597</v>
      </c>
      <c r="J67" s="13">
        <f t="shared" si="19"/>
        <v>4.2104226977164871E-3</v>
      </c>
      <c r="K67" s="10">
        <v>810518596</v>
      </c>
      <c r="L67" s="13">
        <f t="shared" si="23"/>
        <v>4.3443207427103815E-3</v>
      </c>
      <c r="M67" s="13">
        <f t="shared" si="24"/>
        <v>-3.6739723550310709E-2</v>
      </c>
      <c r="N67" s="23">
        <f t="shared" si="25"/>
        <v>2.5845752094255468E-3</v>
      </c>
      <c r="O67" s="23">
        <f t="shared" si="26"/>
        <v>1.0365456291147206E-2</v>
      </c>
      <c r="P67" s="26">
        <f t="shared" si="27"/>
        <v>1.0735026079852787</v>
      </c>
      <c r="Q67" s="26">
        <f t="shared" si="28"/>
        <v>1.112734436150394E-2</v>
      </c>
      <c r="R67" s="10">
        <v>1.0734999999999999</v>
      </c>
      <c r="S67" s="10">
        <v>1.0734999999999999</v>
      </c>
      <c r="T67" s="19">
        <v>200</v>
      </c>
      <c r="U67" s="10">
        <v>760359204</v>
      </c>
      <c r="V67" s="10">
        <v>755022475</v>
      </c>
    </row>
    <row r="68" spans="1:22" s="4" customFormat="1">
      <c r="A68" s="88">
        <v>58</v>
      </c>
      <c r="B68" s="21" t="s">
        <v>102</v>
      </c>
      <c r="C68" s="68" t="s">
        <v>103</v>
      </c>
      <c r="D68" s="18" t="s">
        <v>269</v>
      </c>
      <c r="E68" s="10">
        <v>3955064.07</v>
      </c>
      <c r="F68" s="10">
        <v>0</v>
      </c>
      <c r="G68" s="10">
        <v>447111.87</v>
      </c>
      <c r="H68" s="12">
        <f t="shared" si="22"/>
        <v>3507952.1999999997</v>
      </c>
      <c r="I68" s="10">
        <v>276190371.04000002</v>
      </c>
      <c r="J68" s="13">
        <f t="shared" si="19"/>
        <v>1.3820218176281973E-3</v>
      </c>
      <c r="K68" s="10">
        <v>267883002.94999999</v>
      </c>
      <c r="L68" s="13">
        <f t="shared" si="23"/>
        <v>1.435833418355316E-3</v>
      </c>
      <c r="M68" s="13">
        <f t="shared" si="24"/>
        <v>-3.0078413156543013E-2</v>
      </c>
      <c r="N68" s="23">
        <f t="shared" si="25"/>
        <v>1.6690565100296894E-3</v>
      </c>
      <c r="O68" s="23">
        <f t="shared" si="26"/>
        <v>1.3095090623031259E-2</v>
      </c>
      <c r="P68" s="26">
        <f t="shared" si="27"/>
        <v>1066.7954400461949</v>
      </c>
      <c r="Q68" s="26">
        <f t="shared" si="28"/>
        <v>13.96978296364143</v>
      </c>
      <c r="R68" s="10">
        <v>1066.79</v>
      </c>
      <c r="S68" s="10">
        <v>1066.79</v>
      </c>
      <c r="T68" s="19">
        <v>111</v>
      </c>
      <c r="U68" s="10">
        <v>251080</v>
      </c>
      <c r="V68" s="10">
        <v>251110</v>
      </c>
    </row>
    <row r="69" spans="1:22">
      <c r="A69" s="88">
        <v>59</v>
      </c>
      <c r="B69" s="21" t="s">
        <v>104</v>
      </c>
      <c r="C69" s="68" t="s">
        <v>105</v>
      </c>
      <c r="D69" s="10">
        <v>1570636515.25</v>
      </c>
      <c r="E69" s="10">
        <v>7984457.96</v>
      </c>
      <c r="F69" s="10">
        <v>0</v>
      </c>
      <c r="G69" s="10">
        <v>2395456.69</v>
      </c>
      <c r="H69" s="12">
        <f t="shared" si="22"/>
        <v>5589001.2699999996</v>
      </c>
      <c r="I69" s="10">
        <v>1456488652.75</v>
      </c>
      <c r="J69" s="13">
        <f t="shared" si="19"/>
        <v>7.2880857056992609E-3</v>
      </c>
      <c r="K69" s="10">
        <v>1701679764.8699999</v>
      </c>
      <c r="L69" s="13">
        <f t="shared" si="23"/>
        <v>9.1208798125777552E-3</v>
      </c>
      <c r="M69" s="13">
        <f t="shared" si="24"/>
        <v>0.16834399063600936</v>
      </c>
      <c r="N69" s="23">
        <f t="shared" si="25"/>
        <v>1.4077012252555058E-3</v>
      </c>
      <c r="O69" s="23">
        <f t="shared" si="26"/>
        <v>3.2844024976855573E-3</v>
      </c>
      <c r="P69" s="26">
        <f t="shared" si="27"/>
        <v>1.1020148231470408</v>
      </c>
      <c r="Q69" s="26">
        <f t="shared" si="28"/>
        <v>3.6194602376306488E-3</v>
      </c>
      <c r="R69" s="10">
        <v>1.1053999999999999</v>
      </c>
      <c r="S69" s="10">
        <v>1.1053999999999999</v>
      </c>
      <c r="T69" s="19">
        <v>864</v>
      </c>
      <c r="U69" s="10">
        <v>1364975.81</v>
      </c>
      <c r="V69" s="10">
        <v>1544153244.7</v>
      </c>
    </row>
    <row r="70" spans="1:22">
      <c r="A70" s="88">
        <v>60</v>
      </c>
      <c r="B70" s="21" t="s">
        <v>106</v>
      </c>
      <c r="C70" s="21" t="s">
        <v>107</v>
      </c>
      <c r="D70" s="10">
        <v>429365081.51999998</v>
      </c>
      <c r="E70" s="10">
        <v>5499128.5099999998</v>
      </c>
      <c r="F70" s="10">
        <v>0</v>
      </c>
      <c r="G70" s="10">
        <v>831115.35</v>
      </c>
      <c r="H70" s="12">
        <f t="shared" si="22"/>
        <v>4668013.16</v>
      </c>
      <c r="I70" s="10">
        <v>423423892.63</v>
      </c>
      <c r="J70" s="13">
        <f t="shared" si="19"/>
        <v>2.1187598087370279E-3</v>
      </c>
      <c r="K70" s="10">
        <v>428091905.77999997</v>
      </c>
      <c r="L70" s="13">
        <f t="shared" si="23"/>
        <v>2.2945414889240521E-3</v>
      </c>
      <c r="M70" s="13">
        <f t="shared" si="24"/>
        <v>1.1024444371822496E-2</v>
      </c>
      <c r="N70" s="23">
        <f t="shared" si="25"/>
        <v>1.9414414026017982E-3</v>
      </c>
      <c r="O70" s="23">
        <f t="shared" si="26"/>
        <v>1.0904231304010992E-2</v>
      </c>
      <c r="P70" s="26">
        <f t="shared" si="27"/>
        <v>2.4631329885516506</v>
      </c>
      <c r="Q70" s="26">
        <f t="shared" si="28"/>
        <v>2.6858571839707062E-2</v>
      </c>
      <c r="R70" s="10">
        <v>2.4628999999999999</v>
      </c>
      <c r="S70" s="10">
        <v>2.4628999999999999</v>
      </c>
      <c r="T70" s="19">
        <v>1392</v>
      </c>
      <c r="U70" s="10">
        <v>173799753.31</v>
      </c>
      <c r="V70" s="10">
        <v>173799753.31</v>
      </c>
    </row>
    <row r="71" spans="1:22" s="4" customFormat="1">
      <c r="A71" s="88">
        <v>61</v>
      </c>
      <c r="B71" s="64" t="s">
        <v>251</v>
      </c>
      <c r="C71" s="67" t="s">
        <v>220</v>
      </c>
      <c r="D71" s="10">
        <v>149256039.81999999</v>
      </c>
      <c r="E71" s="10">
        <v>10137401.92</v>
      </c>
      <c r="F71" s="10">
        <v>0</v>
      </c>
      <c r="G71" s="10">
        <v>359270.94</v>
      </c>
      <c r="H71" s="12">
        <f t="shared" si="22"/>
        <v>9778130.9800000004</v>
      </c>
      <c r="I71" s="10">
        <v>140438697.66</v>
      </c>
      <c r="J71" s="13">
        <f t="shared" si="19"/>
        <v>7.0273754828802679E-4</v>
      </c>
      <c r="K71" s="10">
        <v>142215037.52000001</v>
      </c>
      <c r="L71" s="13">
        <f t="shared" si="23"/>
        <v>7.6226226081982601E-4</v>
      </c>
      <c r="M71" s="13">
        <f t="shared" si="24"/>
        <v>1.2648507068190755E-2</v>
      </c>
      <c r="N71" s="23">
        <f t="shared" si="25"/>
        <v>2.5262514166230483E-3</v>
      </c>
      <c r="O71" s="23">
        <f t="shared" si="26"/>
        <v>6.8755956827876802E-2</v>
      </c>
      <c r="P71" s="26">
        <f t="shared" si="27"/>
        <v>11.407204744018218</v>
      </c>
      <c r="Q71" s="26">
        <f t="shared" si="28"/>
        <v>0.78431327690646802</v>
      </c>
      <c r="R71" s="10">
        <v>11.39</v>
      </c>
      <c r="S71" s="10">
        <v>11.41</v>
      </c>
      <c r="T71" s="19">
        <v>29</v>
      </c>
      <c r="U71" s="10">
        <v>12464291.49</v>
      </c>
      <c r="V71" s="10">
        <v>12467124.130000001</v>
      </c>
    </row>
    <row r="72" spans="1:22" s="4" customFormat="1">
      <c r="A72" s="88">
        <v>62</v>
      </c>
      <c r="B72" s="68" t="s">
        <v>108</v>
      </c>
      <c r="C72" s="21" t="s">
        <v>60</v>
      </c>
      <c r="D72" s="10">
        <v>1986586206.0999999</v>
      </c>
      <c r="E72" s="10">
        <v>21118546.149999999</v>
      </c>
      <c r="F72" s="10">
        <v>0</v>
      </c>
      <c r="G72" s="10">
        <v>3805252.11</v>
      </c>
      <c r="H72" s="12">
        <f t="shared" si="22"/>
        <v>17313294.039999999</v>
      </c>
      <c r="I72" s="10">
        <v>2058526982.8399999</v>
      </c>
      <c r="J72" s="13">
        <f t="shared" si="19"/>
        <v>1.0300609654668957E-2</v>
      </c>
      <c r="K72" s="10">
        <v>1962619851.0599999</v>
      </c>
      <c r="L72" s="13">
        <f t="shared" si="23"/>
        <v>1.0519499701910746E-2</v>
      </c>
      <c r="M72" s="13">
        <f t="shared" si="24"/>
        <v>-4.6590174712057397E-2</v>
      </c>
      <c r="N72" s="23">
        <f t="shared" si="25"/>
        <v>1.938863559310686E-3</v>
      </c>
      <c r="O72" s="23">
        <f t="shared" si="26"/>
        <v>8.8215219216544599E-3</v>
      </c>
      <c r="P72" s="26">
        <f t="shared" si="27"/>
        <v>4387.3898914763504</v>
      </c>
      <c r="Q72" s="26">
        <f t="shared" si="28"/>
        <v>38.703456106503808</v>
      </c>
      <c r="R72" s="10">
        <v>4387.3900000000003</v>
      </c>
      <c r="S72" s="10">
        <v>4387.3900000000003</v>
      </c>
      <c r="T72" s="19">
        <v>1041</v>
      </c>
      <c r="U72" s="10">
        <v>473102.84</v>
      </c>
      <c r="V72" s="10">
        <v>447331.99</v>
      </c>
    </row>
    <row r="73" spans="1:22" s="4" customFormat="1">
      <c r="A73" s="88">
        <v>63</v>
      </c>
      <c r="B73" s="21" t="s">
        <v>109</v>
      </c>
      <c r="C73" s="21" t="s">
        <v>62</v>
      </c>
      <c r="D73" s="10">
        <v>321325443.42000002</v>
      </c>
      <c r="E73" s="10">
        <v>4341102.71</v>
      </c>
      <c r="F73" s="10">
        <v>0</v>
      </c>
      <c r="G73" s="10">
        <v>715992.45</v>
      </c>
      <c r="H73" s="12">
        <f t="shared" si="22"/>
        <v>3625110.26</v>
      </c>
      <c r="I73" s="10">
        <v>348221102.92000002</v>
      </c>
      <c r="J73" s="13">
        <f t="shared" si="19"/>
        <v>1.7424545243262509E-3</v>
      </c>
      <c r="K73" s="10">
        <v>353655637.61000001</v>
      </c>
      <c r="L73" s="13">
        <f t="shared" si="23"/>
        <v>1.8955685037059763E-3</v>
      </c>
      <c r="M73" s="13">
        <f t="shared" si="24"/>
        <v>1.5606563314023282E-2</v>
      </c>
      <c r="N73" s="23">
        <f t="shared" si="25"/>
        <v>2.0245469712816318E-3</v>
      </c>
      <c r="O73" s="23">
        <f t="shared" si="26"/>
        <v>1.0250395793202804E-2</v>
      </c>
      <c r="P73" s="26">
        <f t="shared" si="27"/>
        <v>109.87144565714132</v>
      </c>
      <c r="Q73" s="26">
        <f t="shared" si="28"/>
        <v>1.1262258043570719</v>
      </c>
      <c r="R73" s="10">
        <v>109.88</v>
      </c>
      <c r="S73" s="10">
        <v>109.88</v>
      </c>
      <c r="T73" s="19">
        <v>136</v>
      </c>
      <c r="U73" s="10">
        <v>3204067</v>
      </c>
      <c r="V73" s="10">
        <v>3218813</v>
      </c>
    </row>
    <row r="74" spans="1:22" s="4" customFormat="1">
      <c r="A74" s="88">
        <v>64</v>
      </c>
      <c r="B74" s="68" t="s">
        <v>110</v>
      </c>
      <c r="C74" s="68" t="s">
        <v>66</v>
      </c>
      <c r="D74" s="10">
        <v>349794614.52999997</v>
      </c>
      <c r="E74" s="10">
        <v>2613368.84</v>
      </c>
      <c r="F74" s="10">
        <v>-597385.9</v>
      </c>
      <c r="G74" s="10">
        <v>730074.94</v>
      </c>
      <c r="H74" s="12">
        <f t="shared" si="22"/>
        <v>1285908</v>
      </c>
      <c r="I74" s="10">
        <v>347439819.56999999</v>
      </c>
      <c r="J74" s="13">
        <f t="shared" si="19"/>
        <v>1.7385450808819198E-3</v>
      </c>
      <c r="K74" s="10">
        <v>349363334.85000002</v>
      </c>
      <c r="L74" s="13">
        <f t="shared" si="23"/>
        <v>1.8725620730006395E-3</v>
      </c>
      <c r="M74" s="13">
        <f t="shared" si="24"/>
        <v>5.5362545444002948E-3</v>
      </c>
      <c r="N74" s="23">
        <f t="shared" si="25"/>
        <v>2.0897297087957424E-3</v>
      </c>
      <c r="O74" s="23">
        <f t="shared" si="26"/>
        <v>3.6807182429492999E-3</v>
      </c>
      <c r="P74" s="26">
        <f t="shared" si="27"/>
        <v>1.3967459266970139</v>
      </c>
      <c r="Q74" s="26">
        <f t="shared" si="28"/>
        <v>5.1410282131588254E-3</v>
      </c>
      <c r="R74" s="10">
        <v>1.3967000000000001</v>
      </c>
      <c r="S74" s="10">
        <v>1.3967000000000001</v>
      </c>
      <c r="T74" s="19">
        <v>229</v>
      </c>
      <c r="U74" s="10">
        <v>249616172.09</v>
      </c>
      <c r="V74" s="10">
        <v>250126618</v>
      </c>
    </row>
    <row r="75" spans="1:22" s="4" customFormat="1">
      <c r="A75" s="88">
        <v>65</v>
      </c>
      <c r="B75" s="64" t="s">
        <v>264</v>
      </c>
      <c r="C75" s="67" t="s">
        <v>66</v>
      </c>
      <c r="D75" s="10">
        <v>19455100.32</v>
      </c>
      <c r="E75" s="10">
        <v>-533389.88</v>
      </c>
      <c r="F75" s="10">
        <v>0</v>
      </c>
      <c r="G75" s="10">
        <v>377341.54</v>
      </c>
      <c r="H75" s="12">
        <f t="shared" si="22"/>
        <v>-910731.41999999993</v>
      </c>
      <c r="I75" s="10">
        <v>23300566.18</v>
      </c>
      <c r="J75" s="13">
        <f t="shared" si="19"/>
        <v>1.1659309737190648E-4</v>
      </c>
      <c r="K75" s="10">
        <v>22389834.760000002</v>
      </c>
      <c r="L75" s="13">
        <f t="shared" si="23"/>
        <v>1.2000788637516458E-4</v>
      </c>
      <c r="M75" s="13">
        <f t="shared" si="24"/>
        <v>-3.9086235628974661E-2</v>
      </c>
      <c r="N75" s="23">
        <f t="shared" si="25"/>
        <v>1.6853252560582985E-2</v>
      </c>
      <c r="O75" s="23">
        <f t="shared" si="26"/>
        <v>-4.0676111715975877E-2</v>
      </c>
      <c r="P75" s="26">
        <f t="shared" si="27"/>
        <v>0.89559339040000008</v>
      </c>
      <c r="Q75" s="26">
        <f t="shared" si="28"/>
        <v>-3.6429256799999997E-2</v>
      </c>
      <c r="R75" s="10">
        <v>0.89559999999999995</v>
      </c>
      <c r="S75" s="10">
        <v>0.89559999999999995</v>
      </c>
      <c r="T75" s="19">
        <v>1</v>
      </c>
      <c r="U75" s="10">
        <v>25000000</v>
      </c>
      <c r="V75" s="10">
        <v>25000000</v>
      </c>
    </row>
    <row r="76" spans="1:22" s="4" customFormat="1">
      <c r="A76" s="88">
        <v>66</v>
      </c>
      <c r="B76" s="21" t="s">
        <v>245</v>
      </c>
      <c r="C76" s="21" t="s">
        <v>48</v>
      </c>
      <c r="D76" s="10">
        <v>92481316.799999997</v>
      </c>
      <c r="E76" s="10">
        <v>647238.41</v>
      </c>
      <c r="F76" s="10">
        <v>0</v>
      </c>
      <c r="G76" s="10">
        <v>226390.2</v>
      </c>
      <c r="H76" s="12">
        <f t="shared" si="22"/>
        <v>420848.21</v>
      </c>
      <c r="I76" s="10">
        <v>128451551.84999999</v>
      </c>
      <c r="J76" s="13">
        <f t="shared" si="19"/>
        <v>6.4275538099476098E-4</v>
      </c>
      <c r="K76" s="10">
        <v>116855057.58</v>
      </c>
      <c r="L76" s="13">
        <f t="shared" si="23"/>
        <v>6.2633461223560866E-4</v>
      </c>
      <c r="M76" s="13">
        <f t="shared" si="24"/>
        <v>-9.02791293914601E-2</v>
      </c>
      <c r="N76" s="23">
        <f t="shared" si="25"/>
        <v>1.9373590214100172E-3</v>
      </c>
      <c r="O76" s="23">
        <f t="shared" si="26"/>
        <v>3.6014548168947129E-3</v>
      </c>
      <c r="P76" s="26">
        <f t="shared" si="27"/>
        <v>130.70447791944926</v>
      </c>
      <c r="Q76" s="26">
        <f t="shared" si="28"/>
        <v>0.47072627159270919</v>
      </c>
      <c r="R76" s="10">
        <v>130.7045</v>
      </c>
      <c r="S76" s="10">
        <v>130.7045</v>
      </c>
      <c r="T76" s="19">
        <v>36</v>
      </c>
      <c r="U76" s="10">
        <v>999044.64</v>
      </c>
      <c r="V76" s="10">
        <v>894040.2</v>
      </c>
    </row>
    <row r="77" spans="1:22">
      <c r="A77" s="88">
        <v>67</v>
      </c>
      <c r="B77" s="21" t="s">
        <v>111</v>
      </c>
      <c r="C77" s="21" t="s">
        <v>112</v>
      </c>
      <c r="D77" s="10">
        <v>888749908.65999997</v>
      </c>
      <c r="E77" s="10">
        <v>24553471.390000001</v>
      </c>
      <c r="F77" s="10">
        <v>0</v>
      </c>
      <c r="G77" s="10">
        <v>1293317.33</v>
      </c>
      <c r="H77" s="12">
        <f t="shared" si="22"/>
        <v>23260154.060000002</v>
      </c>
      <c r="I77" s="10">
        <v>1677324015.8800001</v>
      </c>
      <c r="J77" s="13">
        <f t="shared" si="19"/>
        <v>8.3931180382902631E-3</v>
      </c>
      <c r="K77" s="10">
        <v>1650001177.1600001</v>
      </c>
      <c r="L77" s="13">
        <f t="shared" si="23"/>
        <v>8.843886339941218E-3</v>
      </c>
      <c r="M77" s="13">
        <f t="shared" si="24"/>
        <v>-1.6289541234324502E-2</v>
      </c>
      <c r="N77" s="23">
        <f t="shared" si="25"/>
        <v>7.8382812564174763E-4</v>
      </c>
      <c r="O77" s="23">
        <f t="shared" si="26"/>
        <v>1.4097053009401866E-2</v>
      </c>
      <c r="P77" s="26">
        <f t="shared" si="27"/>
        <v>1060.4447873484837</v>
      </c>
      <c r="Q77" s="26">
        <f t="shared" si="28"/>
        <v>14.949146380795465</v>
      </c>
      <c r="R77" s="10">
        <v>1000</v>
      </c>
      <c r="S77" s="10">
        <v>1000</v>
      </c>
      <c r="T77" s="19">
        <v>348</v>
      </c>
      <c r="U77" s="10">
        <v>1583312.99</v>
      </c>
      <c r="V77" s="10">
        <v>1555951.99</v>
      </c>
    </row>
    <row r="78" spans="1:22">
      <c r="A78" s="88">
        <v>68</v>
      </c>
      <c r="B78" s="21" t="s">
        <v>113</v>
      </c>
      <c r="C78" s="21" t="s">
        <v>68</v>
      </c>
      <c r="D78" s="10">
        <v>178111357.33000001</v>
      </c>
      <c r="E78" s="10">
        <v>2246489.5299999998</v>
      </c>
      <c r="F78" s="10">
        <v>0</v>
      </c>
      <c r="G78" s="10">
        <v>630458.66</v>
      </c>
      <c r="H78" s="12">
        <f t="shared" si="22"/>
        <v>1616030.8699999996</v>
      </c>
      <c r="I78" s="10">
        <v>196996736.24000001</v>
      </c>
      <c r="J78" s="13">
        <f t="shared" si="19"/>
        <v>9.8574684722009184E-4</v>
      </c>
      <c r="K78" s="10">
        <v>199172372.78999999</v>
      </c>
      <c r="L78" s="13">
        <f t="shared" si="23"/>
        <v>1.0675494365664643E-3</v>
      </c>
      <c r="M78" s="13">
        <f t="shared" si="24"/>
        <v>1.1044023325084008E-2</v>
      </c>
      <c r="N78" s="23">
        <f t="shared" si="25"/>
        <v>3.1653921232576388E-3</v>
      </c>
      <c r="O78" s="23">
        <f t="shared" si="26"/>
        <v>8.1137300688980743E-3</v>
      </c>
      <c r="P78" s="26">
        <f t="shared" si="27"/>
        <v>1096.269155942801</v>
      </c>
      <c r="Q78" s="26">
        <f t="shared" si="28"/>
        <v>8.8948320141786184</v>
      </c>
      <c r="R78" s="10">
        <v>1082.8399999999999</v>
      </c>
      <c r="S78" s="10">
        <v>1096.27</v>
      </c>
      <c r="T78" s="19">
        <v>281</v>
      </c>
      <c r="U78" s="10">
        <v>181710</v>
      </c>
      <c r="V78" s="10">
        <v>181682</v>
      </c>
    </row>
    <row r="79" spans="1:22" s="4" customFormat="1">
      <c r="A79" s="88">
        <v>69</v>
      </c>
      <c r="B79" s="21" t="s">
        <v>114</v>
      </c>
      <c r="C79" s="68" t="s">
        <v>71</v>
      </c>
      <c r="D79" s="10">
        <v>695828025.04999995</v>
      </c>
      <c r="E79" s="10">
        <v>14323450.48</v>
      </c>
      <c r="F79" s="10">
        <v>0</v>
      </c>
      <c r="G79" s="10">
        <v>2438657.67</v>
      </c>
      <c r="H79" s="12">
        <f t="shared" si="22"/>
        <v>11884792.810000001</v>
      </c>
      <c r="I79" s="10">
        <v>678033538.69000006</v>
      </c>
      <c r="J79" s="13">
        <f t="shared" si="19"/>
        <v>3.3927943976639237E-3</v>
      </c>
      <c r="K79" s="10">
        <v>688346750.12</v>
      </c>
      <c r="L79" s="13">
        <f t="shared" si="23"/>
        <v>3.689488531764169E-3</v>
      </c>
      <c r="M79" s="13">
        <f t="shared" si="24"/>
        <v>1.5210473879987807E-2</v>
      </c>
      <c r="N79" s="23">
        <f t="shared" si="25"/>
        <v>3.5427750179322657E-3</v>
      </c>
      <c r="O79" s="23">
        <f t="shared" si="26"/>
        <v>1.7265706285281533E-2</v>
      </c>
      <c r="P79" s="26">
        <f t="shared" si="27"/>
        <v>1.1576355762055068</v>
      </c>
      <c r="Q79" s="26">
        <f t="shared" si="28"/>
        <v>1.998739584415693E-2</v>
      </c>
      <c r="R79" s="10">
        <v>1.1448</v>
      </c>
      <c r="S79" s="10">
        <v>1.1448</v>
      </c>
      <c r="T79" s="19">
        <v>48</v>
      </c>
      <c r="U79" s="10">
        <v>592108306.14999998</v>
      </c>
      <c r="V79" s="10">
        <v>594614371.11000001</v>
      </c>
    </row>
    <row r="80" spans="1:22">
      <c r="A80" s="88">
        <v>70</v>
      </c>
      <c r="B80" s="21" t="s">
        <v>252</v>
      </c>
      <c r="C80" s="21" t="s">
        <v>30</v>
      </c>
      <c r="D80" s="10">
        <v>14084569081.07</v>
      </c>
      <c r="E80" s="10">
        <v>247512861.78</v>
      </c>
      <c r="F80" s="10">
        <v>0</v>
      </c>
      <c r="G80" s="10">
        <v>17741750.57</v>
      </c>
      <c r="H80" s="12">
        <f t="shared" si="22"/>
        <v>229771111.21000001</v>
      </c>
      <c r="I80" s="10">
        <v>23610982737.459999</v>
      </c>
      <c r="J80" s="13">
        <f t="shared" si="19"/>
        <v>0.1181463827139962</v>
      </c>
      <c r="K80" s="10">
        <v>13772206535.9</v>
      </c>
      <c r="L80" s="13">
        <f t="shared" si="23"/>
        <v>7.3818025671556403E-2</v>
      </c>
      <c r="M80" s="13">
        <f t="shared" si="24"/>
        <v>-0.416703375330087</v>
      </c>
      <c r="N80" s="23">
        <f t="shared" si="25"/>
        <v>1.2882286163624248E-3</v>
      </c>
      <c r="O80" s="23">
        <f t="shared" si="26"/>
        <v>1.6683681776849327E-2</v>
      </c>
      <c r="P80" s="26">
        <f t="shared" si="27"/>
        <v>1692.9840007605283</v>
      </c>
      <c r="Q80" s="26">
        <f t="shared" si="28"/>
        <v>28.245206321985894</v>
      </c>
      <c r="R80" s="10">
        <v>1692.98</v>
      </c>
      <c r="S80" s="10">
        <v>1692.98</v>
      </c>
      <c r="T80" s="19">
        <v>90</v>
      </c>
      <c r="U80" s="10">
        <v>13987855.550000001</v>
      </c>
      <c r="V80" s="10">
        <v>8134871.0499999998</v>
      </c>
    </row>
    <row r="81" spans="1:22" ht="14.4" customHeight="1">
      <c r="A81" s="88">
        <v>71</v>
      </c>
      <c r="B81" s="21" t="s">
        <v>115</v>
      </c>
      <c r="C81" s="21" t="s">
        <v>77</v>
      </c>
      <c r="D81" s="10">
        <v>22697882.309999999</v>
      </c>
      <c r="E81" s="10">
        <v>294065.03000000003</v>
      </c>
      <c r="F81" s="10">
        <v>0</v>
      </c>
      <c r="G81" s="10">
        <v>245767.4</v>
      </c>
      <c r="H81" s="12">
        <f t="shared" si="22"/>
        <v>48297.630000000034</v>
      </c>
      <c r="I81" s="10">
        <v>23274141.280000001</v>
      </c>
      <c r="J81" s="13">
        <f t="shared" si="19"/>
        <v>1.1646087050175483E-4</v>
      </c>
      <c r="K81" s="10">
        <v>23497630.260000002</v>
      </c>
      <c r="L81" s="13">
        <f t="shared" si="23"/>
        <v>1.2594558970866246E-4</v>
      </c>
      <c r="M81" s="13">
        <f t="shared" si="24"/>
        <v>9.6024586819901114E-3</v>
      </c>
      <c r="N81" s="23">
        <f t="shared" si="25"/>
        <v>1.0459241944000185E-2</v>
      </c>
      <c r="O81" s="23">
        <f t="shared" si="26"/>
        <v>2.0554255669865168E-3</v>
      </c>
      <c r="P81" s="26">
        <f t="shared" si="27"/>
        <v>0.71669649118643663</v>
      </c>
      <c r="Q81" s="26">
        <f t="shared" si="28"/>
        <v>1.4731162917541287E-3</v>
      </c>
      <c r="R81" s="10">
        <v>0.7167</v>
      </c>
      <c r="S81" s="10">
        <v>0.7167</v>
      </c>
      <c r="T81" s="19">
        <v>746</v>
      </c>
      <c r="U81" s="10">
        <v>32786026.649999999</v>
      </c>
      <c r="V81" s="10">
        <v>32786026.649999999</v>
      </c>
    </row>
    <row r="82" spans="1:22" ht="14.4" customHeight="1">
      <c r="A82" s="88">
        <v>72</v>
      </c>
      <c r="B82" s="21" t="s">
        <v>246</v>
      </c>
      <c r="C82" s="68" t="s">
        <v>36</v>
      </c>
      <c r="D82" s="10">
        <v>11835738780.040001</v>
      </c>
      <c r="E82" s="10">
        <v>122419452.01000001</v>
      </c>
      <c r="F82" s="10">
        <v>0</v>
      </c>
      <c r="G82" s="10">
        <v>4543496.51</v>
      </c>
      <c r="H82" s="12">
        <f t="shared" si="22"/>
        <v>117875955.5</v>
      </c>
      <c r="I82" s="10">
        <v>9517819415.2299995</v>
      </c>
      <c r="J82" s="13">
        <f t="shared" si="19"/>
        <v>4.7625969140640566E-2</v>
      </c>
      <c r="K82" s="10">
        <v>9498828831.75</v>
      </c>
      <c r="L82" s="13">
        <f t="shared" si="23"/>
        <v>5.0913031889556974E-2</v>
      </c>
      <c r="M82" s="13">
        <f t="shared" si="24"/>
        <v>-1.9952662108309849E-3</v>
      </c>
      <c r="N82" s="23">
        <f t="shared" si="25"/>
        <v>4.7832175844808193E-4</v>
      </c>
      <c r="O82" s="23">
        <f t="shared" si="26"/>
        <v>1.2409525172829472E-2</v>
      </c>
      <c r="P82" s="26">
        <f t="shared" si="27"/>
        <v>1</v>
      </c>
      <c r="Q82" s="26">
        <f t="shared" si="28"/>
        <v>1.2409525172829472E-2</v>
      </c>
      <c r="R82" s="10">
        <v>1</v>
      </c>
      <c r="S82" s="10">
        <v>1</v>
      </c>
      <c r="T82" s="19">
        <v>5250</v>
      </c>
      <c r="U82" s="10">
        <v>9517819415.2299995</v>
      </c>
      <c r="V82" s="10">
        <v>9498828831.75</v>
      </c>
    </row>
    <row r="83" spans="1:22">
      <c r="A83" s="88">
        <v>73</v>
      </c>
      <c r="B83" s="68" t="s">
        <v>116</v>
      </c>
      <c r="C83" s="68" t="s">
        <v>117</v>
      </c>
      <c r="D83" s="10">
        <v>1410785001.3</v>
      </c>
      <c r="E83" s="10">
        <v>12436783.26</v>
      </c>
      <c r="F83" s="10">
        <v>0</v>
      </c>
      <c r="G83" s="10">
        <v>1944621.62</v>
      </c>
      <c r="H83" s="12">
        <f t="shared" si="22"/>
        <v>10492161.640000001</v>
      </c>
      <c r="I83" s="10">
        <v>1125837886.0999999</v>
      </c>
      <c r="J83" s="13">
        <f t="shared" si="19"/>
        <v>5.633550930264933E-3</v>
      </c>
      <c r="K83" s="10">
        <v>1396957295.95</v>
      </c>
      <c r="L83" s="13">
        <f t="shared" si="23"/>
        <v>7.4875895351772907E-3</v>
      </c>
      <c r="M83" s="13">
        <f t="shared" si="24"/>
        <v>0.24081567443886731</v>
      </c>
      <c r="N83" s="23">
        <f t="shared" si="25"/>
        <v>1.3920408488060196E-3</v>
      </c>
      <c r="O83" s="23">
        <f t="shared" si="26"/>
        <v>7.5107246802879621E-3</v>
      </c>
      <c r="P83" s="26">
        <f t="shared" si="27"/>
        <v>240.1031345386013</v>
      </c>
      <c r="Q83" s="26">
        <f t="shared" si="28"/>
        <v>1.8033485383935739</v>
      </c>
      <c r="R83" s="10">
        <v>240.10310000000001</v>
      </c>
      <c r="S83" s="10">
        <v>242.47980000000001</v>
      </c>
      <c r="T83" s="19">
        <v>490</v>
      </c>
      <c r="U83" s="10">
        <v>4756814.58</v>
      </c>
      <c r="V83" s="10">
        <v>5818155.1799999997</v>
      </c>
    </row>
    <row r="84" spans="1:22">
      <c r="A84" s="88">
        <v>74</v>
      </c>
      <c r="B84" s="21" t="s">
        <v>118</v>
      </c>
      <c r="C84" s="68" t="s">
        <v>38</v>
      </c>
      <c r="D84" s="10">
        <v>1096902901.6400001</v>
      </c>
      <c r="E84" s="10">
        <v>13067277.789999999</v>
      </c>
      <c r="F84" s="10">
        <v>0</v>
      </c>
      <c r="G84" s="10">
        <v>1641452.99</v>
      </c>
      <c r="H84" s="12">
        <f t="shared" si="22"/>
        <v>11425824.799999999</v>
      </c>
      <c r="I84" s="10">
        <v>1073840637.3199999</v>
      </c>
      <c r="J84" s="13">
        <f t="shared" si="19"/>
        <v>5.373363248847924E-3</v>
      </c>
      <c r="K84" s="10">
        <v>1086530951.95</v>
      </c>
      <c r="L84" s="13">
        <f t="shared" si="23"/>
        <v>5.8237269020700441E-3</v>
      </c>
      <c r="M84" s="13">
        <f t="shared" si="24"/>
        <v>1.1817688946538214E-2</v>
      </c>
      <c r="N84" s="23">
        <f t="shared" si="25"/>
        <v>1.5107282374736586E-3</v>
      </c>
      <c r="O84" s="23">
        <f t="shared" si="26"/>
        <v>1.0515876036015394E-2</v>
      </c>
      <c r="P84" s="26">
        <f t="shared" si="27"/>
        <v>3.6234338051834625</v>
      </c>
      <c r="Q84" s="26">
        <f t="shared" si="28"/>
        <v>3.8103580720016843E-2</v>
      </c>
      <c r="R84" s="10">
        <v>3.62</v>
      </c>
      <c r="S84" s="10">
        <v>3.62</v>
      </c>
      <c r="T84" s="19">
        <v>770</v>
      </c>
      <c r="U84" s="10">
        <v>299585684</v>
      </c>
      <c r="V84" s="10">
        <v>299862233</v>
      </c>
    </row>
    <row r="85" spans="1:22">
      <c r="A85" s="88">
        <v>75</v>
      </c>
      <c r="B85" s="64" t="s">
        <v>250</v>
      </c>
      <c r="C85" s="67" t="s">
        <v>40</v>
      </c>
      <c r="D85" s="10">
        <v>573182006.66999996</v>
      </c>
      <c r="E85" s="10">
        <v>7883317.5499999998</v>
      </c>
      <c r="F85" s="10">
        <v>0</v>
      </c>
      <c r="G85" s="10">
        <v>1200671.99</v>
      </c>
      <c r="H85" s="12">
        <f t="shared" si="22"/>
        <v>6682645.5599999996</v>
      </c>
      <c r="I85" s="10">
        <v>562496387.26999998</v>
      </c>
      <c r="J85" s="13">
        <f t="shared" si="19"/>
        <v>2.8146610492499509E-3</v>
      </c>
      <c r="K85" s="10">
        <v>567827503.92999995</v>
      </c>
      <c r="L85" s="13">
        <f t="shared" si="23"/>
        <v>3.0435141349977853E-3</v>
      </c>
      <c r="M85" s="13">
        <f t="shared" si="24"/>
        <v>9.4776016000277241E-3</v>
      </c>
      <c r="N85" s="23">
        <f t="shared" si="25"/>
        <v>2.1145012907793476E-3</v>
      </c>
      <c r="O85" s="23">
        <f t="shared" si="26"/>
        <v>1.1768795124837446E-2</v>
      </c>
      <c r="P85" s="26">
        <f t="shared" si="27"/>
        <v>113.27482874001647</v>
      </c>
      <c r="Q85" s="26">
        <f t="shared" si="28"/>
        <v>1.3331082522423026</v>
      </c>
      <c r="R85" s="10">
        <v>111.55</v>
      </c>
      <c r="S85" s="10">
        <v>111.55</v>
      </c>
      <c r="T85" s="19">
        <v>57</v>
      </c>
      <c r="U85" s="10">
        <v>5017368.54</v>
      </c>
      <c r="V85" s="10">
        <v>5012830.3899999997</v>
      </c>
    </row>
    <row r="86" spans="1:22">
      <c r="A86" s="88">
        <v>76</v>
      </c>
      <c r="B86" s="21" t="s">
        <v>249</v>
      </c>
      <c r="C86" s="21" t="s">
        <v>44</v>
      </c>
      <c r="D86" s="10">
        <v>1372189345.98</v>
      </c>
      <c r="E86" s="10">
        <v>10767780.210000001</v>
      </c>
      <c r="F86" s="10">
        <v>0</v>
      </c>
      <c r="G86" s="10">
        <v>2835580.01</v>
      </c>
      <c r="H86" s="12">
        <f t="shared" si="22"/>
        <v>7932200.2000000011</v>
      </c>
      <c r="I86" s="10">
        <v>1645207536.5699999</v>
      </c>
      <c r="J86" s="13">
        <f t="shared" si="19"/>
        <v>8.2324112223911804E-3</v>
      </c>
      <c r="K86" s="10">
        <v>1390945029.96</v>
      </c>
      <c r="L86" s="13">
        <f t="shared" si="23"/>
        <v>7.455364226615648E-3</v>
      </c>
      <c r="M86" s="13">
        <f t="shared" si="24"/>
        <v>-0.15454737530566959</v>
      </c>
      <c r="N86" s="23">
        <f t="shared" si="25"/>
        <v>2.038599620346998E-3</v>
      </c>
      <c r="O86" s="23">
        <f t="shared" si="26"/>
        <v>5.7027416821986924E-3</v>
      </c>
      <c r="P86" s="26">
        <f t="shared" si="27"/>
        <v>97.185446449925479</v>
      </c>
      <c r="Q86" s="26">
        <f t="shared" si="28"/>
        <v>0.55422349637307899</v>
      </c>
      <c r="R86" s="10">
        <v>97.19</v>
      </c>
      <c r="S86" s="10">
        <v>97.19</v>
      </c>
      <c r="T86" s="19">
        <v>200</v>
      </c>
      <c r="U86" s="10">
        <v>16156210</v>
      </c>
      <c r="V86" s="10">
        <v>14312277</v>
      </c>
    </row>
    <row r="87" spans="1:22" s="4" customFormat="1">
      <c r="A87" s="88">
        <v>77</v>
      </c>
      <c r="B87" s="21" t="s">
        <v>121</v>
      </c>
      <c r="C87" s="21" t="s">
        <v>22</v>
      </c>
      <c r="D87" s="10">
        <v>1378448058.4300001</v>
      </c>
      <c r="E87" s="10">
        <v>17168009.48</v>
      </c>
      <c r="F87" s="10">
        <v>72413000</v>
      </c>
      <c r="G87" s="10">
        <v>2093928.66</v>
      </c>
      <c r="H87" s="12">
        <f t="shared" si="22"/>
        <v>87487080.820000008</v>
      </c>
      <c r="I87" s="10">
        <v>1338781029.5699999</v>
      </c>
      <c r="J87" s="13">
        <f t="shared" si="19"/>
        <v>6.6990915900703753E-3</v>
      </c>
      <c r="K87" s="10">
        <v>1354706297.3900001</v>
      </c>
      <c r="L87" s="13">
        <f t="shared" si="23"/>
        <v>7.2611272549158836E-3</v>
      </c>
      <c r="M87" s="13">
        <f t="shared" si="24"/>
        <v>1.1895349178285842E-2</v>
      </c>
      <c r="N87" s="23">
        <f t="shared" si="25"/>
        <v>1.5456698356198669E-3</v>
      </c>
      <c r="O87" s="23">
        <f t="shared" si="26"/>
        <v>6.458010934809566E-2</v>
      </c>
      <c r="P87" s="26">
        <f t="shared" si="27"/>
        <v>354.57707628843582</v>
      </c>
      <c r="Q87" s="26">
        <f t="shared" si="28"/>
        <v>22.898626359035244</v>
      </c>
      <c r="R87" s="10">
        <v>354.58</v>
      </c>
      <c r="S87" s="10">
        <v>354.58</v>
      </c>
      <c r="T87" s="19">
        <v>97</v>
      </c>
      <c r="U87" s="10">
        <v>3817958.69</v>
      </c>
      <c r="V87" s="10">
        <v>3820625.72</v>
      </c>
    </row>
    <row r="88" spans="1:22">
      <c r="A88" s="88">
        <v>78</v>
      </c>
      <c r="B88" s="64" t="s">
        <v>253</v>
      </c>
      <c r="C88" s="67" t="s">
        <v>254</v>
      </c>
      <c r="D88" s="10">
        <v>1289313945.3399999</v>
      </c>
      <c r="E88" s="10">
        <v>20001635.899999999</v>
      </c>
      <c r="F88" s="10"/>
      <c r="G88" s="10">
        <v>1876004.49</v>
      </c>
      <c r="H88" s="12">
        <f t="shared" si="22"/>
        <v>18125631.41</v>
      </c>
      <c r="I88" s="10">
        <v>1482491747.71</v>
      </c>
      <c r="J88" s="13">
        <f t="shared" si="19"/>
        <v>7.4182019165767686E-3</v>
      </c>
      <c r="K88" s="10">
        <v>1438219476.8099999</v>
      </c>
      <c r="L88" s="13">
        <f t="shared" si="23"/>
        <v>7.7087518244624642E-3</v>
      </c>
      <c r="M88" s="13">
        <f t="shared" si="24"/>
        <v>-2.9863418105623402E-2</v>
      </c>
      <c r="N88" s="23">
        <f t="shared" si="25"/>
        <v>1.3043937453559007E-3</v>
      </c>
      <c r="O88" s="23">
        <f t="shared" si="26"/>
        <v>1.2602827108281846E-2</v>
      </c>
      <c r="P88" s="26">
        <f t="shared" si="27"/>
        <v>100.01581210425286</v>
      </c>
      <c r="Q88" s="26">
        <f t="shared" si="28"/>
        <v>1.2604819880443014</v>
      </c>
      <c r="R88" s="10">
        <v>104.31</v>
      </c>
      <c r="S88" s="10">
        <v>104.31</v>
      </c>
      <c r="T88" s="19">
        <f>358+16+10</f>
        <v>384</v>
      </c>
      <c r="U88" s="10">
        <v>14379921</v>
      </c>
      <c r="V88" s="10">
        <v>14379921</v>
      </c>
    </row>
    <row r="89" spans="1:22">
      <c r="A89" s="88">
        <v>79</v>
      </c>
      <c r="B89" s="68" t="s">
        <v>122</v>
      </c>
      <c r="C89" s="68" t="s">
        <v>42</v>
      </c>
      <c r="D89" s="10">
        <v>59222898.710000001</v>
      </c>
      <c r="E89" s="10">
        <v>3820044.52</v>
      </c>
      <c r="F89" s="10">
        <v>0</v>
      </c>
      <c r="G89" s="10">
        <v>158815.92000000001</v>
      </c>
      <c r="H89" s="12">
        <f t="shared" si="22"/>
        <v>3661228.6</v>
      </c>
      <c r="I89" s="10">
        <v>58916191.630000003</v>
      </c>
      <c r="J89" s="13">
        <f t="shared" si="19"/>
        <v>2.9480919967492789E-4</v>
      </c>
      <c r="K89" s="10">
        <v>59883333.700000003</v>
      </c>
      <c r="L89" s="13">
        <f t="shared" si="23"/>
        <v>3.2097031458554914E-4</v>
      </c>
      <c r="M89" s="13">
        <f t="shared" si="24"/>
        <v>1.6415556458125403E-2</v>
      </c>
      <c r="N89" s="23">
        <f t="shared" si="25"/>
        <v>2.6520888231711792E-3</v>
      </c>
      <c r="O89" s="23">
        <f t="shared" si="26"/>
        <v>6.113935837877376E-2</v>
      </c>
      <c r="P89" s="26">
        <f t="shared" si="27"/>
        <v>12.446903407045156</v>
      </c>
      <c r="Q89" s="26">
        <f t="shared" si="28"/>
        <v>0.76099568810931384</v>
      </c>
      <c r="R89" s="10">
        <v>12.15</v>
      </c>
      <c r="S89" s="10">
        <v>12.48</v>
      </c>
      <c r="T89" s="19">
        <v>56</v>
      </c>
      <c r="U89" s="10">
        <v>4811102.95</v>
      </c>
      <c r="V89" s="10">
        <v>4811102.95</v>
      </c>
    </row>
    <row r="90" spans="1:22">
      <c r="A90" s="88">
        <v>80</v>
      </c>
      <c r="B90" s="64" t="s">
        <v>274</v>
      </c>
      <c r="C90" s="67" t="s">
        <v>275</v>
      </c>
      <c r="D90" s="10">
        <v>522172964.5</v>
      </c>
      <c r="E90" s="10">
        <v>6758798.3399999999</v>
      </c>
      <c r="F90" s="10">
        <v>0</v>
      </c>
      <c r="G90" s="10">
        <v>703688.53</v>
      </c>
      <c r="H90" s="12">
        <f t="shared" si="22"/>
        <v>6055109.8099999996</v>
      </c>
      <c r="I90" s="10">
        <v>0</v>
      </c>
      <c r="J90" s="13">
        <f t="shared" si="19"/>
        <v>0</v>
      </c>
      <c r="K90" s="10">
        <v>509988024.37</v>
      </c>
      <c r="L90" s="13">
        <f t="shared" si="23"/>
        <v>2.7334987299964166E-3</v>
      </c>
      <c r="M90" s="13" t="e">
        <f t="shared" si="24"/>
        <v>#DIV/0!</v>
      </c>
      <c r="N90" s="23">
        <f t="shared" si="25"/>
        <v>1.3798138316468956E-3</v>
      </c>
      <c r="O90" s="23">
        <f t="shared" si="26"/>
        <v>1.1873043131708861E-2</v>
      </c>
      <c r="P90" s="26">
        <f t="shared" si="27"/>
        <v>131.08143245071494</v>
      </c>
      <c r="Q90" s="26">
        <f t="shared" si="28"/>
        <v>1.55633550125352</v>
      </c>
      <c r="R90" s="10">
        <v>131.08000000000001</v>
      </c>
      <c r="S90" s="10">
        <v>131.08000000000001</v>
      </c>
      <c r="T90" s="19">
        <v>115</v>
      </c>
      <c r="U90" s="10">
        <v>2818901.62</v>
      </c>
      <c r="V90" s="10">
        <v>3890619.86</v>
      </c>
    </row>
    <row r="91" spans="1:22">
      <c r="A91" s="88">
        <v>81</v>
      </c>
      <c r="B91" s="21" t="s">
        <v>123</v>
      </c>
      <c r="C91" s="21" t="s">
        <v>124</v>
      </c>
      <c r="D91" s="10">
        <v>7668257057.6999998</v>
      </c>
      <c r="E91" s="10">
        <v>119007614</v>
      </c>
      <c r="F91" s="10">
        <v>0</v>
      </c>
      <c r="G91" s="10">
        <v>10220884.67</v>
      </c>
      <c r="H91" s="12">
        <f t="shared" si="22"/>
        <v>108786729.33</v>
      </c>
      <c r="I91" s="10">
        <v>7469583050</v>
      </c>
      <c r="J91" s="13">
        <f t="shared" si="19"/>
        <v>3.7376852439908917E-2</v>
      </c>
      <c r="K91" s="10">
        <v>7670794676</v>
      </c>
      <c r="L91" s="13">
        <f t="shared" si="23"/>
        <v>4.111490172894091E-2</v>
      </c>
      <c r="M91" s="13">
        <f t="shared" si="24"/>
        <v>2.6937464200227346E-2</v>
      </c>
      <c r="N91" s="23">
        <f t="shared" si="25"/>
        <v>1.3324414355632011E-3</v>
      </c>
      <c r="O91" s="23">
        <f t="shared" si="26"/>
        <v>1.41819373252639E-2</v>
      </c>
      <c r="P91" s="26">
        <f t="shared" si="27"/>
        <v>1</v>
      </c>
      <c r="Q91" s="26">
        <f t="shared" si="28"/>
        <v>1.41819373252639E-2</v>
      </c>
      <c r="R91" s="10">
        <v>1</v>
      </c>
      <c r="S91" s="10">
        <v>1</v>
      </c>
      <c r="T91" s="19">
        <v>4430</v>
      </c>
      <c r="U91" s="10">
        <v>6669270580</v>
      </c>
      <c r="V91" s="10">
        <v>7670794676</v>
      </c>
    </row>
    <row r="92" spans="1:22" s="4" customFormat="1">
      <c r="A92" s="88">
        <v>82</v>
      </c>
      <c r="B92" s="68" t="s">
        <v>125</v>
      </c>
      <c r="C92" s="21" t="s">
        <v>46</v>
      </c>
      <c r="D92" s="10">
        <v>9626919655.6200008</v>
      </c>
      <c r="E92" s="10">
        <v>151644851.63</v>
      </c>
      <c r="F92" s="10">
        <v>0</v>
      </c>
      <c r="G92" s="10">
        <v>11587595.949999999</v>
      </c>
      <c r="H92" s="12">
        <f t="shared" si="22"/>
        <v>140057255.68000001</v>
      </c>
      <c r="I92" s="10">
        <v>9801819848.5</v>
      </c>
      <c r="J92" s="13">
        <f t="shared" si="19"/>
        <v>4.9047071525626165E-2</v>
      </c>
      <c r="K92" s="10">
        <v>9554229805.8799992</v>
      </c>
      <c r="L92" s="13">
        <f t="shared" si="23"/>
        <v>5.1209977082754383E-2</v>
      </c>
      <c r="M92" s="13">
        <f t="shared" si="24"/>
        <v>-2.5259599385300906E-2</v>
      </c>
      <c r="N92" s="23">
        <f t="shared" si="25"/>
        <v>1.2128236587808049E-3</v>
      </c>
      <c r="O92" s="23">
        <f t="shared" si="26"/>
        <v>1.4659188498250691E-2</v>
      </c>
      <c r="P92" s="26">
        <f t="shared" si="27"/>
        <v>5167.375764328247</v>
      </c>
      <c r="Q92" s="26">
        <f t="shared" si="28"/>
        <v>75.749535370580006</v>
      </c>
      <c r="R92" s="10">
        <v>5167.38</v>
      </c>
      <c r="S92" s="10">
        <v>5167.38</v>
      </c>
      <c r="T92" s="19">
        <v>289</v>
      </c>
      <c r="U92" s="10">
        <v>1897122.03</v>
      </c>
      <c r="V92" s="10">
        <v>1848952.01</v>
      </c>
    </row>
    <row r="93" spans="1:22" s="4" customFormat="1">
      <c r="A93" s="88">
        <v>83</v>
      </c>
      <c r="B93" s="21" t="s">
        <v>126</v>
      </c>
      <c r="C93" s="21" t="s">
        <v>46</v>
      </c>
      <c r="D93" s="10">
        <v>21722424421.470001</v>
      </c>
      <c r="E93" s="10">
        <v>221315571.09999999</v>
      </c>
      <c r="F93" s="10">
        <v>0</v>
      </c>
      <c r="G93" s="10">
        <v>40045860.799999997</v>
      </c>
      <c r="H93" s="12">
        <f t="shared" si="22"/>
        <v>181269710.30000001</v>
      </c>
      <c r="I93" s="10">
        <v>24303524615.09</v>
      </c>
      <c r="J93" s="13">
        <f t="shared" si="19"/>
        <v>0.12161177501171408</v>
      </c>
      <c r="K93" s="10">
        <v>21608683008.189999</v>
      </c>
      <c r="L93" s="13">
        <f t="shared" si="23"/>
        <v>0.11582096978208403</v>
      </c>
      <c r="M93" s="13">
        <f t="shared" si="24"/>
        <v>-0.11088274847290178</v>
      </c>
      <c r="N93" s="23">
        <f t="shared" si="25"/>
        <v>1.8532300550117768E-3</v>
      </c>
      <c r="O93" s="23">
        <f t="shared" si="26"/>
        <v>8.3887440169905878E-3</v>
      </c>
      <c r="P93" s="26">
        <f t="shared" si="27"/>
        <v>258.8525881641358</v>
      </c>
      <c r="Q93" s="26">
        <f t="shared" si="28"/>
        <v>2.1714481002444224</v>
      </c>
      <c r="R93" s="10">
        <v>258.85000000000002</v>
      </c>
      <c r="S93" s="10">
        <v>258.85000000000002</v>
      </c>
      <c r="T93" s="19">
        <v>6347</v>
      </c>
      <c r="U93" s="10">
        <v>94027420.840000004</v>
      </c>
      <c r="V93" s="10">
        <v>83478721.079999998</v>
      </c>
    </row>
    <row r="94" spans="1:22" s="4" customFormat="1">
      <c r="A94" s="88">
        <v>84</v>
      </c>
      <c r="B94" s="68" t="s">
        <v>127</v>
      </c>
      <c r="C94" s="21" t="s">
        <v>46</v>
      </c>
      <c r="D94" s="10">
        <v>395222767.35000002</v>
      </c>
      <c r="E94" s="10">
        <v>5175371.54</v>
      </c>
      <c r="F94" s="10">
        <v>8655525.2400000002</v>
      </c>
      <c r="G94" s="10">
        <v>454900.06</v>
      </c>
      <c r="H94" s="12">
        <f t="shared" si="22"/>
        <v>13375996.720000001</v>
      </c>
      <c r="I94" s="10">
        <v>378253707.86000001</v>
      </c>
      <c r="J94" s="13">
        <f t="shared" si="19"/>
        <v>1.8927338954390011E-3</v>
      </c>
      <c r="K94" s="10">
        <v>392739521.36000001</v>
      </c>
      <c r="L94" s="13">
        <f t="shared" si="23"/>
        <v>2.1050552788629603E-3</v>
      </c>
      <c r="M94" s="13">
        <f t="shared" si="24"/>
        <v>3.8296553871089919E-2</v>
      </c>
      <c r="N94" s="23">
        <f t="shared" si="25"/>
        <v>1.1582742129560759E-3</v>
      </c>
      <c r="O94" s="23">
        <f t="shared" si="26"/>
        <v>3.4058188678544148E-2</v>
      </c>
      <c r="P94" s="26">
        <f t="shared" si="27"/>
        <v>6811.1481632041468</v>
      </c>
      <c r="Q94" s="26">
        <f t="shared" si="28"/>
        <v>231.97536925992625</v>
      </c>
      <c r="R94" s="10">
        <v>6793.58</v>
      </c>
      <c r="S94" s="10">
        <v>6823.19</v>
      </c>
      <c r="T94" s="19">
        <v>15</v>
      </c>
      <c r="U94" s="10">
        <v>57509.599999999999</v>
      </c>
      <c r="V94" s="10">
        <v>57661.279999999999</v>
      </c>
    </row>
    <row r="95" spans="1:22" s="4" customFormat="1">
      <c r="A95" s="88">
        <v>85</v>
      </c>
      <c r="B95" s="21" t="s">
        <v>128</v>
      </c>
      <c r="C95" s="21" t="s">
        <v>46</v>
      </c>
      <c r="D95" s="10">
        <v>7941047308.3900003</v>
      </c>
      <c r="E95" s="10">
        <v>133113670.43000001</v>
      </c>
      <c r="F95" s="10">
        <v>0</v>
      </c>
      <c r="G95" s="10">
        <v>12010211.5</v>
      </c>
      <c r="H95" s="12">
        <f t="shared" si="22"/>
        <v>121103458.93000001</v>
      </c>
      <c r="I95" s="10">
        <v>9331056311.1200008</v>
      </c>
      <c r="J95" s="13">
        <f t="shared" si="19"/>
        <v>4.6691430099195845E-2</v>
      </c>
      <c r="K95" s="10">
        <v>7904072642.3199997</v>
      </c>
      <c r="L95" s="13">
        <f t="shared" si="23"/>
        <v>4.236525466705076E-2</v>
      </c>
      <c r="M95" s="13">
        <f t="shared" si="24"/>
        <v>-0.15292841680737013</v>
      </c>
      <c r="N95" s="23">
        <f t="shared" si="25"/>
        <v>1.5194965992208756E-3</v>
      </c>
      <c r="O95" s="23">
        <f t="shared" si="26"/>
        <v>1.5321653078134385E-2</v>
      </c>
      <c r="P95" s="26">
        <f t="shared" si="27"/>
        <v>137.88211446887931</v>
      </c>
      <c r="Q95" s="26">
        <f t="shared" si="28"/>
        <v>2.1125819235717822</v>
      </c>
      <c r="R95" s="10">
        <v>137.88</v>
      </c>
      <c r="S95" s="10">
        <v>137.88</v>
      </c>
      <c r="T95" s="19">
        <v>4454</v>
      </c>
      <c r="U95" s="10">
        <v>68251739.900000006</v>
      </c>
      <c r="V95" s="10">
        <v>57324858.07</v>
      </c>
    </row>
    <row r="96" spans="1:22" s="4" customFormat="1">
      <c r="A96" s="88">
        <v>86</v>
      </c>
      <c r="B96" s="21" t="s">
        <v>129</v>
      </c>
      <c r="C96" s="21" t="s">
        <v>46</v>
      </c>
      <c r="D96" s="10">
        <v>7836538296.7299995</v>
      </c>
      <c r="E96" s="10">
        <v>62891965.619999997</v>
      </c>
      <c r="F96" s="10">
        <v>29150686.149999999</v>
      </c>
      <c r="G96" s="10">
        <v>13662936.869999999</v>
      </c>
      <c r="H96" s="12">
        <f t="shared" si="22"/>
        <v>78379714.899999991</v>
      </c>
      <c r="I96" s="10">
        <v>8039982228.29</v>
      </c>
      <c r="J96" s="13">
        <f t="shared" si="19"/>
        <v>4.0231058059697913E-2</v>
      </c>
      <c r="K96" s="10">
        <v>7800308716.54</v>
      </c>
      <c r="L96" s="13">
        <f t="shared" si="23"/>
        <v>4.1809087569422421E-2</v>
      </c>
      <c r="M96" s="13">
        <f t="shared" si="24"/>
        <v>-2.981020417018701E-2</v>
      </c>
      <c r="N96" s="23">
        <f t="shared" si="25"/>
        <v>1.7515892468497707E-3</v>
      </c>
      <c r="O96" s="23">
        <f t="shared" si="26"/>
        <v>1.0048283695977491E-2</v>
      </c>
      <c r="P96" s="26">
        <f t="shared" si="27"/>
        <v>354.27637005295156</v>
      </c>
      <c r="Q96" s="26">
        <f t="shared" si="28"/>
        <v>3.5598694730731615</v>
      </c>
      <c r="R96" s="10">
        <v>353.68</v>
      </c>
      <c r="S96" s="10">
        <v>354.25</v>
      </c>
      <c r="T96" s="19">
        <v>10174</v>
      </c>
      <c r="U96" s="10">
        <v>22510695.66</v>
      </c>
      <c r="V96" s="10">
        <v>22017581.120000001</v>
      </c>
    </row>
    <row r="97" spans="1:23">
      <c r="A97" s="88">
        <v>87</v>
      </c>
      <c r="B97" s="21" t="s">
        <v>130</v>
      </c>
      <c r="C97" s="21" t="s">
        <v>50</v>
      </c>
      <c r="D97" s="10">
        <v>82178384452.970001</v>
      </c>
      <c r="E97" s="10">
        <v>708351316</v>
      </c>
      <c r="F97" s="10">
        <v>0</v>
      </c>
      <c r="G97" s="10">
        <v>137222108</v>
      </c>
      <c r="H97" s="12">
        <f t="shared" si="22"/>
        <v>571129208</v>
      </c>
      <c r="I97" s="10">
        <v>87404044298</v>
      </c>
      <c r="J97" s="13">
        <f t="shared" si="19"/>
        <v>0.4373588250521705</v>
      </c>
      <c r="K97" s="10">
        <v>87904733951.630005</v>
      </c>
      <c r="L97" s="13">
        <f t="shared" si="23"/>
        <v>0.47116298253137645</v>
      </c>
      <c r="M97" s="13">
        <f t="shared" si="24"/>
        <v>5.7284494974045698E-3</v>
      </c>
      <c r="N97" s="23">
        <f t="shared" si="25"/>
        <v>1.5610320608615586E-3</v>
      </c>
      <c r="O97" s="23">
        <f t="shared" si="26"/>
        <v>6.4971382350609988E-3</v>
      </c>
      <c r="P97" s="26">
        <f t="shared" si="27"/>
        <v>1.9610207120286272</v>
      </c>
      <c r="Q97" s="26">
        <f t="shared" si="28"/>
        <v>1.2741022647867738E-2</v>
      </c>
      <c r="R97" s="10">
        <v>1.96</v>
      </c>
      <c r="S97" s="10">
        <v>1.96</v>
      </c>
      <c r="T97" s="19">
        <v>1459</v>
      </c>
      <c r="U97" s="10">
        <v>44823621518.489998</v>
      </c>
      <c r="V97" s="10">
        <v>44826009951.059998</v>
      </c>
    </row>
    <row r="98" spans="1:23" s="4" customFormat="1">
      <c r="A98" s="88">
        <v>88</v>
      </c>
      <c r="B98" s="64" t="s">
        <v>247</v>
      </c>
      <c r="C98" s="64" t="s">
        <v>248</v>
      </c>
      <c r="D98" s="10">
        <v>91506908.939999998</v>
      </c>
      <c r="E98" s="10">
        <v>1256377.9099999999</v>
      </c>
      <c r="F98" s="10">
        <v>0</v>
      </c>
      <c r="G98" s="10">
        <v>436023.08</v>
      </c>
      <c r="H98" s="12">
        <f t="shared" si="22"/>
        <v>820354.82999999984</v>
      </c>
      <c r="I98" s="10">
        <v>89236775.290000007</v>
      </c>
      <c r="J98" s="13">
        <f t="shared" si="19"/>
        <v>4.4652958001821004E-4</v>
      </c>
      <c r="K98" s="10">
        <v>93570560.290000007</v>
      </c>
      <c r="L98" s="13">
        <f t="shared" si="23"/>
        <v>5.0153139974949983E-4</v>
      </c>
      <c r="M98" s="13">
        <f t="shared" si="24"/>
        <v>4.8565011296252542E-2</v>
      </c>
      <c r="N98" s="23">
        <f t="shared" si="25"/>
        <v>4.6598318814021072E-3</v>
      </c>
      <c r="O98" s="23">
        <f t="shared" si="26"/>
        <v>8.7672322091211421E-3</v>
      </c>
      <c r="P98" s="26">
        <f t="shared" si="27"/>
        <v>110.37096475901086</v>
      </c>
      <c r="Q98" s="26">
        <f t="shared" si="28"/>
        <v>0.96764787718697465</v>
      </c>
      <c r="R98" s="10">
        <v>110.371</v>
      </c>
      <c r="S98" s="10">
        <v>110.371</v>
      </c>
      <c r="T98" s="19">
        <v>54</v>
      </c>
      <c r="U98" s="10">
        <v>815880.18</v>
      </c>
      <c r="V98" s="10">
        <v>847782.39</v>
      </c>
    </row>
    <row r="99" spans="1:23" s="4" customFormat="1">
      <c r="A99" s="88">
        <v>89</v>
      </c>
      <c r="B99" s="68" t="s">
        <v>131</v>
      </c>
      <c r="C99" s="68" t="s">
        <v>96</v>
      </c>
      <c r="D99" s="10">
        <v>2075449707.25</v>
      </c>
      <c r="E99" s="10">
        <v>18609659.579999998</v>
      </c>
      <c r="F99" s="10">
        <v>0</v>
      </c>
      <c r="G99" s="10">
        <v>3682086.45</v>
      </c>
      <c r="H99" s="12">
        <f t="shared" si="22"/>
        <v>14927573.129999999</v>
      </c>
      <c r="I99" s="10">
        <v>2093976408.5</v>
      </c>
      <c r="J99" s="13">
        <f t="shared" si="19"/>
        <v>1.0477994114163431E-2</v>
      </c>
      <c r="K99" s="10">
        <v>2082488345.5</v>
      </c>
      <c r="L99" s="13">
        <f t="shared" si="23"/>
        <v>1.1161986116612522E-2</v>
      </c>
      <c r="M99" s="13">
        <f t="shared" si="24"/>
        <v>-5.486242802625157E-3</v>
      </c>
      <c r="N99" s="23">
        <f t="shared" si="25"/>
        <v>1.7681186345923779E-3</v>
      </c>
      <c r="O99" s="23">
        <f t="shared" si="26"/>
        <v>7.1681424591194661E-3</v>
      </c>
      <c r="P99" s="26">
        <f t="shared" si="27"/>
        <v>27.899601422750553</v>
      </c>
      <c r="Q99" s="26">
        <f t="shared" si="28"/>
        <v>0.19998831755092814</v>
      </c>
      <c r="R99" s="10">
        <v>27.8996</v>
      </c>
      <c r="S99" s="10">
        <v>27.8996</v>
      </c>
      <c r="T99" s="19">
        <v>1295</v>
      </c>
      <c r="U99" s="10">
        <v>75121622.060000002</v>
      </c>
      <c r="V99" s="10">
        <v>74642225.670000002</v>
      </c>
    </row>
    <row r="100" spans="1:23">
      <c r="A100" s="98" t="s">
        <v>51</v>
      </c>
      <c r="B100" s="98"/>
      <c r="C100" s="98"/>
      <c r="D100" s="98"/>
      <c r="E100" s="98"/>
      <c r="F100" s="98"/>
      <c r="G100" s="98"/>
      <c r="H100" s="98"/>
      <c r="I100" s="39">
        <f>SUM(I65:I99)</f>
        <v>199845159835.45999</v>
      </c>
      <c r="J100" s="13">
        <f>(I100/$I$204)</f>
        <v>5.2056499285572162E-2</v>
      </c>
      <c r="K100" s="39">
        <f>SUM(K65:K99)</f>
        <v>186569695011.59</v>
      </c>
      <c r="L100" s="13"/>
      <c r="M100" s="13">
        <f t="shared" si="24"/>
        <v>-6.6428753314817249E-2</v>
      </c>
      <c r="N100" s="23"/>
      <c r="O100" s="23"/>
      <c r="P100" s="26"/>
      <c r="Q100" s="26"/>
      <c r="R100" s="10"/>
      <c r="S100" s="10"/>
      <c r="T100" s="39">
        <f>SUM(T65:T99)</f>
        <v>42670</v>
      </c>
      <c r="U100" s="10"/>
      <c r="V100" s="10"/>
    </row>
    <row r="101" spans="1:23" ht="6.9" customHeight="1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4"/>
    </row>
    <row r="102" spans="1:23">
      <c r="A102" s="95" t="s">
        <v>132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</row>
    <row r="103" spans="1:23">
      <c r="A103" s="102" t="s">
        <v>133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</row>
    <row r="104" spans="1:23">
      <c r="A104" s="65">
        <v>90</v>
      </c>
      <c r="B104" s="21" t="s">
        <v>134</v>
      </c>
      <c r="C104" s="21" t="s">
        <v>22</v>
      </c>
      <c r="D104" s="19">
        <v>2820509148.1399999</v>
      </c>
      <c r="E104" s="19">
        <v>18448074.440000001</v>
      </c>
      <c r="F104" s="19">
        <v>0</v>
      </c>
      <c r="G104" s="19">
        <v>5390576.8600000003</v>
      </c>
      <c r="H104" s="12">
        <f>(E104+F104)-G104</f>
        <v>13057497.580000002</v>
      </c>
      <c r="I104" s="32">
        <f>1755284.16*1663.89</f>
        <v>2920599760.9823999</v>
      </c>
      <c r="J104" s="13">
        <f t="shared" ref="J104:J118" si="29">(I104/$I$135)</f>
        <v>1.6104198673627041E-3</v>
      </c>
      <c r="K104" s="32">
        <v>2802509668.02</v>
      </c>
      <c r="L104" s="13">
        <f t="shared" ref="L104" si="30">(K104/$K$135)</f>
        <v>1.6464702991790721E-3</v>
      </c>
      <c r="M104" s="13">
        <f t="shared" ref="M104" si="31">((K104-I104)/I104)</f>
        <v>-4.0433507713045241E-2</v>
      </c>
      <c r="N104" s="23">
        <f>(G104/K104)</f>
        <v>1.9234819852766091E-3</v>
      </c>
      <c r="O104" s="23">
        <f>H104/K104</f>
        <v>4.659215891028576E-3</v>
      </c>
      <c r="P104" s="26">
        <f>K104/V104</f>
        <v>172049.53216931457</v>
      </c>
      <c r="Q104" s="26">
        <f>H104/V104</f>
        <v>801.61591432730256</v>
      </c>
      <c r="R104" s="10">
        <f>112.0612*1535.8176</f>
        <v>172105.56323712002</v>
      </c>
      <c r="S104" s="10">
        <f>$R$104</f>
        <v>172105.56323712002</v>
      </c>
      <c r="T104" s="10">
        <v>194</v>
      </c>
      <c r="U104" s="10">
        <v>15740.45</v>
      </c>
      <c r="V104" s="10">
        <v>16288.97</v>
      </c>
    </row>
    <row r="105" spans="1:23" s="4" customFormat="1">
      <c r="A105" s="65">
        <v>91</v>
      </c>
      <c r="B105" s="64" t="s">
        <v>236</v>
      </c>
      <c r="C105" s="67" t="s">
        <v>55</v>
      </c>
      <c r="D105" s="19">
        <f>1511556.59*1535.8176</f>
        <v>2321475214.3179841</v>
      </c>
      <c r="E105" s="19">
        <f>10725.05*1535.8176</f>
        <v>16471720.55088</v>
      </c>
      <c r="F105" s="19">
        <v>0</v>
      </c>
      <c r="G105" s="19">
        <f>2515.93*1535.8176</f>
        <v>3864009.574368</v>
      </c>
      <c r="H105" s="12">
        <f t="shared" ref="H105:H118" si="32">(E105+F105)-G105</f>
        <v>12607710.976512</v>
      </c>
      <c r="I105" s="32">
        <f>1223067.19*1663.89</f>
        <v>2035049266.7691</v>
      </c>
      <c r="J105" s="13">
        <f t="shared" si="29"/>
        <v>1.1221269733873035E-3</v>
      </c>
      <c r="K105" s="32">
        <f>1508275.12*1535.8176</f>
        <v>2316435474.9381123</v>
      </c>
      <c r="L105" s="13">
        <f t="shared" ref="L105:L118" si="33">(K105/$K$135)</f>
        <v>1.3609024271966049E-3</v>
      </c>
      <c r="M105" s="13">
        <f t="shared" ref="M105:M118" si="34">((K105-I105)/I105)</f>
        <v>0.13826997349098519</v>
      </c>
      <c r="N105" s="23">
        <f t="shared" ref="N105:N118" si="35">(G105/K105)</f>
        <v>1.6680842683395849E-3</v>
      </c>
      <c r="O105" s="23">
        <f t="shared" ref="O105:O118" si="36">H105/K105</f>
        <v>5.4427205561807575E-3</v>
      </c>
      <c r="P105" s="26">
        <f t="shared" ref="P105:P118" si="37">K105/V105</f>
        <v>159721.12493540041</v>
      </c>
      <c r="Q105" s="26">
        <f t="shared" ref="Q105:Q118" si="38">H105/V105</f>
        <v>869.3174499422189</v>
      </c>
      <c r="R105" s="10">
        <f>100*1535.8176</f>
        <v>153581.76000000001</v>
      </c>
      <c r="S105" s="10">
        <f>100*1535.8176</f>
        <v>153581.76000000001</v>
      </c>
      <c r="T105" s="10">
        <v>35</v>
      </c>
      <c r="U105" s="10">
        <v>11498</v>
      </c>
      <c r="V105" s="10">
        <v>14503</v>
      </c>
    </row>
    <row r="106" spans="1:23" s="4" customFormat="1" ht="12.9" customHeight="1">
      <c r="A106" s="65">
        <v>92</v>
      </c>
      <c r="B106" s="21" t="s">
        <v>135</v>
      </c>
      <c r="C106" s="68" t="s">
        <v>26</v>
      </c>
      <c r="D106" s="19">
        <f>8318159.87*1535.8176</f>
        <v>12775176327.959713</v>
      </c>
      <c r="E106" s="19">
        <f>111228.53*1535.8176</f>
        <v>170826733.99612799</v>
      </c>
      <c r="F106" s="19">
        <f>1280*1535.8176</f>
        <v>1965846.5280000002</v>
      </c>
      <c r="G106" s="19">
        <f>16229*1535.8176</f>
        <v>24924783.830400001</v>
      </c>
      <c r="H106" s="12">
        <f t="shared" si="32"/>
        <v>147867796.693728</v>
      </c>
      <c r="I106" s="32">
        <f>9705240*1663.89</f>
        <v>16148451783.6</v>
      </c>
      <c r="J106" s="13">
        <f t="shared" si="29"/>
        <v>8.9042627226370071E-3</v>
      </c>
      <c r="K106" s="32">
        <f>9782419*1535.8176</f>
        <v>15024011270.774401</v>
      </c>
      <c r="L106" s="13">
        <f t="shared" si="33"/>
        <v>8.8265844768122843E-3</v>
      </c>
      <c r="M106" s="13">
        <f t="shared" si="34"/>
        <v>-6.9631474762649123E-2</v>
      </c>
      <c r="N106" s="23">
        <f t="shared" si="35"/>
        <v>1.658996614232124E-3</v>
      </c>
      <c r="O106" s="23">
        <f t="shared" si="36"/>
        <v>9.8420983603339819E-3</v>
      </c>
      <c r="P106" s="26">
        <f t="shared" si="37"/>
        <v>1747.2988669401511</v>
      </c>
      <c r="Q106" s="26">
        <f t="shared" si="38"/>
        <v>17.197087313325085</v>
      </c>
      <c r="R106" s="10">
        <f>1.1377*1535.8176</f>
        <v>1747.2996835199999</v>
      </c>
      <c r="S106" s="10">
        <f>1.1377*1535.8176</f>
        <v>1747.2996835199999</v>
      </c>
      <c r="T106" s="10">
        <v>306</v>
      </c>
      <c r="U106" s="10">
        <v>8400458</v>
      </c>
      <c r="V106" s="10">
        <v>8598421</v>
      </c>
    </row>
    <row r="107" spans="1:23" ht="12.9" customHeight="1">
      <c r="A107" s="65">
        <v>93</v>
      </c>
      <c r="B107" s="64" t="s">
        <v>241</v>
      </c>
      <c r="C107" s="67" t="s">
        <v>105</v>
      </c>
      <c r="D107" s="19">
        <f>3124306.87*1535.8176</f>
        <v>4798365478.746912</v>
      </c>
      <c r="E107" s="19">
        <f>41995.14*1535.8176</f>
        <v>64496875.126464002</v>
      </c>
      <c r="F107" s="19">
        <v>0</v>
      </c>
      <c r="G107" s="19">
        <f>4011.61*1535.8176</f>
        <v>6161101.2423360003</v>
      </c>
      <c r="H107" s="12">
        <f t="shared" si="32"/>
        <v>58335773.884128004</v>
      </c>
      <c r="I107" s="32">
        <f>2982464.05*1663.89</f>
        <v>4962492108.1545</v>
      </c>
      <c r="J107" s="13">
        <f t="shared" si="29"/>
        <v>2.7363201180001721E-3</v>
      </c>
      <c r="K107" s="32">
        <f>3167512.19*1535.8176</f>
        <v>4864720969.6165438</v>
      </c>
      <c r="L107" s="13">
        <f t="shared" si="33"/>
        <v>2.8580163992533623E-3</v>
      </c>
      <c r="M107" s="13">
        <f t="shared" si="34"/>
        <v>-1.970202398454117E-2</v>
      </c>
      <c r="N107" s="23">
        <f t="shared" si="35"/>
        <v>1.2664860494191186E-3</v>
      </c>
      <c r="O107" s="23">
        <f t="shared" si="36"/>
        <v>1.1991597102582897E-2</v>
      </c>
      <c r="P107" s="26">
        <f t="shared" si="37"/>
        <v>1647.3718902176706</v>
      </c>
      <c r="Q107" s="26">
        <f t="shared" si="38"/>
        <v>19.754619985610727</v>
      </c>
      <c r="R107" s="10">
        <f>1.0751*1535.8176</f>
        <v>1651.1575017600001</v>
      </c>
      <c r="S107" s="10">
        <f>$R$107</f>
        <v>1651.1575017600001</v>
      </c>
      <c r="T107" s="10">
        <v>291</v>
      </c>
      <c r="U107" s="10">
        <v>2803498.56</v>
      </c>
      <c r="V107" s="10">
        <v>2953019.29</v>
      </c>
    </row>
    <row r="108" spans="1:23" s="4" customFormat="1" ht="12.9" customHeight="1">
      <c r="A108" s="65">
        <v>94</v>
      </c>
      <c r="B108" s="64" t="s">
        <v>242</v>
      </c>
      <c r="C108" s="67" t="s">
        <v>220</v>
      </c>
      <c r="D108" s="19">
        <f>433385.86*1535.8176</f>
        <v>665601631.37913597</v>
      </c>
      <c r="E108" s="19">
        <f>6274.88*1535.8176</f>
        <v>9637071.1418880001</v>
      </c>
      <c r="F108" s="19">
        <v>0</v>
      </c>
      <c r="G108" s="19">
        <f>903.41*1535.8176</f>
        <v>1387472.978016</v>
      </c>
      <c r="H108" s="12">
        <f t="shared" si="32"/>
        <v>8249598.1638719998</v>
      </c>
      <c r="I108" s="32">
        <f>391669.39*1663.89</f>
        <v>651694781.32710004</v>
      </c>
      <c r="J108" s="13">
        <f t="shared" si="29"/>
        <v>3.5934476107494259E-4</v>
      </c>
      <c r="K108" s="32">
        <f>424084.98*1535.8176</f>
        <v>651317176.17964804</v>
      </c>
      <c r="L108" s="13">
        <f t="shared" si="33"/>
        <v>3.8264788099111763E-4</v>
      </c>
      <c r="M108" s="13">
        <f t="shared" si="34"/>
        <v>-5.7942024130229822E-4</v>
      </c>
      <c r="N108" s="23">
        <f t="shared" si="35"/>
        <v>2.1302570065084596E-3</v>
      </c>
      <c r="O108" s="23">
        <f t="shared" si="36"/>
        <v>1.2666022739121766E-2</v>
      </c>
      <c r="P108" s="26">
        <f t="shared" si="37"/>
        <v>1771.7479623453994</v>
      </c>
      <c r="Q108" s="26">
        <f t="shared" si="38"/>
        <v>22.440999979059484</v>
      </c>
      <c r="R108" s="10">
        <f>1*1535.8176</f>
        <v>1535.8176000000001</v>
      </c>
      <c r="S108" s="10">
        <f>1*1535.8176</f>
        <v>1535.8176000000001</v>
      </c>
      <c r="T108" s="10">
        <v>19</v>
      </c>
      <c r="U108" s="10">
        <v>394079.62</v>
      </c>
      <c r="V108" s="10">
        <v>367612.77</v>
      </c>
    </row>
    <row r="109" spans="1:23" s="4" customFormat="1" ht="12.9" customHeight="1">
      <c r="A109" s="65">
        <v>95</v>
      </c>
      <c r="B109" s="64" t="s">
        <v>243</v>
      </c>
      <c r="C109" s="67" t="s">
        <v>48</v>
      </c>
      <c r="D109" s="19">
        <f>392209.12*1535.8176</f>
        <v>602361669.37651205</v>
      </c>
      <c r="E109" s="19">
        <f>3223.09*1535.8176</f>
        <v>4950078.3483840004</v>
      </c>
      <c r="F109" s="19">
        <v>0</v>
      </c>
      <c r="G109" s="19">
        <f>715.82*1535.8176</f>
        <v>1099368.9544320002</v>
      </c>
      <c r="H109" s="12">
        <f t="shared" si="32"/>
        <v>3850709.393952</v>
      </c>
      <c r="I109" s="32">
        <f>400363.21*1663.89</f>
        <v>666160341.48690009</v>
      </c>
      <c r="J109" s="13">
        <f t="shared" si="29"/>
        <v>3.6732107668829335E-4</v>
      </c>
      <c r="K109" s="32">
        <f>224261.96*1535.8176</f>
        <v>344425465.178496</v>
      </c>
      <c r="L109" s="13">
        <f t="shared" si="33"/>
        <v>2.0234945312355739E-4</v>
      </c>
      <c r="M109" s="13">
        <f t="shared" si="34"/>
        <v>-0.48296912360510275</v>
      </c>
      <c r="N109" s="23">
        <f t="shared" si="35"/>
        <v>3.1918921960728433E-3</v>
      </c>
      <c r="O109" s="23">
        <f t="shared" si="36"/>
        <v>1.1180094921135978E-2</v>
      </c>
      <c r="P109" s="26">
        <f t="shared" si="37"/>
        <v>1844.0368806797503</v>
      </c>
      <c r="Q109" s="26">
        <f t="shared" si="38"/>
        <v>20.616507364075108</v>
      </c>
      <c r="R109" s="10">
        <f>1.2007*1535.8176</f>
        <v>1844.0561923200003</v>
      </c>
      <c r="S109" s="10">
        <f>1.2007*1535.8176</f>
        <v>1844.0561923200003</v>
      </c>
      <c r="T109" s="10">
        <v>36</v>
      </c>
      <c r="U109" s="10">
        <v>338186.46</v>
      </c>
      <c r="V109" s="10">
        <v>186777.97</v>
      </c>
    </row>
    <row r="110" spans="1:23" ht="12.9" customHeight="1">
      <c r="A110" s="65">
        <v>96</v>
      </c>
      <c r="B110" s="64" t="s">
        <v>244</v>
      </c>
      <c r="C110" s="67" t="s">
        <v>172</v>
      </c>
      <c r="D110" s="19">
        <f>329328.85*1535.8176</f>
        <v>505789044.01775998</v>
      </c>
      <c r="E110" s="19">
        <f>2408.03*1535.8176</f>
        <v>3698294.8553280006</v>
      </c>
      <c r="F110" s="19">
        <v>0</v>
      </c>
      <c r="G110" s="19">
        <f>916.91*1535.8176</f>
        <v>1408206.5156159999</v>
      </c>
      <c r="H110" s="12">
        <f t="shared" si="32"/>
        <v>2290088.3397120005</v>
      </c>
      <c r="I110" s="32">
        <f>410854.3*1663.89</f>
        <v>683616361.227</v>
      </c>
      <c r="J110" s="13">
        <f t="shared" si="29"/>
        <v>3.7694633290110508E-4</v>
      </c>
      <c r="K110" s="32">
        <f>423200.95*1535.8176</f>
        <v>649959467.3467201</v>
      </c>
      <c r="L110" s="13">
        <f t="shared" si="33"/>
        <v>3.8185022905297883E-4</v>
      </c>
      <c r="M110" s="13">
        <f t="shared" si="34"/>
        <v>-4.9233599119644054E-2</v>
      </c>
      <c r="N110" s="23">
        <f t="shared" si="35"/>
        <v>2.166606667589002E-3</v>
      </c>
      <c r="O110" s="23">
        <f t="shared" si="36"/>
        <v>3.5234325442794969E-3</v>
      </c>
      <c r="P110" s="26">
        <f t="shared" si="37"/>
        <v>167385.90454460986</v>
      </c>
      <c r="Q110" s="26">
        <f t="shared" si="38"/>
        <v>589.77294352613967</v>
      </c>
      <c r="R110" s="10">
        <f>107.1*1535.8176</f>
        <v>164486.06495999999</v>
      </c>
      <c r="S110" s="10">
        <f>108.98*1535.8176</f>
        <v>167373.40204800002</v>
      </c>
      <c r="T110" s="10">
        <v>46</v>
      </c>
      <c r="U110" s="10">
        <v>3789.05</v>
      </c>
      <c r="V110" s="10">
        <v>3883</v>
      </c>
    </row>
    <row r="111" spans="1:23" ht="15" customHeight="1">
      <c r="A111" s="65">
        <v>97</v>
      </c>
      <c r="B111" s="21" t="s">
        <v>136</v>
      </c>
      <c r="C111" s="68" t="s">
        <v>71</v>
      </c>
      <c r="D111" s="19">
        <f>623813.82*1535.8176</f>
        <v>958064243.87923193</v>
      </c>
      <c r="E111" s="19">
        <f>22364.44*1535.8176</f>
        <v>34347700.566143997</v>
      </c>
      <c r="F111" s="19">
        <v>0</v>
      </c>
      <c r="G111" s="19">
        <f>7771.29*1535.8176</f>
        <v>11935283.956704</v>
      </c>
      <c r="H111" s="12">
        <f t="shared" si="32"/>
        <v>22412416.609439999</v>
      </c>
      <c r="I111" s="32">
        <f>3201538.94*1663.89</f>
        <v>5327008626.8766003</v>
      </c>
      <c r="J111" s="13">
        <f t="shared" si="29"/>
        <v>2.9373146710965207E-3</v>
      </c>
      <c r="K111" s="32">
        <f>3243711.42*1535.8176</f>
        <v>4981749088.156992</v>
      </c>
      <c r="L111" s="13">
        <f t="shared" si="33"/>
        <v>2.9267702464012969E-3</v>
      </c>
      <c r="M111" s="13">
        <f t="shared" si="34"/>
        <v>-6.4813024138473244E-2</v>
      </c>
      <c r="N111" s="23">
        <f t="shared" si="35"/>
        <v>2.3958019052138738E-3</v>
      </c>
      <c r="O111" s="23">
        <f t="shared" si="36"/>
        <v>4.498905146130416E-3</v>
      </c>
      <c r="P111" s="26">
        <f t="shared" si="37"/>
        <v>171007.07673211713</v>
      </c>
      <c r="Q111" s="26">
        <f t="shared" si="38"/>
        <v>769.34461753484072</v>
      </c>
      <c r="R111" s="10">
        <f>111.2*1535.8176</f>
        <v>170782.91712000003</v>
      </c>
      <c r="S111" s="10">
        <f>$R$111</f>
        <v>170782.91712000003</v>
      </c>
      <c r="T111" s="10">
        <v>56</v>
      </c>
      <c r="U111" s="10">
        <v>28869.46</v>
      </c>
      <c r="V111" s="10">
        <v>29131.83</v>
      </c>
    </row>
    <row r="112" spans="1:23" ht="15" customHeight="1">
      <c r="A112" s="65">
        <v>98</v>
      </c>
      <c r="B112" s="21" t="s">
        <v>137</v>
      </c>
      <c r="C112" s="21" t="s">
        <v>138</v>
      </c>
      <c r="D112" s="19">
        <v>54447496863.690002</v>
      </c>
      <c r="E112" s="19">
        <v>388984668.22000003</v>
      </c>
      <c r="F112" s="19">
        <v>0</v>
      </c>
      <c r="G112" s="19">
        <v>87080490.780000001</v>
      </c>
      <c r="H112" s="12">
        <f t="shared" si="32"/>
        <v>301904177.44000006</v>
      </c>
      <c r="I112" s="32">
        <v>57014777725.089996</v>
      </c>
      <c r="J112" s="13">
        <f t="shared" si="29"/>
        <v>3.1437971066213065E-2</v>
      </c>
      <c r="K112" s="32">
        <v>54054707491.690002</v>
      </c>
      <c r="L112" s="13">
        <f t="shared" si="33"/>
        <v>3.1757060976977489E-2</v>
      </c>
      <c r="M112" s="13">
        <f t="shared" si="34"/>
        <v>-5.1917596656653832E-2</v>
      </c>
      <c r="N112" s="23">
        <f t="shared" si="35"/>
        <v>1.610969605068849E-3</v>
      </c>
      <c r="O112" s="23">
        <f t="shared" si="36"/>
        <v>5.5851597658985157E-3</v>
      </c>
      <c r="P112" s="26">
        <f t="shared" si="37"/>
        <v>200903.55050468672</v>
      </c>
      <c r="Q112" s="26">
        <f t="shared" si="38"/>
        <v>1122.0784271049367</v>
      </c>
      <c r="R112" s="10">
        <f>128.33*1535.8176</f>
        <v>197091.47260800004</v>
      </c>
      <c r="S112" s="10">
        <f>$R$112</f>
        <v>197091.47260800004</v>
      </c>
      <c r="T112" s="10">
        <v>71</v>
      </c>
      <c r="U112" s="10">
        <v>270753</v>
      </c>
      <c r="V112" s="10">
        <v>269058</v>
      </c>
    </row>
    <row r="113" spans="1:24">
      <c r="A113" s="65">
        <v>99</v>
      </c>
      <c r="B113" s="21" t="s">
        <v>139</v>
      </c>
      <c r="C113" s="21" t="s">
        <v>138</v>
      </c>
      <c r="D113" s="19">
        <v>109711030322.46001</v>
      </c>
      <c r="E113" s="19">
        <v>510935653.89999998</v>
      </c>
      <c r="F113" s="19">
        <v>0</v>
      </c>
      <c r="G113" s="19">
        <v>167091012.03999999</v>
      </c>
      <c r="H113" s="12">
        <f t="shared" si="32"/>
        <v>343844641.86000001</v>
      </c>
      <c r="I113" s="32">
        <v>106781071427.57001</v>
      </c>
      <c r="J113" s="13">
        <f t="shared" si="29"/>
        <v>5.8879125165507744E-2</v>
      </c>
      <c r="K113" s="32">
        <v>107662740554.05</v>
      </c>
      <c r="L113" s="13">
        <f t="shared" si="33"/>
        <v>6.3251701385103123E-2</v>
      </c>
      <c r="M113" s="13">
        <f t="shared" si="34"/>
        <v>8.2567922824976995E-3</v>
      </c>
      <c r="N113" s="23">
        <f t="shared" si="35"/>
        <v>1.551985498233859E-3</v>
      </c>
      <c r="O113" s="23">
        <f t="shared" si="36"/>
        <v>3.1937199451780576E-3</v>
      </c>
      <c r="P113" s="26">
        <f t="shared" si="37"/>
        <v>185879.55697021962</v>
      </c>
      <c r="Q113" s="26">
        <f t="shared" si="38"/>
        <v>593.64724849665151</v>
      </c>
      <c r="R113" s="10">
        <f>118.73*1535.8176</f>
        <v>182347.62364800001</v>
      </c>
      <c r="S113" s="10">
        <f>118.73*1535.8176</f>
        <v>182347.62364800001</v>
      </c>
      <c r="T113" s="10">
        <v>642</v>
      </c>
      <c r="U113" s="10">
        <v>539334</v>
      </c>
      <c r="V113" s="10">
        <v>579207</v>
      </c>
    </row>
    <row r="114" spans="1:24" s="76" customFormat="1">
      <c r="A114" s="65">
        <v>100</v>
      </c>
      <c r="B114" s="64" t="s">
        <v>140</v>
      </c>
      <c r="C114" s="67" t="s">
        <v>141</v>
      </c>
      <c r="D114" s="19">
        <f>132643.09*1535.8176</f>
        <v>203715592.14038402</v>
      </c>
      <c r="E114" s="19">
        <f>4718.75*1535.8176</f>
        <v>7247139.3000000007</v>
      </c>
      <c r="F114" s="19">
        <v>0</v>
      </c>
      <c r="G114" s="19">
        <f>2699.57*1535.8176</f>
        <v>4146047.1184320003</v>
      </c>
      <c r="H114" s="12">
        <f t="shared" si="32"/>
        <v>3101092.1815680005</v>
      </c>
      <c r="I114" s="32">
        <f>129590.45*1663.89</f>
        <v>215624253.85050002</v>
      </c>
      <c r="J114" s="13">
        <f t="shared" si="29"/>
        <v>1.1889529915228834E-4</v>
      </c>
      <c r="K114" s="32">
        <f>137210.27*1535.8176</f>
        <v>210729947.56675199</v>
      </c>
      <c r="L114" s="13">
        <f t="shared" si="33"/>
        <v>1.2380353358828957E-4</v>
      </c>
      <c r="M114" s="13">
        <f t="shared" si="34"/>
        <v>-2.2698310585883476E-2</v>
      </c>
      <c r="N114" s="23">
        <f t="shared" si="35"/>
        <v>1.9674693446780626E-2</v>
      </c>
      <c r="O114" s="23">
        <f t="shared" si="36"/>
        <v>1.4715953842230617E-2</v>
      </c>
      <c r="P114" s="26">
        <f t="shared" si="37"/>
        <v>174546.4653083343</v>
      </c>
      <c r="Q114" s="26">
        <f t="shared" si="38"/>
        <v>2568.6177268019551</v>
      </c>
      <c r="R114" s="10">
        <f>113.6538*1535.8176</f>
        <v>174551.50634688002</v>
      </c>
      <c r="S114" s="10">
        <f>113.6538*1535.8176</f>
        <v>174551.50634688002</v>
      </c>
      <c r="T114" s="10">
        <v>7</v>
      </c>
      <c r="U114" s="10">
        <v>1156.47</v>
      </c>
      <c r="V114" s="10">
        <v>1207.3</v>
      </c>
      <c r="W114" s="75"/>
      <c r="X114" s="75"/>
    </row>
    <row r="115" spans="1:24">
      <c r="A115" s="65">
        <v>101</v>
      </c>
      <c r="B115" s="21" t="s">
        <v>142</v>
      </c>
      <c r="C115" s="21" t="s">
        <v>143</v>
      </c>
      <c r="D115" s="19">
        <f>10186015.5*1535.8176</f>
        <v>15643861878.7728</v>
      </c>
      <c r="E115" s="19">
        <f>61252.12*1535.8176</f>
        <v>94072083.933312014</v>
      </c>
      <c r="F115" s="19">
        <v>0</v>
      </c>
      <c r="G115" s="19">
        <f>17484.86*1535.8176</f>
        <v>26853555.721536003</v>
      </c>
      <c r="H115" s="12">
        <f t="shared" si="32"/>
        <v>67218528.211776018</v>
      </c>
      <c r="I115" s="32">
        <f>10411086.08*1663.89</f>
        <v>17322902017.651199</v>
      </c>
      <c r="J115" s="13">
        <f t="shared" si="29"/>
        <v>9.5518550478204591E-3</v>
      </c>
      <c r="K115" s="32">
        <f>10113173.54*1535.8176</f>
        <v>15531989914.586304</v>
      </c>
      <c r="L115" s="13">
        <f t="shared" si="33"/>
        <v>9.1250211813123858E-3</v>
      </c>
      <c r="M115" s="13">
        <f t="shared" si="34"/>
        <v>-0.10338406932279838</v>
      </c>
      <c r="N115" s="23">
        <f t="shared" si="35"/>
        <v>1.7289192092712772E-3</v>
      </c>
      <c r="O115" s="23">
        <f t="shared" si="36"/>
        <v>4.3277473512038644E-3</v>
      </c>
      <c r="P115" s="26">
        <f t="shared" si="37"/>
        <v>2128.4293798795738</v>
      </c>
      <c r="Q115" s="26">
        <f t="shared" si="38"/>
        <v>9.2113046109983117</v>
      </c>
      <c r="R115" s="10">
        <f>1.39*1535.8176</f>
        <v>2134.7864639999998</v>
      </c>
      <c r="S115" s="10">
        <f>1.39*1535.8176</f>
        <v>2134.7864639999998</v>
      </c>
      <c r="T115" s="10">
        <v>113</v>
      </c>
      <c r="U115" s="10">
        <v>7541580</v>
      </c>
      <c r="V115" s="10">
        <v>7297395</v>
      </c>
    </row>
    <row r="116" spans="1:24">
      <c r="A116" s="65">
        <v>102</v>
      </c>
      <c r="B116" s="21" t="s">
        <v>144</v>
      </c>
      <c r="C116" s="21" t="s">
        <v>50</v>
      </c>
      <c r="D116" s="19">
        <f>121265944*1535.8176</f>
        <v>186242371075.81442</v>
      </c>
      <c r="E116" s="19">
        <f>872935*1535.8176</f>
        <v>1340668936.6560001</v>
      </c>
      <c r="F116" s="19">
        <v>0</v>
      </c>
      <c r="G116" s="19">
        <f>694196*1535.8176</f>
        <v>1066158434.6496</v>
      </c>
      <c r="H116" s="12">
        <f t="shared" si="32"/>
        <v>274510502.00640011</v>
      </c>
      <c r="I116" s="32">
        <f>129336499*1663.89</f>
        <v>215201707321.11002</v>
      </c>
      <c r="J116" s="13">
        <f t="shared" si="29"/>
        <v>0.11866230682827818</v>
      </c>
      <c r="K116" s="32">
        <f>128056020*1535.8176</f>
        <v>196670689301.952</v>
      </c>
      <c r="L116" s="13">
        <f t="shared" si="33"/>
        <v>0.11554374008048145</v>
      </c>
      <c r="M116" s="13">
        <f t="shared" si="34"/>
        <v>-8.6109995361269315E-2</v>
      </c>
      <c r="N116" s="23">
        <f t="shared" si="35"/>
        <v>5.4210337007194196E-3</v>
      </c>
      <c r="O116" s="23">
        <f t="shared" si="36"/>
        <v>1.3957875623496661E-3</v>
      </c>
      <c r="P116" s="26">
        <f t="shared" si="37"/>
        <v>187932.39665469847</v>
      </c>
      <c r="Q116" s="26">
        <f t="shared" si="38"/>
        <v>262.3137018131921</v>
      </c>
      <c r="R116" s="10">
        <f>122*1535.8176</f>
        <v>187369.74720000001</v>
      </c>
      <c r="S116" s="10">
        <f>$R$116</f>
        <v>187369.74720000001</v>
      </c>
      <c r="T116" s="10">
        <v>1009</v>
      </c>
      <c r="U116" s="10">
        <v>1049978</v>
      </c>
      <c r="V116" s="10">
        <v>1046497</v>
      </c>
    </row>
    <row r="117" spans="1:24" ht="13.95" customHeight="1">
      <c r="A117" s="65">
        <v>103</v>
      </c>
      <c r="B117" s="21" t="s">
        <v>145</v>
      </c>
      <c r="C117" s="21" t="s">
        <v>146</v>
      </c>
      <c r="D117" s="19">
        <f>19398951.62*1535.8176</f>
        <v>29793251319.544514</v>
      </c>
      <c r="E117" s="19">
        <f>197627.88*1535.8176</f>
        <v>303520376.35468805</v>
      </c>
      <c r="F117" s="19">
        <v>0</v>
      </c>
      <c r="G117" s="19">
        <f>12942.47*1535.8176</f>
        <v>19877273.213472001</v>
      </c>
      <c r="H117" s="12">
        <f t="shared" si="32"/>
        <v>283643103.14121604</v>
      </c>
      <c r="I117" s="32">
        <v>30554957340.93</v>
      </c>
      <c r="J117" s="13">
        <f t="shared" si="29"/>
        <v>1.6848015604747597E-2</v>
      </c>
      <c r="K117" s="32">
        <f>19727102.6*1535.8176</f>
        <v>30297231370.085766</v>
      </c>
      <c r="L117" s="13">
        <f t="shared" si="33"/>
        <v>1.7799578773066586E-2</v>
      </c>
      <c r="M117" s="13">
        <f t="shared" si="34"/>
        <v>-8.4348332733227786E-3</v>
      </c>
      <c r="N117" s="23">
        <f t="shared" si="35"/>
        <v>6.5607556580559367E-4</v>
      </c>
      <c r="O117" s="23">
        <f t="shared" si="36"/>
        <v>9.3620139634697282E-3</v>
      </c>
      <c r="P117" s="26">
        <f t="shared" si="37"/>
        <v>161182.0639046107</v>
      </c>
      <c r="Q117" s="26">
        <f t="shared" si="38"/>
        <v>1508.9887329358353</v>
      </c>
      <c r="R117" s="10">
        <f>105.49*1535.8176</f>
        <v>162013.39862399999</v>
      </c>
      <c r="S117" s="10">
        <f>105.49*1535.8176</f>
        <v>162013.39862399999</v>
      </c>
      <c r="T117" s="10">
        <v>483</v>
      </c>
      <c r="U117" s="10">
        <v>176379</v>
      </c>
      <c r="V117" s="10">
        <v>187969</v>
      </c>
    </row>
    <row r="118" spans="1:24">
      <c r="A118" s="65">
        <v>104</v>
      </c>
      <c r="B118" s="21" t="s">
        <v>147</v>
      </c>
      <c r="C118" s="21" t="s">
        <v>42</v>
      </c>
      <c r="D118" s="19">
        <f>92565190.78*1535.8176</f>
        <v>142163249147.28174</v>
      </c>
      <c r="E118" s="19">
        <f>44272.19*1535.8176</f>
        <v>67994008.592544004</v>
      </c>
      <c r="F118" s="19">
        <v>0</v>
      </c>
      <c r="G118" s="19">
        <f>2170.82*1535.8176</f>
        <v>3333983.5624320004</v>
      </c>
      <c r="H118" s="12">
        <f t="shared" si="32"/>
        <v>64660025.030112006</v>
      </c>
      <c r="I118" s="32">
        <f>1972085.62*1663.89</f>
        <v>3281333542.2618003</v>
      </c>
      <c r="J118" s="13">
        <f t="shared" si="29"/>
        <v>1.8093286175318167E-3</v>
      </c>
      <c r="K118" s="32">
        <f>1691453.96*1535.8176</f>
        <v>2597764761.3576961</v>
      </c>
      <c r="L118" s="13">
        <f t="shared" si="33"/>
        <v>1.5261829683004444E-3</v>
      </c>
      <c r="M118" s="13">
        <f t="shared" si="34"/>
        <v>-0.20832041976230342</v>
      </c>
      <c r="N118" s="23">
        <f t="shared" si="35"/>
        <v>1.2834047224081701E-3</v>
      </c>
      <c r="O118" s="23">
        <f t="shared" si="36"/>
        <v>2.4890639057063076E-2</v>
      </c>
      <c r="P118" s="26">
        <f t="shared" si="37"/>
        <v>208883.31076720476</v>
      </c>
      <c r="Q118" s="26">
        <f t="shared" si="38"/>
        <v>5199.2390933508304</v>
      </c>
      <c r="R118" s="10">
        <f>137.35*1535.8176</f>
        <v>210944.54736</v>
      </c>
      <c r="S118" s="10">
        <f>141.59*1535.8176</f>
        <v>217456.41398400001</v>
      </c>
      <c r="T118" s="10">
        <v>48</v>
      </c>
      <c r="U118" s="10">
        <v>14587.44</v>
      </c>
      <c r="V118" s="10">
        <v>12436.44</v>
      </c>
    </row>
    <row r="119" spans="1:24" ht="8.1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</row>
    <row r="120" spans="1:24">
      <c r="A120" s="102" t="s">
        <v>148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</row>
    <row r="121" spans="1:24">
      <c r="A121" s="88">
        <v>105</v>
      </c>
      <c r="B121" s="21" t="s">
        <v>149</v>
      </c>
      <c r="C121" s="68" t="s">
        <v>103</v>
      </c>
      <c r="D121" s="46">
        <f>977430.69*1535.8176</f>
        <v>1501155256.4821439</v>
      </c>
      <c r="E121" s="10">
        <f>8347.12*1535.8176</f>
        <v>12819653.805312002</v>
      </c>
      <c r="F121" s="10">
        <v>0</v>
      </c>
      <c r="G121" s="10">
        <f>1884.89*1535.8176</f>
        <v>2894847.2360640005</v>
      </c>
      <c r="H121" s="12">
        <f>(E121+F121)-G121</f>
        <v>9924806.569248002</v>
      </c>
      <c r="I121" s="10">
        <f>1168253.62*1663.89</f>
        <v>1943845515.7818003</v>
      </c>
      <c r="J121" s="13">
        <f t="shared" ref="J121:J133" si="39">(I121/$I$135)</f>
        <v>1.0718371888950443E-3</v>
      </c>
      <c r="K121" s="10">
        <f>1168302.05*1535.8176</f>
        <v>1794298850.5060802</v>
      </c>
      <c r="L121" s="13">
        <f t="shared" ref="L121" si="40">(K121/$K$135)</f>
        <v>1.0541479299504518E-3</v>
      </c>
      <c r="M121" s="13">
        <f t="shared" ref="M121" si="41">((K121-I121)/I121)</f>
        <v>-7.6933410634524399E-2</v>
      </c>
      <c r="N121" s="23">
        <f>(G121/K121)</f>
        <v>1.6133584632501503E-3</v>
      </c>
      <c r="O121" s="23">
        <f>H121/K121</f>
        <v>5.5313007453851515E-3</v>
      </c>
      <c r="P121" s="24">
        <f>K121/V121</f>
        <v>166833.92380344772</v>
      </c>
      <c r="Q121" s="24">
        <f>H121/V121</f>
        <v>922.80860708953992</v>
      </c>
      <c r="R121" s="10">
        <f>108.63*1535.8176</f>
        <v>166835.865888</v>
      </c>
      <c r="S121" s="10">
        <f>108.63*1535.8176</f>
        <v>166835.865888</v>
      </c>
      <c r="T121" s="10">
        <v>19</v>
      </c>
      <c r="U121" s="19">
        <v>10855</v>
      </c>
      <c r="V121" s="19">
        <v>10755</v>
      </c>
    </row>
    <row r="122" spans="1:24" s="4" customFormat="1">
      <c r="A122" s="88">
        <v>106</v>
      </c>
      <c r="B122" s="21" t="s">
        <v>150</v>
      </c>
      <c r="C122" s="68" t="s">
        <v>28</v>
      </c>
      <c r="D122" s="46">
        <f>8757212.49*1535.8176</f>
        <v>13449481069.081825</v>
      </c>
      <c r="E122" s="10">
        <f>61089.17*1535.8176</f>
        <v>93821822.455392003</v>
      </c>
      <c r="F122" s="10">
        <v>0</v>
      </c>
      <c r="G122" s="10">
        <f>10232.02*1535.8176</f>
        <v>15714516.399552001</v>
      </c>
      <c r="H122" s="12">
        <f t="shared" ref="H122:H133" si="42">(E122+F122)-G122</f>
        <v>78107306.055840001</v>
      </c>
      <c r="I122" s="10">
        <f>11612948.25*1663.89</f>
        <v>19322668463.692501</v>
      </c>
      <c r="J122" s="13">
        <f t="shared" si="39"/>
        <v>1.0654527059855054E-2</v>
      </c>
      <c r="K122" s="10">
        <f>10904968.51*1535.8176</f>
        <v>16748042565.103777</v>
      </c>
      <c r="L122" s="13">
        <f t="shared" ref="L122:L133" si="43">(K122/$K$135)</f>
        <v>9.8394503210803771E-3</v>
      </c>
      <c r="M122" s="13">
        <f t="shared" ref="M122:M135" si="44">((K122-I122)/I122)</f>
        <v>-0.13324380653875387</v>
      </c>
      <c r="N122" s="23">
        <f t="shared" ref="N122:N133" si="45">(G122/K122)</f>
        <v>9.3828973376833714E-4</v>
      </c>
      <c r="O122" s="23">
        <f t="shared" ref="O122:O133" si="46">H122/K122</f>
        <v>4.6636677541400801E-3</v>
      </c>
      <c r="P122" s="24">
        <f t="shared" ref="P122:P133" si="47">K122/V122</f>
        <v>205407.45355751211</v>
      </c>
      <c r="Q122" s="24">
        <f t="shared" ref="Q122:Q133" si="48">H122/V122</f>
        <v>957.95211761619532</v>
      </c>
      <c r="R122" s="10">
        <f>133.74*1535.8176</f>
        <v>205400.24582400001</v>
      </c>
      <c r="S122" s="10">
        <f>133.74*1535.8176</f>
        <v>205400.24582400001</v>
      </c>
      <c r="T122" s="10">
        <v>506</v>
      </c>
      <c r="U122" s="19">
        <v>87242.95</v>
      </c>
      <c r="V122" s="19">
        <v>81535.710000000006</v>
      </c>
    </row>
    <row r="123" spans="1:24" ht="14.1" customHeight="1">
      <c r="A123" s="94">
        <v>107</v>
      </c>
      <c r="B123" s="21" t="s">
        <v>151</v>
      </c>
      <c r="C123" s="21" t="s">
        <v>62</v>
      </c>
      <c r="D123" s="46">
        <f>10226746.34*1535.8176</f>
        <v>15706417019.707584</v>
      </c>
      <c r="E123" s="10">
        <f>72566.78*1535.8176</f>
        <v>111449337.89932801</v>
      </c>
      <c r="F123" s="10">
        <v>0</v>
      </c>
      <c r="G123" s="10">
        <f>17735.02*1535.8176</f>
        <v>27237755.852352001</v>
      </c>
      <c r="H123" s="12">
        <f>54833.76*1535.8176</f>
        <v>84214653.682176009</v>
      </c>
      <c r="I123" s="10">
        <f>10262891.58*1663.89</f>
        <v>17076322671.046202</v>
      </c>
      <c r="J123" s="13">
        <f t="shared" si="39"/>
        <v>9.4158910982375717E-3</v>
      </c>
      <c r="K123" s="10">
        <f>10339053.89*1535.8176</f>
        <v>15878900931.610466</v>
      </c>
      <c r="L123" s="13">
        <f t="shared" si="43"/>
        <v>9.3288308924816717E-3</v>
      </c>
      <c r="M123" s="13">
        <f t="shared" si="44"/>
        <v>-7.0121756452050821E-2</v>
      </c>
      <c r="N123" s="23">
        <f t="shared" si="45"/>
        <v>1.7153426405053778E-3</v>
      </c>
      <c r="O123" s="23">
        <f t="shared" si="46"/>
        <v>5.3035568421822008E-3</v>
      </c>
      <c r="P123" s="24">
        <f t="shared" si="47"/>
        <v>178931.30648739016</v>
      </c>
      <c r="Q123" s="24">
        <f t="shared" si="48"/>
        <v>948.97235480179859</v>
      </c>
      <c r="R123" s="10">
        <f>116.46*1535.8176</f>
        <v>178861.31769600001</v>
      </c>
      <c r="S123" s="10">
        <f>116.46*1535.8176</f>
        <v>178861.31769600001</v>
      </c>
      <c r="T123" s="10">
        <v>647</v>
      </c>
      <c r="U123" s="19">
        <v>88570</v>
      </c>
      <c r="V123" s="19">
        <v>88743</v>
      </c>
    </row>
    <row r="124" spans="1:24" s="4" customFormat="1" ht="14.1" customHeight="1">
      <c r="A124" s="94">
        <v>108</v>
      </c>
      <c r="B124" s="64" t="s">
        <v>263</v>
      </c>
      <c r="C124" s="67" t="s">
        <v>66</v>
      </c>
      <c r="D124" s="46">
        <v>86657550.769999996</v>
      </c>
      <c r="E124" s="10">
        <v>0</v>
      </c>
      <c r="F124" s="10">
        <v>2390401.77</v>
      </c>
      <c r="G124" s="10">
        <v>354375.26</v>
      </c>
      <c r="H124" s="12">
        <f t="shared" si="42"/>
        <v>2036026.51</v>
      </c>
      <c r="I124" s="10">
        <v>82375812.5</v>
      </c>
      <c r="J124" s="13">
        <f t="shared" si="39"/>
        <v>4.5422055706641008E-5</v>
      </c>
      <c r="K124" s="10">
        <v>92350081.780000001</v>
      </c>
      <c r="L124" s="13">
        <f t="shared" si="43"/>
        <v>5.4255536925570839E-5</v>
      </c>
      <c r="M124" s="13">
        <f t="shared" si="44"/>
        <v>0.12108249955045969</v>
      </c>
      <c r="N124" s="23">
        <f t="shared" si="45"/>
        <v>3.8373031530627845E-3</v>
      </c>
      <c r="O124" s="23">
        <f t="shared" si="46"/>
        <v>2.2046829529077216E-2</v>
      </c>
      <c r="P124" s="24">
        <f t="shared" si="47"/>
        <v>1536.7435605759313</v>
      </c>
      <c r="Q124" s="24">
        <f t="shared" si="48"/>
        <v>33.880323309924705</v>
      </c>
      <c r="R124" s="10">
        <v>1536.66</v>
      </c>
      <c r="S124" s="10">
        <v>1536.66</v>
      </c>
      <c r="T124" s="10">
        <v>2</v>
      </c>
      <c r="U124" s="19">
        <v>50000</v>
      </c>
      <c r="V124" s="19">
        <v>60094.66</v>
      </c>
    </row>
    <row r="125" spans="1:24" ht="15" customHeight="1">
      <c r="A125" s="94">
        <v>109</v>
      </c>
      <c r="B125" s="21" t="s">
        <v>152</v>
      </c>
      <c r="C125" s="68" t="s">
        <v>60</v>
      </c>
      <c r="D125" s="46">
        <f>4138904.36*1535.8176</f>
        <v>6356602160.8047361</v>
      </c>
      <c r="E125" s="10">
        <f>24616.52*1535.8176</f>
        <v>37806484.666752003</v>
      </c>
      <c r="F125" s="10">
        <v>0</v>
      </c>
      <c r="G125" s="10">
        <f>5567.81*1535.8176</f>
        <v>8551140.5914560016</v>
      </c>
      <c r="H125" s="12">
        <f t="shared" si="42"/>
        <v>29255344.075296</v>
      </c>
      <c r="I125" s="10">
        <f>4181304.6*1663.89</f>
        <v>6957230910.894001</v>
      </c>
      <c r="J125" s="13">
        <f t="shared" si="39"/>
        <v>3.8362198855227325E-3</v>
      </c>
      <c r="K125" s="10">
        <f>4198897.94*1535.8176</f>
        <v>6448741356.8557453</v>
      </c>
      <c r="L125" s="13">
        <f t="shared" si="43"/>
        <v>3.7886260419762313E-3</v>
      </c>
      <c r="M125" s="13">
        <f t="shared" si="44"/>
        <v>-7.308792255867716E-2</v>
      </c>
      <c r="N125" s="23">
        <f t="shared" si="45"/>
        <v>1.3260169881623748E-3</v>
      </c>
      <c r="O125" s="23">
        <f t="shared" si="46"/>
        <v>4.5365975244447106E-3</v>
      </c>
      <c r="P125" s="24">
        <f t="shared" si="47"/>
        <v>1937.442556191286</v>
      </c>
      <c r="Q125" s="24">
        <f t="shared" si="48"/>
        <v>8.7893971041712202</v>
      </c>
      <c r="R125" s="10">
        <f>1.26*1535.8176</f>
        <v>1935.1301760000001</v>
      </c>
      <c r="S125" s="10">
        <f>1.26*1535.8176</f>
        <v>1935.1301760000001</v>
      </c>
      <c r="T125" s="10">
        <v>224</v>
      </c>
      <c r="U125" s="19">
        <v>3329629.61</v>
      </c>
      <c r="V125" s="19">
        <v>3328481.32</v>
      </c>
    </row>
    <row r="126" spans="1:24" ht="15" customHeight="1">
      <c r="A126" s="94">
        <v>110</v>
      </c>
      <c r="B126" s="21" t="s">
        <v>278</v>
      </c>
      <c r="C126" s="68" t="s">
        <v>36</v>
      </c>
      <c r="D126" s="46">
        <f>50031464.5*1535.8176</f>
        <v>76839203732.875198</v>
      </c>
      <c r="E126" s="10">
        <f>244533.01*1535.8176</f>
        <v>375558100.53897601</v>
      </c>
      <c r="F126" s="10">
        <v>0</v>
      </c>
      <c r="G126" s="10">
        <f>63307.9*1535.8176</f>
        <v>97229387.039040014</v>
      </c>
      <c r="H126" s="12">
        <f>(E126+F126)-G126</f>
        <v>278328713.49993598</v>
      </c>
      <c r="I126" s="10">
        <f>48715945*1663.89</f>
        <v>81057973726.050003</v>
      </c>
      <c r="J126" s="13">
        <f>(I126/$I$135)</f>
        <v>4.4695398883647867E-2</v>
      </c>
      <c r="K126" s="10">
        <f>49620612*1535.8176</f>
        <v>76208209232.371201</v>
      </c>
      <c r="L126" s="13">
        <f>(K126/$K$135)</f>
        <v>4.4772210596287616E-2</v>
      </c>
      <c r="M126" s="13">
        <f>((K126-I126)/I126)</f>
        <v>-5.983081331479434E-2</v>
      </c>
      <c r="N126" s="23">
        <f>(G126/K126)</f>
        <v>1.2758387582966532E-3</v>
      </c>
      <c r="O126" s="23">
        <f>H126/K126</f>
        <v>3.6522143257725235E-3</v>
      </c>
      <c r="P126" s="24">
        <f>K126/V126</f>
        <v>153581.76000000001</v>
      </c>
      <c r="Q126" s="24">
        <f>H126/V126</f>
        <v>560.91350404935747</v>
      </c>
      <c r="R126" s="10">
        <f>100*1535.8176</f>
        <v>153581.76000000001</v>
      </c>
      <c r="S126" s="10">
        <f>100*1535.8176</f>
        <v>153581.76000000001</v>
      </c>
      <c r="T126" s="10">
        <v>1835</v>
      </c>
      <c r="U126" s="66">
        <v>487159.45</v>
      </c>
      <c r="V126" s="66">
        <v>496206.12</v>
      </c>
    </row>
    <row r="127" spans="1:24" ht="15" customHeight="1">
      <c r="A127" s="94">
        <v>111</v>
      </c>
      <c r="B127" s="64" t="s">
        <v>238</v>
      </c>
      <c r="C127" s="67" t="s">
        <v>239</v>
      </c>
      <c r="D127" s="46">
        <f>1072402.4*1535.8176</f>
        <v>1647014480.20224</v>
      </c>
      <c r="E127" s="10">
        <f>3219.32*1535.8176</f>
        <v>4944288.3160320008</v>
      </c>
      <c r="F127" s="10">
        <v>0</v>
      </c>
      <c r="G127" s="10">
        <f>2169.49*1535.8176</f>
        <v>3331940.925024</v>
      </c>
      <c r="H127" s="12">
        <f t="shared" si="42"/>
        <v>1612347.3910080008</v>
      </c>
      <c r="I127" s="10">
        <f>1034310.59*1663.89</f>
        <v>1720979047.5951002</v>
      </c>
      <c r="J127" s="13">
        <f t="shared" si="39"/>
        <v>9.4894852988341234E-4</v>
      </c>
      <c r="K127" s="10">
        <f>1042661.25*1535.8176</f>
        <v>1601337498.5880001</v>
      </c>
      <c r="L127" s="13">
        <f t="shared" si="43"/>
        <v>9.4078342011558614E-4</v>
      </c>
      <c r="M127" s="13">
        <f t="shared" si="44"/>
        <v>-6.9519468685157709E-2</v>
      </c>
      <c r="N127" s="23">
        <f t="shared" si="45"/>
        <v>2.0807237249873818E-3</v>
      </c>
      <c r="O127" s="23">
        <f t="shared" si="46"/>
        <v>1.0068754353343432E-3</v>
      </c>
      <c r="P127" s="24">
        <f t="shared" si="47"/>
        <v>1682.0278213344473</v>
      </c>
      <c r="Q127" s="24">
        <f t="shared" si="48"/>
        <v>1.6935924948505985</v>
      </c>
      <c r="R127" s="10">
        <f>1.0952*1535.8176</f>
        <v>1682.0274355199999</v>
      </c>
      <c r="S127" s="10">
        <f>1.1264*1535.8176</f>
        <v>1729.9449446400001</v>
      </c>
      <c r="T127" s="10">
        <v>36</v>
      </c>
      <c r="U127" s="19">
        <v>948310.39</v>
      </c>
      <c r="V127" s="19">
        <v>952027.95</v>
      </c>
    </row>
    <row r="128" spans="1:24" ht="15" customHeight="1">
      <c r="A128" s="94">
        <v>112</v>
      </c>
      <c r="B128" s="64" t="s">
        <v>240</v>
      </c>
      <c r="C128" s="67" t="s">
        <v>40</v>
      </c>
      <c r="D128" s="46">
        <f>1877321.07*1535.8176</f>
        <v>2883222740.1568322</v>
      </c>
      <c r="E128" s="10">
        <f>20079.13*1535.8176</f>
        <v>30837881.246688005</v>
      </c>
      <c r="F128" s="10">
        <v>0</v>
      </c>
      <c r="G128" s="10">
        <f>4452.14*1535.8176</f>
        <v>6837674.9696640009</v>
      </c>
      <c r="H128" s="12">
        <f t="shared" si="42"/>
        <v>24000206.277024005</v>
      </c>
      <c r="I128" s="10">
        <f>2252623.93*1663.89</f>
        <v>3748118430.8877006</v>
      </c>
      <c r="J128" s="13">
        <f t="shared" si="39"/>
        <v>2.0667139903824197E-3</v>
      </c>
      <c r="K128" s="10">
        <f>2655695.85*1535.8176</f>
        <v>4078664426.6769605</v>
      </c>
      <c r="L128" s="13">
        <f t="shared" si="43"/>
        <v>2.3962093388910049E-3</v>
      </c>
      <c r="M128" s="13">
        <f t="shared" si="44"/>
        <v>8.818984828901838E-2</v>
      </c>
      <c r="N128" s="23">
        <f t="shared" si="45"/>
        <v>1.676449507574446E-3</v>
      </c>
      <c r="O128" s="23">
        <f t="shared" si="46"/>
        <v>5.8843297134346167E-3</v>
      </c>
      <c r="P128" s="24">
        <f t="shared" si="47"/>
        <v>16455.052876048401</v>
      </c>
      <c r="Q128" s="24">
        <f t="shared" si="48"/>
        <v>96.826956574669367</v>
      </c>
      <c r="R128" s="10">
        <f>10.63*1535.8176</f>
        <v>16325.741088000002</v>
      </c>
      <c r="S128" s="10">
        <f>10.63*1535.8176</f>
        <v>16325.741088000002</v>
      </c>
      <c r="T128" s="10">
        <v>87</v>
      </c>
      <c r="U128" s="19">
        <v>213237.79</v>
      </c>
      <c r="V128" s="19">
        <v>247866.99</v>
      </c>
    </row>
    <row r="129" spans="1:22">
      <c r="A129" s="94">
        <v>113</v>
      </c>
      <c r="B129" s="68" t="s">
        <v>153</v>
      </c>
      <c r="C129" s="68" t="s">
        <v>44</v>
      </c>
      <c r="D129" s="46">
        <f>15760796.28*1535.8176</f>
        <v>24205708316.838528</v>
      </c>
      <c r="E129" s="10">
        <f>107493.08*1535.8176</f>
        <v>165089764.14220801</v>
      </c>
      <c r="F129" s="10">
        <f>247834.55*1535.8176</f>
        <v>380628663.77807999</v>
      </c>
      <c r="G129" s="10">
        <f>26717.23*1535.8176</f>
        <v>41032792.057248004</v>
      </c>
      <c r="H129" s="12">
        <f t="shared" si="42"/>
        <v>504685635.86303997</v>
      </c>
      <c r="I129" s="10">
        <f>15222805.96*1663.89</f>
        <v>25329074608.784405</v>
      </c>
      <c r="J129" s="13">
        <f t="shared" si="39"/>
        <v>1.3966461792141614E-2</v>
      </c>
      <c r="K129" s="10">
        <f>15691823.99*1535.8176</f>
        <v>24099779459.944225</v>
      </c>
      <c r="L129" s="13">
        <f t="shared" si="43"/>
        <v>1.4158584910644759E-2</v>
      </c>
      <c r="M129" s="13">
        <f t="shared" si="44"/>
        <v>-4.8532967264972492E-2</v>
      </c>
      <c r="N129" s="23">
        <f t="shared" si="45"/>
        <v>1.7026210603067057E-3</v>
      </c>
      <c r="O129" s="23">
        <f t="shared" si="46"/>
        <v>2.0941504327949063E-2</v>
      </c>
      <c r="P129" s="24">
        <f t="shared" si="47"/>
        <v>1649.3936923832237</v>
      </c>
      <c r="Q129" s="24">
        <f t="shared" si="48"/>
        <v>34.540785147535168</v>
      </c>
      <c r="R129" s="10">
        <f>1.07*1535.8176</f>
        <v>1643.3248320000002</v>
      </c>
      <c r="S129" s="10">
        <f>1.07*1535.8176</f>
        <v>1643.3248320000002</v>
      </c>
      <c r="T129" s="10">
        <v>482</v>
      </c>
      <c r="U129" s="19">
        <v>14307365</v>
      </c>
      <c r="V129" s="19">
        <v>14611296</v>
      </c>
    </row>
    <row r="130" spans="1:22">
      <c r="A130" s="94">
        <v>114</v>
      </c>
      <c r="B130" s="21" t="s">
        <v>154</v>
      </c>
      <c r="C130" s="68" t="s">
        <v>85</v>
      </c>
      <c r="D130" s="46">
        <f>345618.5*1535.8176</f>
        <v>530806975.18560004</v>
      </c>
      <c r="E130" s="10">
        <f>2141.95*1535.8176</f>
        <v>3289644.50832</v>
      </c>
      <c r="F130" s="10">
        <f>6843.03*1535.8176</f>
        <v>10509645.911328001</v>
      </c>
      <c r="G130" s="10">
        <f>117.95*1535.8176</f>
        <v>181149.68592000002</v>
      </c>
      <c r="H130" s="12">
        <f t="shared" si="42"/>
        <v>13618140.733728001</v>
      </c>
      <c r="I130" s="10">
        <f>334287.79*1663.89</f>
        <v>556218110.90310001</v>
      </c>
      <c r="J130" s="13">
        <f t="shared" si="39"/>
        <v>3.0669888710940768E-4</v>
      </c>
      <c r="K130" s="10">
        <f>337269.47*1535.8176</f>
        <v>517984387.96867198</v>
      </c>
      <c r="L130" s="13">
        <f t="shared" si="43"/>
        <v>3.0431506444415291E-4</v>
      </c>
      <c r="M130" s="13">
        <f t="shared" si="44"/>
        <v>-6.8738723506054297E-2</v>
      </c>
      <c r="N130" s="23">
        <f t="shared" si="45"/>
        <v>3.4972035862006727E-4</v>
      </c>
      <c r="O130" s="23">
        <f t="shared" si="46"/>
        <v>2.6290639351376811E-2</v>
      </c>
      <c r="P130" s="24">
        <f t="shared" si="47"/>
        <v>1705.0570222772478</v>
      </c>
      <c r="Q130" s="24">
        <f t="shared" si="48"/>
        <v>44.827039246223585</v>
      </c>
      <c r="R130" s="10">
        <f>1.1102*1535.8176</f>
        <v>1705.0646995200002</v>
      </c>
      <c r="S130" s="10">
        <f>$R$130</f>
        <v>1705.0646995200002</v>
      </c>
      <c r="T130" s="10">
        <v>3</v>
      </c>
      <c r="U130" s="19">
        <v>303793</v>
      </c>
      <c r="V130" s="19">
        <v>303793</v>
      </c>
    </row>
    <row r="131" spans="1:22" s="4" customFormat="1">
      <c r="A131" s="94">
        <v>115</v>
      </c>
      <c r="B131" s="21" t="s">
        <v>155</v>
      </c>
      <c r="C131" s="21" t="s">
        <v>46</v>
      </c>
      <c r="D131" s="46">
        <f>624652070.9*1535.8176</f>
        <v>959351644364.66785</v>
      </c>
      <c r="E131" s="10">
        <f>4719871.3*1535.8176</f>
        <v>7248861412.2748804</v>
      </c>
      <c r="F131" s="10">
        <v>0</v>
      </c>
      <c r="G131" s="10">
        <f>1078136.91*1535.8176</f>
        <v>1655821641.587616</v>
      </c>
      <c r="H131" s="12">
        <f t="shared" si="42"/>
        <v>5593039770.6872644</v>
      </c>
      <c r="I131" s="10">
        <f>642219567.8*1663.89</f>
        <v>1068582716666.7419</v>
      </c>
      <c r="J131" s="13">
        <f t="shared" si="39"/>
        <v>0.58921693407989795</v>
      </c>
      <c r="K131" s="10">
        <f>627139018.95*1535.8176</f>
        <v>963171142950.14368</v>
      </c>
      <c r="L131" s="13">
        <f t="shared" si="43"/>
        <v>0.56586162680900864</v>
      </c>
      <c r="M131" s="13">
        <f t="shared" si="44"/>
        <v>-9.8646152583687058E-2</v>
      </c>
      <c r="N131" s="23">
        <f t="shared" si="45"/>
        <v>1.7191354347638774E-3</v>
      </c>
      <c r="O131" s="23">
        <f t="shared" si="46"/>
        <v>5.8069013088951887E-3</v>
      </c>
      <c r="P131" s="24">
        <f t="shared" si="47"/>
        <v>2418.2975071103715</v>
      </c>
      <c r="Q131" s="24">
        <f t="shared" si="48"/>
        <v>14.042814959337187</v>
      </c>
      <c r="R131" s="10">
        <f>1.5746*1535.8176</f>
        <v>2418.29839296</v>
      </c>
      <c r="S131" s="10">
        <f>1.5746*1535.8176</f>
        <v>2418.29839296</v>
      </c>
      <c r="T131" s="10">
        <v>9343</v>
      </c>
      <c r="U131" s="19">
        <v>410210869.49000001</v>
      </c>
      <c r="V131" s="19">
        <v>398284801.64999998</v>
      </c>
    </row>
    <row r="132" spans="1:22">
      <c r="A132" s="94">
        <v>116</v>
      </c>
      <c r="B132" s="21" t="s">
        <v>156</v>
      </c>
      <c r="C132" s="21" t="s">
        <v>50</v>
      </c>
      <c r="D132" s="46">
        <f>51422570*1535.8176</f>
        <v>78975688043.23201</v>
      </c>
      <c r="E132" s="10">
        <f>685457*1535.8176</f>
        <v>1052736924.6432</v>
      </c>
      <c r="F132" s="10">
        <v>0</v>
      </c>
      <c r="G132" s="10">
        <f>170375*1535.8176</f>
        <v>261664923.60000002</v>
      </c>
      <c r="H132" s="12">
        <f t="shared" si="42"/>
        <v>791072001.04320002</v>
      </c>
      <c r="I132" s="10">
        <f>73764453*1663.89</f>
        <v>122735935702.17001</v>
      </c>
      <c r="J132" s="13">
        <f t="shared" si="39"/>
        <v>6.7676643658849192E-2</v>
      </c>
      <c r="K132" s="10">
        <f>99053708*1535.8176</f>
        <v>152128428091.6608</v>
      </c>
      <c r="L132" s="13">
        <f t="shared" si="43"/>
        <v>8.9375227272875626E-2</v>
      </c>
      <c r="M132" s="13">
        <f t="shared" si="44"/>
        <v>0.23947747838753891</v>
      </c>
      <c r="N132" s="23">
        <f t="shared" si="45"/>
        <v>1.7200264729110395E-3</v>
      </c>
      <c r="O132" s="23">
        <f t="shared" si="46"/>
        <v>5.2000274436975139E-3</v>
      </c>
      <c r="P132" s="24">
        <f t="shared" si="47"/>
        <v>1760.0235154859929</v>
      </c>
      <c r="Q132" s="24">
        <f t="shared" si="48"/>
        <v>9.1521705820801404</v>
      </c>
      <c r="R132" s="10">
        <f>151*1535.8176</f>
        <v>231908.45760000002</v>
      </c>
      <c r="S132" s="10">
        <f>151*1535.8176</f>
        <v>231908.45760000002</v>
      </c>
      <c r="T132" s="10">
        <v>303</v>
      </c>
      <c r="U132" s="19">
        <v>65070621</v>
      </c>
      <c r="V132" s="19">
        <v>86435452</v>
      </c>
    </row>
    <row r="133" spans="1:22" s="4" customFormat="1">
      <c r="A133" s="94">
        <v>117</v>
      </c>
      <c r="B133" s="21" t="s">
        <v>237</v>
      </c>
      <c r="C133" s="68" t="s">
        <v>217</v>
      </c>
      <c r="D133" s="46">
        <f>441020.74*1535.8176</f>
        <v>677327414.45702398</v>
      </c>
      <c r="E133" s="10">
        <f>2940.62*1535.8176</f>
        <v>4516255.9509119997</v>
      </c>
      <c r="F133" s="10">
        <v>0</v>
      </c>
      <c r="G133" s="10">
        <f>927.85*1535.8176</f>
        <v>1425008.3601600002</v>
      </c>
      <c r="H133" s="12">
        <f t="shared" si="42"/>
        <v>3091247.5907519995</v>
      </c>
      <c r="I133" s="10">
        <f>410638.93*1663.89</f>
        <v>683258009.23769999</v>
      </c>
      <c r="J133" s="13">
        <f t="shared" si="39"/>
        <v>3.7674873747197871E-4</v>
      </c>
      <c r="K133" s="10">
        <f>457781.08 *1535.8176</f>
        <v>703068239.61100805</v>
      </c>
      <c r="L133" s="13">
        <f t="shared" si="43"/>
        <v>4.1305155447812677E-4</v>
      </c>
      <c r="M133" s="13">
        <f t="shared" si="44"/>
        <v>2.8993777029280667E-2</v>
      </c>
      <c r="N133" s="23">
        <f t="shared" si="45"/>
        <v>2.0268421753035317E-3</v>
      </c>
      <c r="O133" s="23">
        <f t="shared" si="46"/>
        <v>4.3967959532097735E-3</v>
      </c>
      <c r="P133" s="24">
        <f t="shared" si="47"/>
        <v>34201.997903859788</v>
      </c>
      <c r="Q133" s="24">
        <f t="shared" si="48"/>
        <v>150.37920597537985</v>
      </c>
      <c r="R133" s="10">
        <f>102.99*1535.8176</f>
        <v>158173.854624</v>
      </c>
      <c r="S133" s="10">
        <f>102.99*1535.8176</f>
        <v>158173.854624</v>
      </c>
      <c r="T133" s="10">
        <v>21</v>
      </c>
      <c r="U133" s="19">
        <v>25000</v>
      </c>
      <c r="V133" s="19">
        <v>20556.349999999999</v>
      </c>
    </row>
    <row r="134" spans="1:22">
      <c r="B134" s="3"/>
      <c r="C134" s="3"/>
    </row>
    <row r="135" spans="1:22" ht="15" customHeight="1">
      <c r="A135" s="98" t="s">
        <v>51</v>
      </c>
      <c r="B135" s="98"/>
      <c r="C135" s="98"/>
      <c r="D135" s="98"/>
      <c r="E135" s="98"/>
      <c r="F135" s="98"/>
      <c r="G135" s="98"/>
      <c r="H135" s="98"/>
      <c r="I135" s="27">
        <f>SUM(I104:I133)</f>
        <v>1813564164335.1714</v>
      </c>
      <c r="J135" s="13">
        <f>(I135/$I$204)</f>
        <v>0.47240474426692453</v>
      </c>
      <c r="K135" s="39">
        <f>SUM(K104:K133)</f>
        <v>1702131929994.3203</v>
      </c>
      <c r="L135" s="13">
        <f>(K135/$K$204)</f>
        <v>0.44403513888559237</v>
      </c>
      <c r="M135" s="13">
        <f t="shared" si="44"/>
        <v>-6.1443778241891241E-2</v>
      </c>
      <c r="N135" s="23"/>
      <c r="O135" s="23"/>
      <c r="P135" s="24"/>
      <c r="Q135" s="24"/>
      <c r="R135" s="10"/>
      <c r="S135" s="10"/>
      <c r="T135" s="92">
        <f>SUM(T104:T133)</f>
        <v>16864</v>
      </c>
      <c r="U135" s="12"/>
      <c r="V135" s="10"/>
    </row>
    <row r="136" spans="1:22" ht="6.9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</row>
    <row r="137" spans="1:22">
      <c r="A137" s="95" t="s">
        <v>157</v>
      </c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</row>
    <row r="138" spans="1:22" s="4" customFormat="1">
      <c r="A138" s="77">
        <v>118</v>
      </c>
      <c r="B138" s="78" t="s">
        <v>233</v>
      </c>
      <c r="C138" s="78" t="s">
        <v>234</v>
      </c>
      <c r="D138" s="28">
        <v>2114331813.8199999</v>
      </c>
      <c r="E138" s="28">
        <v>42839885.700000003</v>
      </c>
      <c r="F138" s="28">
        <v>0</v>
      </c>
      <c r="G138" s="28">
        <v>3991113.36</v>
      </c>
      <c r="H138" s="12">
        <f>(E138+F138)-G138</f>
        <v>38848772.340000004</v>
      </c>
      <c r="I138" s="29">
        <v>2498280014.9699998</v>
      </c>
      <c r="J138" s="13">
        <f>(I138/$I$143)</f>
        <v>2.5050098737124028E-2</v>
      </c>
      <c r="K138" s="29">
        <v>2236894951.1999998</v>
      </c>
      <c r="L138" s="13">
        <f>(K138/$K$143)</f>
        <v>2.2421402285638516E-2</v>
      </c>
      <c r="M138" s="13">
        <f t="shared" ref="M138:M143" si="49">((K138-I138)/I138)</f>
        <v>-0.10462600757471087</v>
      </c>
      <c r="N138" s="23">
        <f>(G138/K138)</f>
        <v>1.78422029065734E-3</v>
      </c>
      <c r="O138" s="23">
        <f>H138/K138</f>
        <v>1.7367276151774261E-2</v>
      </c>
      <c r="P138" s="24">
        <f>K138/V138</f>
        <v>105.41446518378886</v>
      </c>
      <c r="Q138" s="24">
        <f>H138/V138</f>
        <v>1.8307621272384544</v>
      </c>
      <c r="R138" s="28">
        <v>105.41</v>
      </c>
      <c r="S138" s="28">
        <v>105.41</v>
      </c>
      <c r="T138" s="30">
        <v>7</v>
      </c>
      <c r="U138" s="28">
        <v>21220000</v>
      </c>
      <c r="V138" s="28">
        <v>21220000</v>
      </c>
    </row>
    <row r="139" spans="1:22" s="4" customFormat="1">
      <c r="A139" s="88">
        <v>119</v>
      </c>
      <c r="B139" s="21" t="s">
        <v>158</v>
      </c>
      <c r="C139" s="21" t="s">
        <v>44</v>
      </c>
      <c r="D139" s="28">
        <v>36519422273</v>
      </c>
      <c r="E139" s="28">
        <v>243098350</v>
      </c>
      <c r="F139" s="28">
        <v>0</v>
      </c>
      <c r="G139" s="28">
        <v>61549657</v>
      </c>
      <c r="H139" s="12">
        <f>(E139+F139)-G139</f>
        <v>181548693</v>
      </c>
      <c r="I139" s="29">
        <v>54187387301</v>
      </c>
      <c r="J139" s="13">
        <f t="shared" ref="J139:J142" si="50">(I139/$I$143)</f>
        <v>0.54333357112218295</v>
      </c>
      <c r="K139" s="29">
        <v>53830606967</v>
      </c>
      <c r="L139" s="13">
        <f>(K139/$K$143)</f>
        <v>0.53956833933561366</v>
      </c>
      <c r="M139" s="13">
        <f t="shared" si="49"/>
        <v>-6.5841951747582375E-3</v>
      </c>
      <c r="N139" s="23">
        <f>(G139/K139)</f>
        <v>1.1433951884980982E-3</v>
      </c>
      <c r="O139" s="23">
        <f>H139/K139</f>
        <v>3.3725923453045131E-3</v>
      </c>
      <c r="P139" s="24">
        <f>K139/V139</f>
        <v>101.44315434525335</v>
      </c>
      <c r="Q139" s="24">
        <f>H139/V139</f>
        <v>0.34212640582834575</v>
      </c>
      <c r="R139" s="28">
        <v>101.44</v>
      </c>
      <c r="S139" s="28">
        <v>101.44</v>
      </c>
      <c r="T139" s="30">
        <v>647</v>
      </c>
      <c r="U139" s="28">
        <v>530648000</v>
      </c>
      <c r="V139" s="28">
        <v>530648000</v>
      </c>
    </row>
    <row r="140" spans="1:22" s="4" customFormat="1">
      <c r="A140" s="88">
        <v>120</v>
      </c>
      <c r="B140" s="21" t="s">
        <v>159</v>
      </c>
      <c r="C140" s="21" t="s">
        <v>124</v>
      </c>
      <c r="D140" s="28">
        <v>3020374552.1399999</v>
      </c>
      <c r="E140" s="28">
        <v>35120820.350000001</v>
      </c>
      <c r="F140" s="28">
        <v>0</v>
      </c>
      <c r="G140" s="28">
        <v>7232900.8499999996</v>
      </c>
      <c r="H140" s="12">
        <f>(E140+F140)-G140</f>
        <v>27887919.5</v>
      </c>
      <c r="I140" s="29">
        <v>2755992663.75</v>
      </c>
      <c r="J140" s="13">
        <f t="shared" si="50"/>
        <v>2.7634167480043662E-2</v>
      </c>
      <c r="K140" s="29">
        <v>2783880583.25</v>
      </c>
      <c r="L140" s="13">
        <f>(K140/$K$143)</f>
        <v>2.7904084829169711E-2</v>
      </c>
      <c r="M140" s="13">
        <f t="shared" si="49"/>
        <v>1.0119010789402361E-2</v>
      </c>
      <c r="N140" s="23">
        <f>(G140/K140)</f>
        <v>2.5981361749202823E-3</v>
      </c>
      <c r="O140" s="23">
        <f>H140/K140</f>
        <v>1.0017642160297933E-2</v>
      </c>
      <c r="P140" s="24">
        <f>K140/V140</f>
        <v>139.19402916249999</v>
      </c>
      <c r="Q140" s="24">
        <f>H140/V140</f>
        <v>1.3943959749999999</v>
      </c>
      <c r="R140" s="28">
        <v>179.45</v>
      </c>
      <c r="S140" s="28">
        <v>179.45</v>
      </c>
      <c r="T140" s="30">
        <v>3040</v>
      </c>
      <c r="U140" s="28">
        <v>20000000</v>
      </c>
      <c r="V140" s="28">
        <v>20000000</v>
      </c>
    </row>
    <row r="141" spans="1:22" s="4" customFormat="1">
      <c r="A141" s="88">
        <v>121</v>
      </c>
      <c r="B141" s="21" t="s">
        <v>160</v>
      </c>
      <c r="C141" s="21" t="s">
        <v>124</v>
      </c>
      <c r="D141" s="28">
        <v>12118918371.42</v>
      </c>
      <c r="E141" s="28">
        <v>392657073.31999999</v>
      </c>
      <c r="F141" s="28">
        <v>0</v>
      </c>
      <c r="G141" s="28">
        <v>16920694.399999999</v>
      </c>
      <c r="H141" s="12">
        <f>(E141+F141)-G141</f>
        <v>375736378.92000002</v>
      </c>
      <c r="I141" s="29">
        <v>10312629343</v>
      </c>
      <c r="J141" s="13">
        <f t="shared" si="50"/>
        <v>0.10340409471058216</v>
      </c>
      <c r="K141" s="29">
        <v>10690875264</v>
      </c>
      <c r="L141" s="13">
        <f>(K141/$K$143)</f>
        <v>0.10715944213255726</v>
      </c>
      <c r="M141" s="13">
        <f t="shared" si="49"/>
        <v>3.6677932311874037E-2</v>
      </c>
      <c r="N141" s="23">
        <f>(G141/K141)</f>
        <v>1.582723021470284E-3</v>
      </c>
      <c r="O141" s="23">
        <f>H141/K141</f>
        <v>3.5145520796153969E-2</v>
      </c>
      <c r="P141" s="24">
        <f>K141/V141</f>
        <v>56.827948743962232</v>
      </c>
      <c r="Q141" s="24">
        <f>H141/V141</f>
        <v>1.9972478543836962</v>
      </c>
      <c r="R141" s="28">
        <v>36.6</v>
      </c>
      <c r="S141" s="28">
        <v>36.6</v>
      </c>
      <c r="T141" s="30">
        <v>5264</v>
      </c>
      <c r="U141" s="28">
        <v>188127066</v>
      </c>
      <c r="V141" s="28">
        <v>188127066</v>
      </c>
    </row>
    <row r="142" spans="1:22" s="4" customFormat="1" ht="15.9" customHeight="1">
      <c r="A142" s="88">
        <v>122</v>
      </c>
      <c r="B142" s="21" t="s">
        <v>161</v>
      </c>
      <c r="C142" s="68" t="s">
        <v>162</v>
      </c>
      <c r="D142" s="28">
        <v>30214367863.720001</v>
      </c>
      <c r="E142" s="28">
        <v>212121495.58000001</v>
      </c>
      <c r="F142" s="28">
        <v>0</v>
      </c>
      <c r="G142" s="28">
        <v>42165498.460000001</v>
      </c>
      <c r="H142" s="12">
        <f>(E142+F142)-G142</f>
        <v>169955997.12</v>
      </c>
      <c r="I142" s="29">
        <v>29977054700.59</v>
      </c>
      <c r="J142" s="13">
        <f t="shared" si="50"/>
        <v>0.3005780679500672</v>
      </c>
      <c r="K142" s="29">
        <v>30223801587.259998</v>
      </c>
      <c r="L142" s="13">
        <f>(K142/$K$143)</f>
        <v>0.30294673141702089</v>
      </c>
      <c r="M142" s="13">
        <f t="shared" si="49"/>
        <v>8.2311917943406823E-3</v>
      </c>
      <c r="N142" s="23">
        <f>(G142/K142)</f>
        <v>1.3951090281698281E-3</v>
      </c>
      <c r="O142" s="23">
        <f>H142/K142</f>
        <v>5.6232501602856014E-3</v>
      </c>
      <c r="P142" s="24">
        <f>K142/V142</f>
        <v>11.327117289786507</v>
      </c>
      <c r="Q142" s="24">
        <f>H142/V142</f>
        <v>6.3695214115365786E-2</v>
      </c>
      <c r="R142" s="28">
        <v>11.33</v>
      </c>
      <c r="S142" s="28">
        <v>11.33</v>
      </c>
      <c r="T142" s="30">
        <v>208048</v>
      </c>
      <c r="U142" s="28">
        <v>2668269500</v>
      </c>
      <c r="V142" s="28">
        <v>2668269500</v>
      </c>
    </row>
    <row r="143" spans="1:22" ht="15" customHeight="1">
      <c r="A143" s="98" t="s">
        <v>51</v>
      </c>
      <c r="B143" s="98"/>
      <c r="C143" s="98"/>
      <c r="D143" s="98"/>
      <c r="E143" s="98"/>
      <c r="F143" s="98"/>
      <c r="G143" s="98"/>
      <c r="H143" s="98"/>
      <c r="I143" s="39">
        <f>SUM(I138:I142)</f>
        <v>99731344023.309998</v>
      </c>
      <c r="J143" s="13">
        <f>(I143/$I$204)</f>
        <v>2.5978435720800448E-2</v>
      </c>
      <c r="K143" s="39">
        <f>SUM(K138:K142)</f>
        <v>99766059352.709991</v>
      </c>
      <c r="L143" s="13">
        <f>(K143/$K$204)</f>
        <v>2.6025970866369128E-2</v>
      </c>
      <c r="M143" s="13">
        <f t="shared" si="49"/>
        <v>3.480884544369517E-4</v>
      </c>
      <c r="N143" s="23"/>
      <c r="O143" s="23"/>
      <c r="P143" s="26"/>
      <c r="Q143" s="26"/>
      <c r="R143" s="25"/>
      <c r="S143" s="25"/>
      <c r="T143" s="39">
        <f>SUM(T138:T142)</f>
        <v>217006</v>
      </c>
      <c r="U143" s="10"/>
      <c r="V143" s="10"/>
    </row>
    <row r="144" spans="1:22" ht="8.1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</row>
    <row r="145" spans="1:22">
      <c r="A145" s="95" t="s">
        <v>163</v>
      </c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</row>
    <row r="146" spans="1:22">
      <c r="A146" s="88">
        <v>123</v>
      </c>
      <c r="B146" s="21" t="s">
        <v>164</v>
      </c>
      <c r="C146" s="21" t="s">
        <v>55</v>
      </c>
      <c r="D146" s="32">
        <v>258439016.16999999</v>
      </c>
      <c r="E146" s="32">
        <v>-6718186.2599999998</v>
      </c>
      <c r="F146" s="32">
        <v>7561610.6500000004</v>
      </c>
      <c r="G146" s="10">
        <v>1294798.82</v>
      </c>
      <c r="H146" s="12">
        <f>(E146+F146)-G146</f>
        <v>-451374.42999999947</v>
      </c>
      <c r="I146" s="10">
        <v>251756314.47</v>
      </c>
      <c r="J146" s="13">
        <f>(I146/$I$174)</f>
        <v>4.7141078559492953E-3</v>
      </c>
      <c r="K146" s="10">
        <v>255282927.09</v>
      </c>
      <c r="L146" s="13">
        <f>(K146/$K$174)</f>
        <v>4.6878204576222835E-3</v>
      </c>
      <c r="M146" s="13">
        <f t="shared" ref="M146:M174" si="51">((K146-I146)/I146)</f>
        <v>1.40080403839096E-2</v>
      </c>
      <c r="N146" s="23">
        <f>(G146/K146)</f>
        <v>5.0720149395009038E-3</v>
      </c>
      <c r="O146" s="23">
        <f>H146/K146</f>
        <v>-1.7681340273917629E-3</v>
      </c>
      <c r="P146" s="24">
        <f>K146/V146</f>
        <v>5.7597186415751409</v>
      </c>
      <c r="Q146" s="24">
        <f>H146/V146</f>
        <v>-1.0183954518371667E-2</v>
      </c>
      <c r="R146" s="25">
        <v>5.7140000000000004</v>
      </c>
      <c r="S146" s="25">
        <v>5.798</v>
      </c>
      <c r="T146" s="10">
        <v>11835</v>
      </c>
      <c r="U146" s="10">
        <v>44322117.619999997</v>
      </c>
      <c r="V146" s="10">
        <v>44322117.619999997</v>
      </c>
    </row>
    <row r="147" spans="1:22">
      <c r="A147" s="88">
        <v>124</v>
      </c>
      <c r="B147" s="64" t="s">
        <v>227</v>
      </c>
      <c r="C147" s="64" t="s">
        <v>228</v>
      </c>
      <c r="D147" s="32">
        <v>627790785.88</v>
      </c>
      <c r="E147" s="32">
        <v>1968287.67</v>
      </c>
      <c r="F147" s="32">
        <v>40651313</v>
      </c>
      <c r="G147" s="10">
        <v>1126079.57</v>
      </c>
      <c r="H147" s="12">
        <f t="shared" ref="H147:H173" si="52">(E147+F147)-G147</f>
        <v>41493521.100000001</v>
      </c>
      <c r="I147" s="10">
        <v>591417170.97000003</v>
      </c>
      <c r="J147" s="13">
        <f t="shared" ref="J147:J173" si="53">(I147/$I$174)</f>
        <v>1.1074218089354859E-2</v>
      </c>
      <c r="K147" s="10">
        <v>632220698.87</v>
      </c>
      <c r="L147" s="13">
        <f t="shared" ref="L147:L173" si="54">(K147/$K$174)</f>
        <v>1.1609617453384095E-2</v>
      </c>
      <c r="M147" s="13">
        <f t="shared" si="51"/>
        <v>6.8992802209440346E-2</v>
      </c>
      <c r="N147" s="23">
        <f t="shared" ref="N147:N173" si="55">(G147/K147)</f>
        <v>1.7811494815223529E-3</v>
      </c>
      <c r="O147" s="23">
        <f t="shared" ref="O147:O173" si="56">H147/K147</f>
        <v>6.5631386593579533E-2</v>
      </c>
      <c r="P147" s="24">
        <f t="shared" ref="P147:P173" si="57">K147/V147</f>
        <v>1491.1146881780789</v>
      </c>
      <c r="Q147" s="24">
        <f t="shared" ref="Q147:Q173" si="58">H147/V147</f>
        <v>97.86392455518029</v>
      </c>
      <c r="R147" s="25">
        <v>1533.8679999999999</v>
      </c>
      <c r="S147" s="25">
        <v>1552.4280000000001</v>
      </c>
      <c r="T147" s="10">
        <v>177</v>
      </c>
      <c r="U147" s="10">
        <v>423889</v>
      </c>
      <c r="V147" s="10">
        <v>423992</v>
      </c>
    </row>
    <row r="148" spans="1:22" s="4" customFormat="1">
      <c r="A148" s="91">
        <v>125</v>
      </c>
      <c r="B148" s="21" t="s">
        <v>165</v>
      </c>
      <c r="C148" s="68" t="s">
        <v>58</v>
      </c>
      <c r="D148" s="32">
        <v>5790905211.8999996</v>
      </c>
      <c r="E148" s="32">
        <v>137338148.27000001</v>
      </c>
      <c r="F148" s="32">
        <v>160301273.47</v>
      </c>
      <c r="G148" s="10">
        <v>15365372.16</v>
      </c>
      <c r="H148" s="12">
        <f t="shared" si="52"/>
        <v>282274049.57999998</v>
      </c>
      <c r="I148" s="10">
        <v>6684162302</v>
      </c>
      <c r="J148" s="13">
        <f t="shared" si="53"/>
        <v>0.12516016563331575</v>
      </c>
      <c r="K148" s="10">
        <v>6805056743</v>
      </c>
      <c r="L148" s="13">
        <f t="shared" si="54"/>
        <v>0.12496285818545635</v>
      </c>
      <c r="M148" s="13">
        <f t="shared" si="51"/>
        <v>1.808670040280539E-2</v>
      </c>
      <c r="N148" s="23">
        <f t="shared" si="55"/>
        <v>2.2579344655436623E-3</v>
      </c>
      <c r="O148" s="23">
        <f t="shared" si="56"/>
        <v>4.148004347948462E-2</v>
      </c>
      <c r="P148" s="24">
        <f t="shared" si="57"/>
        <v>800.50534851924215</v>
      </c>
      <c r="Q148" s="24">
        <f t="shared" si="58"/>
        <v>33.20499666213815</v>
      </c>
      <c r="R148" s="25">
        <v>796.51094639999997</v>
      </c>
      <c r="S148" s="25">
        <v>820.47734639999999</v>
      </c>
      <c r="T148" s="10">
        <v>21351</v>
      </c>
      <c r="U148" s="10">
        <v>8483692</v>
      </c>
      <c r="V148" s="10">
        <v>8500951</v>
      </c>
    </row>
    <row r="149" spans="1:22">
      <c r="A149" s="91">
        <v>126</v>
      </c>
      <c r="B149" s="21" t="s">
        <v>166</v>
      </c>
      <c r="C149" s="21" t="s">
        <v>107</v>
      </c>
      <c r="D149" s="32">
        <v>1991698250.9300001</v>
      </c>
      <c r="E149" s="32">
        <v>70519435.760000005</v>
      </c>
      <c r="F149" s="32">
        <v>5011325.6900000004</v>
      </c>
      <c r="G149" s="10">
        <v>3032348.67</v>
      </c>
      <c r="H149" s="12">
        <f t="shared" si="52"/>
        <v>72498412.780000001</v>
      </c>
      <c r="I149" s="10">
        <v>1858213677.03</v>
      </c>
      <c r="J149" s="13">
        <f t="shared" si="53"/>
        <v>3.4794836075356488E-2</v>
      </c>
      <c r="K149" s="10">
        <v>1930490719.8099999</v>
      </c>
      <c r="L149" s="13">
        <f t="shared" si="54"/>
        <v>3.5450055327768862E-2</v>
      </c>
      <c r="M149" s="13">
        <f t="shared" si="51"/>
        <v>3.8895980410348197E-2</v>
      </c>
      <c r="N149" s="23">
        <f t="shared" si="55"/>
        <v>1.5707657327140353E-3</v>
      </c>
      <c r="O149" s="23">
        <f t="shared" si="56"/>
        <v>3.7554395903615291E-2</v>
      </c>
      <c r="P149" s="24">
        <f t="shared" si="57"/>
        <v>4.5956321727732385</v>
      </c>
      <c r="Q149" s="24">
        <f t="shared" si="58"/>
        <v>0.17258619004371797</v>
      </c>
      <c r="R149" s="25">
        <v>4.5650000000000004</v>
      </c>
      <c r="S149" s="25">
        <v>4.6647999999999996</v>
      </c>
      <c r="T149" s="10">
        <v>2742</v>
      </c>
      <c r="U149" s="10">
        <v>420120764.42000002</v>
      </c>
      <c r="V149" s="10">
        <v>420070764.42000002</v>
      </c>
    </row>
    <row r="150" spans="1:22">
      <c r="A150" s="91">
        <v>127</v>
      </c>
      <c r="B150" s="21" t="s">
        <v>167</v>
      </c>
      <c r="C150" s="21" t="s">
        <v>60</v>
      </c>
      <c r="D150" s="32">
        <v>3391345848.23</v>
      </c>
      <c r="E150" s="32">
        <v>73470554.549999997</v>
      </c>
      <c r="F150" s="32">
        <v>-694649963.04999995</v>
      </c>
      <c r="G150" s="10">
        <v>8981643.8900000006</v>
      </c>
      <c r="H150" s="12">
        <f t="shared" si="52"/>
        <v>-630161052.38999999</v>
      </c>
      <c r="I150" s="10">
        <v>3292146526.8699999</v>
      </c>
      <c r="J150" s="13">
        <f t="shared" si="53"/>
        <v>6.1645062758111699E-2</v>
      </c>
      <c r="K150" s="10">
        <v>3407154816.02</v>
      </c>
      <c r="L150" s="13">
        <f t="shared" si="54"/>
        <v>6.256638558204039E-2</v>
      </c>
      <c r="M150" s="13">
        <f t="shared" si="51"/>
        <v>3.4934134374433184E-2</v>
      </c>
      <c r="N150" s="23">
        <f t="shared" si="55"/>
        <v>2.6361126438309984E-3</v>
      </c>
      <c r="O150" s="23">
        <f t="shared" si="56"/>
        <v>-0.18495228025068436</v>
      </c>
      <c r="P150" s="24">
        <f t="shared" si="57"/>
        <v>7641.4691740611024</v>
      </c>
      <c r="Q150" s="24">
        <f t="shared" si="58"/>
        <v>-1413.3071482079147</v>
      </c>
      <c r="R150" s="25">
        <v>7641.47</v>
      </c>
      <c r="S150" s="25">
        <v>7702.12</v>
      </c>
      <c r="T150" s="10">
        <v>937</v>
      </c>
      <c r="U150" s="10">
        <v>442561.97</v>
      </c>
      <c r="V150" s="10">
        <v>445876.93</v>
      </c>
    </row>
    <row r="151" spans="1:22" ht="14.1" customHeight="1">
      <c r="A151" s="91">
        <v>128</v>
      </c>
      <c r="B151" s="21" t="s">
        <v>168</v>
      </c>
      <c r="C151" s="68" t="s">
        <v>62</v>
      </c>
      <c r="D151" s="32">
        <v>717932364.86000001</v>
      </c>
      <c r="E151" s="32">
        <v>13326652</v>
      </c>
      <c r="F151" s="32">
        <v>28295803.300000001</v>
      </c>
      <c r="G151" s="10">
        <v>1666136.93</v>
      </c>
      <c r="H151" s="12">
        <f t="shared" si="52"/>
        <v>39956318.369999997</v>
      </c>
      <c r="I151" s="10">
        <v>770586410.5</v>
      </c>
      <c r="J151" s="13">
        <f t="shared" si="53"/>
        <v>1.4429141366615822E-2</v>
      </c>
      <c r="K151" s="10">
        <v>770502586.97000003</v>
      </c>
      <c r="L151" s="13">
        <f t="shared" si="54"/>
        <v>1.4148920301965419E-2</v>
      </c>
      <c r="M151" s="13">
        <f t="shared" si="51"/>
        <v>-1.0877888431173078E-4</v>
      </c>
      <c r="N151" s="23">
        <f t="shared" si="55"/>
        <v>2.1624027721335501E-3</v>
      </c>
      <c r="O151" s="23">
        <f t="shared" si="56"/>
        <v>5.1857474647980281E-2</v>
      </c>
      <c r="P151" s="24">
        <f t="shared" si="57"/>
        <v>203.34427957118649</v>
      </c>
      <c r="Q151" s="24">
        <f t="shared" si="58"/>
        <v>10.544920822674618</v>
      </c>
      <c r="R151" s="25">
        <v>204.2</v>
      </c>
      <c r="S151" s="25">
        <v>206.01</v>
      </c>
      <c r="T151" s="10">
        <f>663+12+6</f>
        <v>681</v>
      </c>
      <c r="U151" s="10">
        <v>3928586</v>
      </c>
      <c r="V151" s="10">
        <v>3789153</v>
      </c>
    </row>
    <row r="152" spans="1:22" ht="15" customHeight="1">
      <c r="A152" s="91">
        <v>129</v>
      </c>
      <c r="B152" s="21" t="s">
        <v>169</v>
      </c>
      <c r="C152" s="68" t="s">
        <v>64</v>
      </c>
      <c r="D152" s="32">
        <v>248331135.28999999</v>
      </c>
      <c r="E152" s="32">
        <v>1956454.75</v>
      </c>
      <c r="F152" s="32">
        <v>0</v>
      </c>
      <c r="G152" s="10">
        <v>691169.45</v>
      </c>
      <c r="H152" s="12">
        <f t="shared" si="52"/>
        <v>1265285.3</v>
      </c>
      <c r="I152" s="45">
        <v>331444396.5</v>
      </c>
      <c r="J152" s="13">
        <f t="shared" si="53"/>
        <v>6.2062579706901886E-3</v>
      </c>
      <c r="K152" s="10">
        <v>331444396.5</v>
      </c>
      <c r="L152" s="13">
        <f t="shared" si="54"/>
        <v>6.0863914410116283E-3</v>
      </c>
      <c r="M152" s="13">
        <f t="shared" si="51"/>
        <v>0</v>
      </c>
      <c r="N152" s="23">
        <f t="shared" si="55"/>
        <v>2.0853254944076267E-3</v>
      </c>
      <c r="O152" s="23">
        <f t="shared" si="56"/>
        <v>3.8174888861034042E-3</v>
      </c>
      <c r="P152" s="24">
        <f t="shared" si="57"/>
        <v>137.41595449214111</v>
      </c>
      <c r="Q152" s="24">
        <f t="shared" si="58"/>
        <v>0.52458387904703985</v>
      </c>
      <c r="R152" s="10">
        <v>141.68</v>
      </c>
      <c r="S152" s="10">
        <v>142.58000000000001</v>
      </c>
      <c r="T152" s="10">
        <f>549+27+3</f>
        <v>579</v>
      </c>
      <c r="U152" s="10">
        <v>2411979</v>
      </c>
      <c r="V152" s="10">
        <v>2411979</v>
      </c>
    </row>
    <row r="153" spans="1:22" s="4" customFormat="1">
      <c r="A153" s="91">
        <v>130</v>
      </c>
      <c r="B153" s="21" t="s">
        <v>170</v>
      </c>
      <c r="C153" s="68" t="s">
        <v>66</v>
      </c>
      <c r="D153" s="32">
        <v>203350427.43000001</v>
      </c>
      <c r="E153" s="32">
        <v>3299574.2</v>
      </c>
      <c r="F153" s="32">
        <v>6568303.6399999997</v>
      </c>
      <c r="G153" s="10">
        <v>494913.87</v>
      </c>
      <c r="H153" s="12">
        <f t="shared" si="52"/>
        <v>9372963.9700000007</v>
      </c>
      <c r="I153" s="10">
        <v>197367835.91999999</v>
      </c>
      <c r="J153" s="13">
        <f t="shared" si="53"/>
        <v>3.6956898887755768E-3</v>
      </c>
      <c r="K153" s="10">
        <v>207189340.12</v>
      </c>
      <c r="L153" s="13">
        <f t="shared" si="54"/>
        <v>3.8046666037849738E-3</v>
      </c>
      <c r="M153" s="13">
        <f t="shared" si="51"/>
        <v>4.9762435475965865E-2</v>
      </c>
      <c r="N153" s="23">
        <f t="shared" si="55"/>
        <v>2.3887033459991502E-3</v>
      </c>
      <c r="O153" s="23">
        <f t="shared" si="56"/>
        <v>4.5238640002286619E-2</v>
      </c>
      <c r="P153" s="24">
        <f t="shared" si="57"/>
        <v>1.6597217608008625</v>
      </c>
      <c r="Q153" s="24">
        <f t="shared" si="58"/>
        <v>7.508355524083149E-2</v>
      </c>
      <c r="R153" s="25">
        <v>1.6517999999999999</v>
      </c>
      <c r="S153" s="25">
        <v>1.667</v>
      </c>
      <c r="T153" s="10">
        <v>255</v>
      </c>
      <c r="U153" s="10">
        <v>124772838.8</v>
      </c>
      <c r="V153" s="10">
        <v>124833779.38</v>
      </c>
    </row>
    <row r="154" spans="1:22">
      <c r="A154" s="91">
        <v>131</v>
      </c>
      <c r="B154" s="64" t="s">
        <v>229</v>
      </c>
      <c r="C154" s="67" t="s">
        <v>48</v>
      </c>
      <c r="D154" s="32">
        <v>128243887.68000001</v>
      </c>
      <c r="E154" s="32">
        <v>399658.76</v>
      </c>
      <c r="F154" s="32">
        <v>0</v>
      </c>
      <c r="G154" s="10">
        <v>299279.14</v>
      </c>
      <c r="H154" s="12">
        <f t="shared" si="52"/>
        <v>100379.62</v>
      </c>
      <c r="I154" s="10">
        <v>131272536.75</v>
      </c>
      <c r="J154" s="13">
        <f t="shared" si="53"/>
        <v>2.458063060171265E-3</v>
      </c>
      <c r="K154" s="10">
        <v>135258178.37</v>
      </c>
      <c r="L154" s="13">
        <f t="shared" si="54"/>
        <v>2.4837777553375902E-3</v>
      </c>
      <c r="M154" s="13">
        <f t="shared" si="51"/>
        <v>3.0361579951718308E-2</v>
      </c>
      <c r="N154" s="23">
        <f t="shared" si="55"/>
        <v>2.2126509731730908E-3</v>
      </c>
      <c r="O154" s="23">
        <f t="shared" si="56"/>
        <v>7.4213346068738718E-4</v>
      </c>
      <c r="P154" s="24">
        <f t="shared" si="57"/>
        <v>160.03114907592126</v>
      </c>
      <c r="Q154" s="24">
        <f t="shared" si="58"/>
        <v>0.11876447048149261</v>
      </c>
      <c r="R154" s="25">
        <v>158.8503</v>
      </c>
      <c r="S154" s="25">
        <v>158.2295</v>
      </c>
      <c r="T154" s="10">
        <v>123</v>
      </c>
      <c r="U154" s="10">
        <v>846553.7</v>
      </c>
      <c r="V154" s="10">
        <v>845199.07</v>
      </c>
    </row>
    <row r="155" spans="1:22">
      <c r="A155" s="91">
        <v>132</v>
      </c>
      <c r="B155" s="64" t="s">
        <v>171</v>
      </c>
      <c r="C155" s="67" t="s">
        <v>172</v>
      </c>
      <c r="D155" s="32">
        <v>161768801.68000001</v>
      </c>
      <c r="E155" s="32">
        <v>2282282.2200000002</v>
      </c>
      <c r="F155" s="32">
        <v>0</v>
      </c>
      <c r="G155" s="10">
        <v>644021.6</v>
      </c>
      <c r="H155" s="12">
        <f t="shared" si="52"/>
        <v>1638260.62</v>
      </c>
      <c r="I155" s="10">
        <v>224871779.84999999</v>
      </c>
      <c r="J155" s="13">
        <f t="shared" si="53"/>
        <v>4.210698056189198E-3</v>
      </c>
      <c r="K155" s="10">
        <v>232144382.78999999</v>
      </c>
      <c r="L155" s="13">
        <f t="shared" si="54"/>
        <v>4.2629219241966674E-3</v>
      </c>
      <c r="M155" s="13">
        <f t="shared" si="51"/>
        <v>3.2341109875375043E-2</v>
      </c>
      <c r="N155" s="23">
        <f t="shared" si="55"/>
        <v>2.7742286600257221E-3</v>
      </c>
      <c r="O155" s="23">
        <f t="shared" si="56"/>
        <v>7.0570762915335592E-3</v>
      </c>
      <c r="P155" s="24">
        <f t="shared" si="57"/>
        <v>126.08066359192216</v>
      </c>
      <c r="Q155" s="24">
        <f t="shared" si="58"/>
        <v>0.88976086185537229</v>
      </c>
      <c r="R155" s="25">
        <v>124.62</v>
      </c>
      <c r="S155" s="25">
        <v>126.08</v>
      </c>
      <c r="T155" s="10">
        <v>66</v>
      </c>
      <c r="U155" s="10">
        <v>1848992</v>
      </c>
      <c r="V155" s="10">
        <v>1841237</v>
      </c>
    </row>
    <row r="156" spans="1:22">
      <c r="A156" s="91">
        <v>133</v>
      </c>
      <c r="B156" s="21" t="s">
        <v>173</v>
      </c>
      <c r="C156" s="68" t="s">
        <v>71</v>
      </c>
      <c r="D156" s="32">
        <v>323724613.10000002</v>
      </c>
      <c r="E156" s="32">
        <v>7685937.6100000003</v>
      </c>
      <c r="F156" s="32">
        <v>8566228.9000000004</v>
      </c>
      <c r="G156" s="10">
        <v>2255686.27</v>
      </c>
      <c r="H156" s="12">
        <v>13996480.24</v>
      </c>
      <c r="I156" s="10">
        <v>302262891.55000001</v>
      </c>
      <c r="J156" s="13">
        <f t="shared" si="53"/>
        <v>5.659837667299503E-3</v>
      </c>
      <c r="K156" s="10">
        <v>322948263.77999997</v>
      </c>
      <c r="L156" s="13">
        <f t="shared" si="54"/>
        <v>5.9303749567543446E-3</v>
      </c>
      <c r="M156" s="13">
        <f t="shared" si="51"/>
        <v>6.8435037208589025E-2</v>
      </c>
      <c r="N156" s="23">
        <f t="shared" si="55"/>
        <v>6.9846675860645814E-3</v>
      </c>
      <c r="O156" s="23">
        <f t="shared" si="56"/>
        <v>4.3339698056202386E-2</v>
      </c>
      <c r="P156" s="24">
        <f t="shared" si="57"/>
        <v>1.287919357041827</v>
      </c>
      <c r="Q156" s="24">
        <f t="shared" si="58"/>
        <v>5.5818036054931103E-2</v>
      </c>
      <c r="R156" s="25">
        <v>1.2745</v>
      </c>
      <c r="S156" s="25">
        <v>1.2279</v>
      </c>
      <c r="T156" s="10">
        <v>101</v>
      </c>
      <c r="U156" s="10">
        <v>250751929.47</v>
      </c>
      <c r="V156" s="10">
        <v>250751929.47</v>
      </c>
    </row>
    <row r="157" spans="1:22">
      <c r="A157" s="91">
        <v>134</v>
      </c>
      <c r="B157" s="68" t="s">
        <v>174</v>
      </c>
      <c r="C157" s="68" t="s">
        <v>75</v>
      </c>
      <c r="D157" s="32">
        <v>9834215261.8600006</v>
      </c>
      <c r="E157" s="32">
        <v>121702130.09999999</v>
      </c>
      <c r="F157" s="32">
        <v>234048448.66</v>
      </c>
      <c r="G157" s="10">
        <v>15906619.74</v>
      </c>
      <c r="H157" s="12">
        <f t="shared" si="52"/>
        <v>339843959.01999998</v>
      </c>
      <c r="I157" s="10">
        <v>9213139304.5</v>
      </c>
      <c r="J157" s="13">
        <f t="shared" si="53"/>
        <v>0.17251496735933558</v>
      </c>
      <c r="K157" s="10">
        <v>9722722811.5799999</v>
      </c>
      <c r="L157" s="13">
        <f t="shared" si="54"/>
        <v>0.17854064672271214</v>
      </c>
      <c r="M157" s="13">
        <f t="shared" si="51"/>
        <v>5.5310517971990568E-2</v>
      </c>
      <c r="N157" s="23">
        <f t="shared" si="55"/>
        <v>1.6360252213561851E-3</v>
      </c>
      <c r="O157" s="23">
        <f t="shared" si="56"/>
        <v>3.4953578910553486E-2</v>
      </c>
      <c r="P157" s="24">
        <f t="shared" si="57"/>
        <v>324.31729601726806</v>
      </c>
      <c r="Q157" s="24">
        <f t="shared" si="58"/>
        <v>11.336050198396913</v>
      </c>
      <c r="R157" s="25">
        <v>324.32</v>
      </c>
      <c r="S157" s="25">
        <v>326.63</v>
      </c>
      <c r="T157" s="10">
        <v>5464</v>
      </c>
      <c r="U157" s="10">
        <v>29773037</v>
      </c>
      <c r="V157" s="10">
        <v>29979045</v>
      </c>
    </row>
    <row r="158" spans="1:22" ht="15.6" customHeight="1">
      <c r="A158" s="91">
        <v>135</v>
      </c>
      <c r="B158" s="82" t="s">
        <v>175</v>
      </c>
      <c r="C158" s="21" t="s">
        <v>256</v>
      </c>
      <c r="D158" s="32">
        <v>3340385169.8800001</v>
      </c>
      <c r="E158" s="32">
        <v>27457862.469999999</v>
      </c>
      <c r="F158" s="32">
        <v>85603383.5</v>
      </c>
      <c r="G158" s="10">
        <v>10432799.67</v>
      </c>
      <c r="H158" s="12">
        <f t="shared" si="52"/>
        <v>102628446.3</v>
      </c>
      <c r="I158" s="10">
        <v>3205350581.5500002</v>
      </c>
      <c r="J158" s="13">
        <f t="shared" si="53"/>
        <v>6.001981872576663E-2</v>
      </c>
      <c r="K158" s="10">
        <v>3308273220.8000002</v>
      </c>
      <c r="L158" s="13">
        <f t="shared" si="54"/>
        <v>6.0750599582410178E-2</v>
      </c>
      <c r="M158" s="13">
        <f t="shared" si="51"/>
        <v>3.2109635633126299E-2</v>
      </c>
      <c r="N158" s="23">
        <f t="shared" si="55"/>
        <v>3.1535483842163314E-3</v>
      </c>
      <c r="O158" s="23">
        <f t="shared" si="56"/>
        <v>3.1021756502681658E-2</v>
      </c>
      <c r="P158" s="24">
        <f t="shared" si="57"/>
        <v>2.3407201174610766</v>
      </c>
      <c r="Q158" s="24">
        <f t="shared" si="58"/>
        <v>7.2613249524805926E-2</v>
      </c>
      <c r="R158" s="25">
        <v>2.3182</v>
      </c>
      <c r="S158" s="25">
        <v>2.3595999999999999</v>
      </c>
      <c r="T158" s="10">
        <v>10296</v>
      </c>
      <c r="U158" s="10">
        <v>1412441411.9000001</v>
      </c>
      <c r="V158" s="10">
        <v>1413357024.6700001</v>
      </c>
    </row>
    <row r="159" spans="1:22" s="4" customFormat="1">
      <c r="A159" s="91">
        <v>136</v>
      </c>
      <c r="B159" s="21" t="s">
        <v>176</v>
      </c>
      <c r="C159" s="68" t="s">
        <v>79</v>
      </c>
      <c r="D159" s="32">
        <v>179336420.38</v>
      </c>
      <c r="E159" s="32">
        <v>6876326.7400000002</v>
      </c>
      <c r="F159" s="32">
        <v>0</v>
      </c>
      <c r="G159" s="10">
        <v>1068683.08</v>
      </c>
      <c r="H159" s="12">
        <f t="shared" si="52"/>
        <v>5807643.6600000001</v>
      </c>
      <c r="I159" s="10">
        <v>248914023.31</v>
      </c>
      <c r="J159" s="13">
        <f t="shared" si="53"/>
        <v>4.6608862828798822E-3</v>
      </c>
      <c r="K159" s="10">
        <v>258518132.44999999</v>
      </c>
      <c r="L159" s="13">
        <f t="shared" si="54"/>
        <v>4.7472292948841279E-3</v>
      </c>
      <c r="M159" s="13">
        <f t="shared" si="51"/>
        <v>3.8584042041050183E-2</v>
      </c>
      <c r="N159" s="23">
        <f t="shared" si="55"/>
        <v>4.1338805517121477E-3</v>
      </c>
      <c r="O159" s="23">
        <f t="shared" si="56"/>
        <v>2.246513080131142E-2</v>
      </c>
      <c r="P159" s="24">
        <f t="shared" si="57"/>
        <v>336.36903740197778</v>
      </c>
      <c r="Q159" s="24">
        <f t="shared" si="58"/>
        <v>7.5565744227466434</v>
      </c>
      <c r="R159" s="25">
        <v>336.37</v>
      </c>
      <c r="S159" s="25">
        <v>337.76</v>
      </c>
      <c r="T159" s="10">
        <v>40</v>
      </c>
      <c r="U159" s="10">
        <v>768555</v>
      </c>
      <c r="V159" s="10">
        <v>768555.08</v>
      </c>
    </row>
    <row r="160" spans="1:22" s="4" customFormat="1">
      <c r="A160" s="91">
        <v>137</v>
      </c>
      <c r="B160" s="64" t="s">
        <v>232</v>
      </c>
      <c r="C160" s="64" t="s">
        <v>231</v>
      </c>
      <c r="D160" s="32">
        <v>46174839.439999998</v>
      </c>
      <c r="E160" s="32">
        <v>2721221.95</v>
      </c>
      <c r="F160" s="32">
        <v>0</v>
      </c>
      <c r="G160" s="10">
        <v>57594.29</v>
      </c>
      <c r="H160" s="12">
        <f t="shared" si="52"/>
        <v>2663627.66</v>
      </c>
      <c r="I160" s="10">
        <v>57920015.5</v>
      </c>
      <c r="J160" s="13">
        <f t="shared" si="53"/>
        <v>1.0845455879033824E-3</v>
      </c>
      <c r="K160" s="10">
        <v>57862420.810000002</v>
      </c>
      <c r="L160" s="13">
        <f t="shared" si="54"/>
        <v>1.0625412482247144E-3</v>
      </c>
      <c r="M160" s="13">
        <f t="shared" si="51"/>
        <v>-9.9438319383732938E-4</v>
      </c>
      <c r="N160" s="23">
        <f t="shared" si="55"/>
        <v>9.9536606304668021E-4</v>
      </c>
      <c r="O160" s="23">
        <f t="shared" si="56"/>
        <v>4.6033809555711881E-2</v>
      </c>
      <c r="P160" s="24">
        <f t="shared" si="57"/>
        <v>1.1386205834546814</v>
      </c>
      <c r="Q160" s="24">
        <f t="shared" si="58"/>
        <v>5.2415043094966356E-2</v>
      </c>
      <c r="R160" s="25">
        <v>1.1879999999999999</v>
      </c>
      <c r="S160" s="25">
        <v>1.202</v>
      </c>
      <c r="T160" s="10">
        <v>28</v>
      </c>
      <c r="U160" s="10">
        <v>50818000</v>
      </c>
      <c r="V160" s="10">
        <v>50818000</v>
      </c>
    </row>
    <row r="161" spans="1:22">
      <c r="A161" s="91">
        <v>138</v>
      </c>
      <c r="B161" s="68" t="s">
        <v>177</v>
      </c>
      <c r="C161" s="68" t="s">
        <v>36</v>
      </c>
      <c r="D161" s="32">
        <v>3101455607.77</v>
      </c>
      <c r="E161" s="32">
        <v>26646186.850000001</v>
      </c>
      <c r="F161" s="32">
        <v>101511345.06</v>
      </c>
      <c r="G161" s="10">
        <v>6629432.7199999997</v>
      </c>
      <c r="H161" s="12">
        <f t="shared" si="52"/>
        <v>121528099.19</v>
      </c>
      <c r="I161" s="10">
        <v>2878456967.29</v>
      </c>
      <c r="J161" s="13">
        <f t="shared" si="53"/>
        <v>5.389877362591728E-2</v>
      </c>
      <c r="K161" s="10">
        <v>3002724184.98</v>
      </c>
      <c r="L161" s="13">
        <f t="shared" si="54"/>
        <v>5.5139730742682476E-2</v>
      </c>
      <c r="M161" s="13">
        <f t="shared" si="51"/>
        <v>4.3171469680505503E-2</v>
      </c>
      <c r="N161" s="23">
        <f t="shared" si="55"/>
        <v>2.2078060826103332E-3</v>
      </c>
      <c r="O161" s="23">
        <f t="shared" si="56"/>
        <v>4.0472614766916881E-2</v>
      </c>
      <c r="P161" s="24">
        <f t="shared" si="57"/>
        <v>4.2388591243996023</v>
      </c>
      <c r="Q161" s="24">
        <f t="shared" si="58"/>
        <v>0.17155771239305567</v>
      </c>
      <c r="R161" s="25">
        <v>4.24</v>
      </c>
      <c r="S161" s="25">
        <v>4.38</v>
      </c>
      <c r="T161" s="10">
        <v>2361</v>
      </c>
      <c r="U161" s="10">
        <v>708100669.13</v>
      </c>
      <c r="V161" s="10">
        <v>708380273.28999996</v>
      </c>
    </row>
    <row r="162" spans="1:22">
      <c r="A162" s="91">
        <v>139</v>
      </c>
      <c r="B162" s="64" t="s">
        <v>261</v>
      </c>
      <c r="C162" s="67" t="s">
        <v>262</v>
      </c>
      <c r="D162" s="32">
        <v>68038080.609999999</v>
      </c>
      <c r="E162" s="32">
        <v>829252.67</v>
      </c>
      <c r="F162" s="32">
        <v>1021088.26</v>
      </c>
      <c r="G162" s="10">
        <v>313376.19</v>
      </c>
      <c r="H162" s="90"/>
      <c r="I162" s="19">
        <v>64057375.600000001</v>
      </c>
      <c r="J162" s="13">
        <f t="shared" si="53"/>
        <v>1.1994669455785932E-3</v>
      </c>
      <c r="K162" s="12">
        <v>67181903.640000001</v>
      </c>
      <c r="L162" s="13">
        <f t="shared" si="54"/>
        <v>1.2336771042842595E-3</v>
      </c>
      <c r="M162" s="13">
        <f t="shared" si="51"/>
        <v>4.8777022329338122E-2</v>
      </c>
      <c r="N162" s="23">
        <f t="shared" si="55"/>
        <v>4.6645922937708527E-3</v>
      </c>
      <c r="O162" s="23">
        <f t="shared" si="56"/>
        <v>0</v>
      </c>
      <c r="P162" s="24">
        <f t="shared" si="57"/>
        <v>2.1176725438229829</v>
      </c>
      <c r="Q162" s="24">
        <f t="shared" si="58"/>
        <v>0</v>
      </c>
      <c r="R162" s="90">
        <v>2.11</v>
      </c>
      <c r="S162" s="25">
        <v>2.12</v>
      </c>
      <c r="T162" s="10">
        <v>78</v>
      </c>
      <c r="U162" s="25">
        <v>30681987.969999999</v>
      </c>
      <c r="V162" s="10">
        <v>31724406.039999999</v>
      </c>
    </row>
    <row r="163" spans="1:22">
      <c r="A163" s="91">
        <v>140</v>
      </c>
      <c r="B163" s="68" t="s">
        <v>178</v>
      </c>
      <c r="C163" s="68" t="s">
        <v>117</v>
      </c>
      <c r="D163" s="32">
        <v>504997040.56999999</v>
      </c>
      <c r="E163" s="32">
        <v>32219328.739999998</v>
      </c>
      <c r="F163" s="32">
        <v>42262718.030000001</v>
      </c>
      <c r="G163" s="10">
        <v>2668011.5499999998</v>
      </c>
      <c r="H163" s="12">
        <f t="shared" si="52"/>
        <v>71814035.219999999</v>
      </c>
      <c r="I163" s="10">
        <v>376070370.75999999</v>
      </c>
      <c r="J163" s="13">
        <f t="shared" si="53"/>
        <v>7.0418741747219861E-3</v>
      </c>
      <c r="K163" s="10">
        <v>501505258.31999999</v>
      </c>
      <c r="L163" s="13">
        <f t="shared" si="54"/>
        <v>9.2092590615306235E-3</v>
      </c>
      <c r="M163" s="13">
        <f t="shared" si="51"/>
        <v>0.33354100007003701</v>
      </c>
      <c r="N163" s="23">
        <f t="shared" si="55"/>
        <v>5.3200071300101856E-3</v>
      </c>
      <c r="O163" s="23">
        <f t="shared" si="56"/>
        <v>0.14319697356827507</v>
      </c>
      <c r="P163" s="24">
        <f t="shared" si="57"/>
        <v>240.21442935081274</v>
      </c>
      <c r="Q163" s="24">
        <f t="shared" si="58"/>
        <v>34.397979290466608</v>
      </c>
      <c r="R163" s="25">
        <v>240.21440000000001</v>
      </c>
      <c r="S163" s="25">
        <v>241.8869</v>
      </c>
      <c r="T163" s="10">
        <v>139</v>
      </c>
      <c r="U163" s="10">
        <v>1736610.57</v>
      </c>
      <c r="V163" s="10">
        <v>2087739.94</v>
      </c>
    </row>
    <row r="164" spans="1:22">
      <c r="A164" s="91">
        <v>141</v>
      </c>
      <c r="B164" s="21" t="s">
        <v>179</v>
      </c>
      <c r="C164" s="68" t="s">
        <v>32</v>
      </c>
      <c r="D164" s="32">
        <v>2184289918.5300002</v>
      </c>
      <c r="E164" s="32">
        <v>49759611.600000001</v>
      </c>
      <c r="F164" s="32">
        <v>344238360.87</v>
      </c>
      <c r="G164" s="10">
        <v>5450222.4500000002</v>
      </c>
      <c r="H164" s="12">
        <f t="shared" si="52"/>
        <v>388547750.02000004</v>
      </c>
      <c r="I164" s="10">
        <v>2150194466.3899999</v>
      </c>
      <c r="J164" s="13">
        <f t="shared" si="53"/>
        <v>4.0262142568962912E-2</v>
      </c>
      <c r="K164" s="10">
        <v>2195082144.1999998</v>
      </c>
      <c r="L164" s="13">
        <f t="shared" si="54"/>
        <v>4.0308809911578432E-2</v>
      </c>
      <c r="M164" s="13">
        <f t="shared" si="51"/>
        <v>2.0876101446471802E-2</v>
      </c>
      <c r="N164" s="23">
        <f t="shared" si="55"/>
        <v>2.4829241422244541E-3</v>
      </c>
      <c r="O164" s="23">
        <f t="shared" si="56"/>
        <v>0.17700829604333859</v>
      </c>
      <c r="P164" s="24">
        <f t="shared" si="57"/>
        <v>2942.666591862725</v>
      </c>
      <c r="Q164" s="24">
        <f t="shared" si="58"/>
        <v>520.87639924927953</v>
      </c>
      <c r="R164" s="81">
        <v>552.22</v>
      </c>
      <c r="S164" s="81">
        <v>552.22</v>
      </c>
      <c r="T164" s="10">
        <v>823</v>
      </c>
      <c r="U164" s="10">
        <v>745950</v>
      </c>
      <c r="V164" s="10">
        <v>745950</v>
      </c>
    </row>
    <row r="165" spans="1:22">
      <c r="A165" s="91">
        <v>142</v>
      </c>
      <c r="B165" s="21" t="s">
        <v>180</v>
      </c>
      <c r="C165" s="68" t="s">
        <v>85</v>
      </c>
      <c r="D165" s="32">
        <v>32564106.710000001</v>
      </c>
      <c r="E165" s="32">
        <v>1751083.74</v>
      </c>
      <c r="F165" s="32">
        <v>178650.43</v>
      </c>
      <c r="G165" s="10">
        <v>49109.64</v>
      </c>
      <c r="H165" s="12">
        <f t="shared" si="52"/>
        <v>1880624.53</v>
      </c>
      <c r="I165" s="10">
        <v>29454232.07</v>
      </c>
      <c r="J165" s="13">
        <f t="shared" si="53"/>
        <v>5.5152708715350404E-4</v>
      </c>
      <c r="K165" s="10">
        <v>31570601.879999999</v>
      </c>
      <c r="L165" s="13">
        <f t="shared" si="54"/>
        <v>5.7973839081035001E-4</v>
      </c>
      <c r="M165" s="13">
        <f t="shared" si="51"/>
        <v>7.1852825935855361E-2</v>
      </c>
      <c r="N165" s="23">
        <f t="shared" si="55"/>
        <v>1.5555496910279367E-3</v>
      </c>
      <c r="O165" s="23">
        <f t="shared" si="56"/>
        <v>5.9568852603705889E-2</v>
      </c>
      <c r="P165" s="24">
        <f t="shared" si="57"/>
        <v>1.8730830558134641</v>
      </c>
      <c r="Q165" s="24">
        <f t="shared" si="58"/>
        <v>0.11157740846625126</v>
      </c>
      <c r="R165" s="25">
        <v>1.8731</v>
      </c>
      <c r="S165" s="25">
        <v>1.87</v>
      </c>
      <c r="T165" s="10">
        <v>8</v>
      </c>
      <c r="U165" s="10">
        <v>16251057.539999999</v>
      </c>
      <c r="V165" s="10">
        <v>16854886.27</v>
      </c>
    </row>
    <row r="166" spans="1:22">
      <c r="A166" s="91">
        <v>143</v>
      </c>
      <c r="B166" s="68" t="s">
        <v>181</v>
      </c>
      <c r="C166" s="68" t="s">
        <v>42</v>
      </c>
      <c r="D166" s="32">
        <v>251887074.34999999</v>
      </c>
      <c r="E166" s="32">
        <v>6134779.21</v>
      </c>
      <c r="F166" s="32">
        <v>80781758.879999995</v>
      </c>
      <c r="G166" s="10">
        <v>383634.37</v>
      </c>
      <c r="H166" s="12">
        <f t="shared" si="52"/>
        <v>86532903.719999984</v>
      </c>
      <c r="I166" s="10">
        <v>233994018.56999999</v>
      </c>
      <c r="J166" s="13">
        <f t="shared" si="53"/>
        <v>4.3815109206225191E-3</v>
      </c>
      <c r="K166" s="10">
        <v>253452003.66</v>
      </c>
      <c r="L166" s="13">
        <f t="shared" si="54"/>
        <v>4.6541987798652436E-3</v>
      </c>
      <c r="M166" s="13">
        <f t="shared" si="51"/>
        <v>8.3155908039500126E-2</v>
      </c>
      <c r="N166" s="23">
        <f t="shared" si="55"/>
        <v>1.513637155990436E-3</v>
      </c>
      <c r="O166" s="23">
        <f t="shared" si="56"/>
        <v>0.34141731953353138</v>
      </c>
      <c r="P166" s="24">
        <f t="shared" si="57"/>
        <v>2.556899042335032</v>
      </c>
      <c r="Q166" s="24">
        <f t="shared" si="58"/>
        <v>0.87296961735187995</v>
      </c>
      <c r="R166" s="25">
        <v>2.62</v>
      </c>
      <c r="S166" s="25">
        <v>2.67</v>
      </c>
      <c r="T166" s="10">
        <v>119</v>
      </c>
      <c r="U166" s="10">
        <v>99115722.900000006</v>
      </c>
      <c r="V166" s="10">
        <v>99124759.900000006</v>
      </c>
    </row>
    <row r="167" spans="1:22" s="4" customFormat="1">
      <c r="A167" s="91">
        <v>144</v>
      </c>
      <c r="B167" s="21" t="s">
        <v>182</v>
      </c>
      <c r="C167" s="21" t="s">
        <v>46</v>
      </c>
      <c r="D167" s="32">
        <v>2339609691.8600001</v>
      </c>
      <c r="E167" s="32">
        <v>74677132.769999996</v>
      </c>
      <c r="F167" s="32">
        <v>13240315.48</v>
      </c>
      <c r="G167" s="10">
        <v>8696253.5299999993</v>
      </c>
      <c r="H167" s="12">
        <f t="shared" si="52"/>
        <v>79221194.719999999</v>
      </c>
      <c r="I167" s="10">
        <v>2706210169.9299998</v>
      </c>
      <c r="J167" s="13">
        <f t="shared" si="53"/>
        <v>5.0673472277244884E-2</v>
      </c>
      <c r="K167" s="10">
        <v>2340327182.0999999</v>
      </c>
      <c r="L167" s="13">
        <f t="shared" si="54"/>
        <v>4.2975978718349829E-2</v>
      </c>
      <c r="M167" s="13">
        <f t="shared" si="51"/>
        <v>-0.13520124633906908</v>
      </c>
      <c r="N167" s="23">
        <f t="shared" si="55"/>
        <v>3.7158281100665423E-3</v>
      </c>
      <c r="O167" s="23">
        <f t="shared" si="56"/>
        <v>3.3850478397176073E-2</v>
      </c>
      <c r="P167" s="24">
        <f t="shared" si="57"/>
        <v>6412.6184828682071</v>
      </c>
      <c r="Q167" s="24">
        <f t="shared" si="58"/>
        <v>217.07020342366226</v>
      </c>
      <c r="R167" s="25">
        <v>6377.57</v>
      </c>
      <c r="S167" s="25">
        <v>6436.64</v>
      </c>
      <c r="T167" s="10">
        <v>2243</v>
      </c>
      <c r="U167" s="10">
        <v>434428.95</v>
      </c>
      <c r="V167" s="10">
        <v>364956.56</v>
      </c>
    </row>
    <row r="168" spans="1:22" s="4" customFormat="1">
      <c r="A168" s="91">
        <v>145</v>
      </c>
      <c r="B168" s="64" t="s">
        <v>230</v>
      </c>
      <c r="C168" s="64" t="s">
        <v>231</v>
      </c>
      <c r="D168" s="32">
        <v>650447377.45000005</v>
      </c>
      <c r="E168" s="79">
        <v>65605921.210000001</v>
      </c>
      <c r="F168" s="32">
        <v>0</v>
      </c>
      <c r="G168" s="10">
        <v>730151.11</v>
      </c>
      <c r="H168" s="12">
        <f t="shared" si="52"/>
        <v>64875770.100000001</v>
      </c>
      <c r="I168" s="10">
        <v>648949584.13</v>
      </c>
      <c r="J168" s="13">
        <f t="shared" si="53"/>
        <v>1.2151505868293945E-2</v>
      </c>
      <c r="K168" s="10">
        <v>648351979.36000001</v>
      </c>
      <c r="L168" s="13">
        <f t="shared" si="54"/>
        <v>1.1905839952674089E-2</v>
      </c>
      <c r="M168" s="13">
        <f t="shared" si="51"/>
        <v>-9.2088011860142665E-4</v>
      </c>
      <c r="N168" s="23">
        <f t="shared" si="55"/>
        <v>1.1261646964057168E-3</v>
      </c>
      <c r="O168" s="23">
        <f t="shared" si="56"/>
        <v>0.10006257737354338</v>
      </c>
      <c r="P168" s="24">
        <f t="shared" si="57"/>
        <v>1.2373282413823137</v>
      </c>
      <c r="Q168" s="24">
        <f t="shared" si="58"/>
        <v>0.12381025288978813</v>
      </c>
      <c r="R168" s="25">
        <v>1.345</v>
      </c>
      <c r="S168" s="25">
        <v>1.345</v>
      </c>
      <c r="T168" s="10">
        <v>43</v>
      </c>
      <c r="U168" s="10">
        <v>523893519</v>
      </c>
      <c r="V168" s="10">
        <v>523993519</v>
      </c>
    </row>
    <row r="169" spans="1:22" s="4" customFormat="1">
      <c r="A169" s="91">
        <v>146</v>
      </c>
      <c r="B169" s="21" t="s">
        <v>183</v>
      </c>
      <c r="C169" s="21" t="s">
        <v>50</v>
      </c>
      <c r="D169" s="32">
        <v>1469273331</v>
      </c>
      <c r="E169" s="32">
        <v>17487899</v>
      </c>
      <c r="F169" s="32">
        <v>84104177</v>
      </c>
      <c r="G169" s="10">
        <v>3945603</v>
      </c>
      <c r="H169" s="12">
        <f t="shared" si="52"/>
        <v>97646473</v>
      </c>
      <c r="I169" s="10">
        <v>2000274325.73</v>
      </c>
      <c r="J169" s="13">
        <f t="shared" si="53"/>
        <v>3.7454905283422872E-2</v>
      </c>
      <c r="K169" s="73">
        <v>2120868621.03</v>
      </c>
      <c r="L169" s="13">
        <f t="shared" si="54"/>
        <v>3.8946009523341353E-2</v>
      </c>
      <c r="M169" s="13">
        <f t="shared" si="51"/>
        <v>6.0288878254730921E-2</v>
      </c>
      <c r="N169" s="23">
        <f t="shared" si="55"/>
        <v>1.8603712464206376E-3</v>
      </c>
      <c r="O169" s="23">
        <f t="shared" si="56"/>
        <v>4.6040792924069943E-2</v>
      </c>
      <c r="P169" s="24">
        <f t="shared" si="57"/>
        <v>1.972323830782527</v>
      </c>
      <c r="Q169" s="24">
        <f t="shared" si="58"/>
        <v>9.08073530722667E-2</v>
      </c>
      <c r="R169" s="25">
        <v>1.97</v>
      </c>
      <c r="S169" s="25">
        <v>1.98</v>
      </c>
      <c r="T169" s="10">
        <v>1394</v>
      </c>
      <c r="U169" s="10">
        <v>1074076375</v>
      </c>
      <c r="V169" s="10">
        <v>1075314605</v>
      </c>
    </row>
    <row r="170" spans="1:22" s="4" customFormat="1">
      <c r="A170" s="91">
        <v>147</v>
      </c>
      <c r="B170" s="74" t="s">
        <v>184</v>
      </c>
      <c r="C170" s="21" t="s">
        <v>92</v>
      </c>
      <c r="D170" s="32">
        <v>8345938167.4300003</v>
      </c>
      <c r="E170" s="32">
        <v>82515126.849999994</v>
      </c>
      <c r="F170" s="32">
        <v>75259502.859999999</v>
      </c>
      <c r="G170" s="10">
        <v>422985004.29000002</v>
      </c>
      <c r="H170" s="12">
        <f t="shared" si="52"/>
        <v>-265210374.58000004</v>
      </c>
      <c r="I170" s="10">
        <v>9802896870.6599998</v>
      </c>
      <c r="J170" s="13">
        <f t="shared" si="53"/>
        <v>0.18355810954066779</v>
      </c>
      <c r="K170" s="10">
        <v>9539944368.2999992</v>
      </c>
      <c r="L170" s="13">
        <f t="shared" si="54"/>
        <v>0.17518424316142633</v>
      </c>
      <c r="M170" s="13">
        <f t="shared" si="51"/>
        <v>-2.6823958859244511E-2</v>
      </c>
      <c r="N170" s="23">
        <f t="shared" si="55"/>
        <v>4.4338309319237171E-2</v>
      </c>
      <c r="O170" s="23">
        <f t="shared" si="56"/>
        <v>-2.7799991733836498E-2</v>
      </c>
      <c r="P170" s="24">
        <f t="shared" si="57"/>
        <v>523.80676010564036</v>
      </c>
      <c r="Q170" s="24">
        <f t="shared" si="58"/>
        <v>-14.56182360106448</v>
      </c>
      <c r="R170" s="25">
        <v>519.65</v>
      </c>
      <c r="S170" s="25">
        <v>525.94000000000005</v>
      </c>
      <c r="T170" s="10">
        <v>37</v>
      </c>
      <c r="U170" s="10">
        <v>18299934.370000001</v>
      </c>
      <c r="V170" s="10">
        <v>18212717.16</v>
      </c>
    </row>
    <row r="171" spans="1:22">
      <c r="A171" s="91">
        <v>148</v>
      </c>
      <c r="B171" s="21" t="s">
        <v>185</v>
      </c>
      <c r="C171" s="21" t="s">
        <v>50</v>
      </c>
      <c r="D171" s="32">
        <v>581775383.46000004</v>
      </c>
      <c r="E171" s="32">
        <v>13758122</v>
      </c>
      <c r="F171" s="32">
        <v>29659487.829999998</v>
      </c>
      <c r="G171" s="10">
        <v>2174639</v>
      </c>
      <c r="H171" s="12">
        <f t="shared" si="52"/>
        <v>41242970.829999998</v>
      </c>
      <c r="I171" s="10">
        <v>1155484925</v>
      </c>
      <c r="J171" s="13">
        <f t="shared" si="53"/>
        <v>2.1636321511302438E-2</v>
      </c>
      <c r="K171" s="10">
        <v>1219941700.0899999</v>
      </c>
      <c r="L171" s="13">
        <f t="shared" si="54"/>
        <v>2.2402076488147689E-2</v>
      </c>
      <c r="M171" s="13">
        <f t="shared" si="51"/>
        <v>5.5783311140991228E-2</v>
      </c>
      <c r="N171" s="23">
        <f t="shared" si="55"/>
        <v>1.7825761672378019E-3</v>
      </c>
      <c r="O171" s="23">
        <f t="shared" si="56"/>
        <v>3.3807329339555603E-2</v>
      </c>
      <c r="P171" s="24">
        <f t="shared" si="57"/>
        <v>1.5240456814241425</v>
      </c>
      <c r="Q171" s="24">
        <f t="shared" si="58"/>
        <v>5.1523914280433424E-2</v>
      </c>
      <c r="R171" s="25">
        <v>1.52</v>
      </c>
      <c r="S171" s="25">
        <v>1.51</v>
      </c>
      <c r="T171" s="10">
        <v>198</v>
      </c>
      <c r="U171" s="10">
        <v>790028608.36000001</v>
      </c>
      <c r="V171" s="10">
        <v>800462686.23000002</v>
      </c>
    </row>
    <row r="172" spans="1:22" s="4" customFormat="1">
      <c r="A172" s="91">
        <v>149</v>
      </c>
      <c r="B172" s="21" t="s">
        <v>186</v>
      </c>
      <c r="C172" s="21" t="s">
        <v>44</v>
      </c>
      <c r="D172" s="32">
        <v>567538842.26999998</v>
      </c>
      <c r="E172" s="32">
        <v>4721038</v>
      </c>
      <c r="F172" s="32">
        <v>30081767</v>
      </c>
      <c r="G172" s="10">
        <v>3316793</v>
      </c>
      <c r="H172" s="12">
        <f t="shared" si="52"/>
        <v>31486012</v>
      </c>
      <c r="I172" s="10">
        <v>525210510.02999997</v>
      </c>
      <c r="J172" s="13">
        <f t="shared" si="53"/>
        <v>9.8345060244937541E-3</v>
      </c>
      <c r="K172" s="10">
        <v>563285595.25</v>
      </c>
      <c r="L172" s="13">
        <f t="shared" si="54"/>
        <v>1.0343745925343288E-2</v>
      </c>
      <c r="M172" s="13">
        <f t="shared" si="51"/>
        <v>7.2494903458472648E-2</v>
      </c>
      <c r="N172" s="23">
        <f t="shared" si="55"/>
        <v>5.8882972118751336E-3</v>
      </c>
      <c r="O172" s="23">
        <f t="shared" si="56"/>
        <v>5.5897065832165888E-2</v>
      </c>
      <c r="P172" s="24">
        <f t="shared" si="57"/>
        <v>257.44043606945633</v>
      </c>
      <c r="Q172" s="24">
        <f t="shared" si="58"/>
        <v>14.390165002835893</v>
      </c>
      <c r="R172" s="25">
        <v>242.55</v>
      </c>
      <c r="S172" s="25">
        <v>244.5</v>
      </c>
      <c r="T172" s="10">
        <v>773</v>
      </c>
      <c r="U172" s="10">
        <v>2055685</v>
      </c>
      <c r="V172" s="10">
        <v>2188023</v>
      </c>
    </row>
    <row r="173" spans="1:22" s="4" customFormat="1">
      <c r="A173" s="91">
        <v>150</v>
      </c>
      <c r="B173" s="21" t="s">
        <v>187</v>
      </c>
      <c r="C173" s="21" t="s">
        <v>96</v>
      </c>
      <c r="D173" s="32">
        <v>3602844025.2199998</v>
      </c>
      <c r="E173" s="32">
        <v>22966637.77</v>
      </c>
      <c r="F173" s="32">
        <v>112595462.8</v>
      </c>
      <c r="G173" s="10">
        <v>30145366.329999998</v>
      </c>
      <c r="H173" s="12">
        <f t="shared" si="52"/>
        <v>105416734.23999999</v>
      </c>
      <c r="I173" s="10">
        <v>3472789834.71</v>
      </c>
      <c r="J173" s="13">
        <f t="shared" si="53"/>
        <v>6.5027587793902553E-2</v>
      </c>
      <c r="K173" s="10">
        <v>3595329708.0999999</v>
      </c>
      <c r="L173" s="13">
        <f t="shared" si="54"/>
        <v>6.6021885402412217E-2</v>
      </c>
      <c r="M173" s="13">
        <f t="shared" si="51"/>
        <v>3.5285715295879032E-2</v>
      </c>
      <c r="N173" s="23">
        <f t="shared" si="55"/>
        <v>8.384590226060442E-3</v>
      </c>
      <c r="O173" s="23">
        <f t="shared" si="56"/>
        <v>2.9320463712272128E-2</v>
      </c>
      <c r="P173" s="24">
        <f t="shared" si="57"/>
        <v>21.394136187855938</v>
      </c>
      <c r="Q173" s="24">
        <f t="shared" si="58"/>
        <v>0.62728599375143801</v>
      </c>
      <c r="R173" s="25">
        <v>21.394300000000001</v>
      </c>
      <c r="S173" s="25">
        <v>21.642199999999999</v>
      </c>
      <c r="T173" s="10">
        <v>6177</v>
      </c>
      <c r="U173" s="10">
        <v>168162947.03999999</v>
      </c>
      <c r="V173" s="10">
        <v>168052109.06999999</v>
      </c>
    </row>
    <row r="174" spans="1:22" ht="15" customHeight="1">
      <c r="A174" s="98" t="s">
        <v>51</v>
      </c>
      <c r="B174" s="98"/>
      <c r="C174" s="98"/>
      <c r="D174" s="98"/>
      <c r="E174" s="98"/>
      <c r="F174" s="98"/>
      <c r="G174" s="98"/>
      <c r="H174" s="98"/>
      <c r="I174" s="39">
        <f>SUM(I146:I173)</f>
        <v>53404869418.139992</v>
      </c>
      <c r="J174" s="13">
        <f>(I174/$I$204)</f>
        <v>1.3911122736224463E-2</v>
      </c>
      <c r="K174" s="39">
        <f>SUM(K146:K173)</f>
        <v>54456634889.870003</v>
      </c>
      <c r="L174" s="13">
        <f>(K174/$K$204)</f>
        <v>1.4206101777695991E-2</v>
      </c>
      <c r="M174" s="13">
        <f t="shared" si="51"/>
        <v>1.9694186750932464E-2</v>
      </c>
      <c r="N174" s="23"/>
      <c r="O174" s="23"/>
      <c r="P174" s="24"/>
      <c r="Q174" s="24"/>
      <c r="R174" s="25"/>
      <c r="S174" s="25"/>
      <c r="T174" s="39">
        <f>SUM(T146:T173)</f>
        <v>69068</v>
      </c>
      <c r="U174" s="10"/>
      <c r="V174" s="73"/>
    </row>
    <row r="175" spans="1:22" ht="6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</row>
    <row r="176" spans="1:22">
      <c r="A176" s="95" t="s">
        <v>188</v>
      </c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</row>
    <row r="177" spans="1:22" s="4" customFormat="1">
      <c r="A177" s="88">
        <v>151</v>
      </c>
      <c r="B177" s="68" t="s">
        <v>189</v>
      </c>
      <c r="C177" s="68" t="s">
        <v>26</v>
      </c>
      <c r="D177" s="10">
        <v>639150942.91999996</v>
      </c>
      <c r="E177" s="10">
        <v>7507537.9699999997</v>
      </c>
      <c r="F177" s="10">
        <v>46858686.299999997</v>
      </c>
      <c r="G177" s="10">
        <v>573063.88</v>
      </c>
      <c r="H177" s="12">
        <f>(E177+F177)-G177</f>
        <v>53793160.389999993</v>
      </c>
      <c r="I177" s="10">
        <v>941319537</v>
      </c>
      <c r="J177" s="13">
        <f>(I177/$I$180)</f>
        <v>0.16689322246657171</v>
      </c>
      <c r="K177" s="10">
        <v>986934759</v>
      </c>
      <c r="L177" s="13">
        <f>(K177/$K$180)</f>
        <v>0.16708443448506771</v>
      </c>
      <c r="M177" s="13">
        <f>((K177-I177)/I177)</f>
        <v>4.8458807245599533E-2</v>
      </c>
      <c r="N177" s="23">
        <f>(G177/K177)</f>
        <v>5.8065021499561955E-4</v>
      </c>
      <c r="O177" s="23">
        <f>H177/K177</f>
        <v>5.450528507528226E-2</v>
      </c>
      <c r="P177" s="24">
        <f>K177/V177</f>
        <v>68.976651432558739</v>
      </c>
      <c r="Q177" s="24">
        <f>H177/V177</f>
        <v>3.7595920498699904</v>
      </c>
      <c r="R177" s="10">
        <v>68.568799999999996</v>
      </c>
      <c r="S177" s="10">
        <v>70.633200000000002</v>
      </c>
      <c r="T177" s="10">
        <v>1659</v>
      </c>
      <c r="U177" s="10">
        <v>14231707</v>
      </c>
      <c r="V177" s="10">
        <v>14308244</v>
      </c>
    </row>
    <row r="178" spans="1:22" s="4" customFormat="1">
      <c r="A178" s="88">
        <v>152</v>
      </c>
      <c r="B178" s="68" t="s">
        <v>190</v>
      </c>
      <c r="C178" s="21" t="s">
        <v>46</v>
      </c>
      <c r="D178" s="10">
        <v>3887127259.5599999</v>
      </c>
      <c r="E178" s="10">
        <v>50927449.009999998</v>
      </c>
      <c r="F178" s="10">
        <v>146908464.49000001</v>
      </c>
      <c r="G178" s="10">
        <v>11972415.439999999</v>
      </c>
      <c r="H178" s="12">
        <f>(E178+F178)-G178</f>
        <v>185863498.06</v>
      </c>
      <c r="I178" s="10">
        <v>3782131441.52</v>
      </c>
      <c r="J178" s="13">
        <f t="shared" ref="J178:J179" si="59">(I178/$I$180)</f>
        <v>0.67056092990388338</v>
      </c>
      <c r="K178" s="10">
        <v>3978253641.29</v>
      </c>
      <c r="L178" s="13">
        <f t="shared" ref="L178:L179" si="60">(K178/$K$180)</f>
        <v>0.67350374868406182</v>
      </c>
      <c r="M178" s="13">
        <f t="shared" ref="M178:M179" si="61">((K178-I178)/I178)</f>
        <v>5.1854940210956942E-2</v>
      </c>
      <c r="N178" s="23">
        <f>(G178/K178)</f>
        <v>3.0094650868258341E-3</v>
      </c>
      <c r="O178" s="23">
        <f>H178/K178</f>
        <v>4.6719871284961953E-2</v>
      </c>
      <c r="P178" s="24">
        <f>K178/V178</f>
        <v>2.8827167964071596</v>
      </c>
      <c r="Q178" s="24">
        <f>H178/V178</f>
        <v>0.13468015767914038</v>
      </c>
      <c r="R178" s="10">
        <v>2.86</v>
      </c>
      <c r="S178" s="10">
        <v>2.9</v>
      </c>
      <c r="T178" s="10">
        <v>10197</v>
      </c>
      <c r="U178" s="10">
        <v>1375372159.99</v>
      </c>
      <c r="V178" s="10">
        <v>1380036237.4300001</v>
      </c>
    </row>
    <row r="179" spans="1:22" s="4" customFormat="1">
      <c r="A179" s="88">
        <v>153</v>
      </c>
      <c r="B179" s="68" t="s">
        <v>191</v>
      </c>
      <c r="C179" s="21" t="s">
        <v>96</v>
      </c>
      <c r="D179" s="10">
        <v>943426430.45000005</v>
      </c>
      <c r="E179" s="10">
        <v>5608658.6600000001</v>
      </c>
      <c r="F179" s="10">
        <v>21810036</v>
      </c>
      <c r="G179" s="10">
        <v>4742406.5199999996</v>
      </c>
      <c r="H179" s="12">
        <f>(E179+F179)-G179</f>
        <v>22676288.140000001</v>
      </c>
      <c r="I179" s="10">
        <v>916799255.05999994</v>
      </c>
      <c r="J179" s="13">
        <f t="shared" si="59"/>
        <v>0.16254584762954494</v>
      </c>
      <c r="K179" s="10">
        <v>941614121.69000006</v>
      </c>
      <c r="L179" s="13">
        <f t="shared" si="60"/>
        <v>0.15941181683087058</v>
      </c>
      <c r="M179" s="13">
        <f t="shared" si="61"/>
        <v>2.7066848596398678E-2</v>
      </c>
      <c r="N179" s="23">
        <f>(G179/K179)</f>
        <v>5.0364649496636412E-3</v>
      </c>
      <c r="O179" s="23">
        <f>H179/K179</f>
        <v>2.4082357748947961E-2</v>
      </c>
      <c r="P179" s="24">
        <f>K179/V179</f>
        <v>26.84612659338406</v>
      </c>
      <c r="Q179" s="24">
        <f>H179/V179</f>
        <v>0.64651802479542053</v>
      </c>
      <c r="R179" s="10">
        <v>26.751000000000001</v>
      </c>
      <c r="S179" s="10">
        <v>27.027899999999999</v>
      </c>
      <c r="T179" s="10">
        <v>1483</v>
      </c>
      <c r="U179" s="10">
        <v>35055361.43</v>
      </c>
      <c r="V179" s="10">
        <v>35074487.130000003</v>
      </c>
    </row>
    <row r="180" spans="1:22" ht="15" customHeight="1">
      <c r="A180" s="98" t="s">
        <v>51</v>
      </c>
      <c r="B180" s="98"/>
      <c r="C180" s="98"/>
      <c r="D180" s="98"/>
      <c r="E180" s="98"/>
      <c r="F180" s="98"/>
      <c r="G180" s="98"/>
      <c r="H180" s="98"/>
      <c r="I180" s="39">
        <f>SUM(I177:I179)</f>
        <v>5640250233.5799999</v>
      </c>
      <c r="J180" s="13">
        <f>(I180/$I$204)</f>
        <v>1.4691958639205824E-3</v>
      </c>
      <c r="K180" s="39">
        <f>SUM(K177:K179)</f>
        <v>5906802521.9799995</v>
      </c>
      <c r="L180" s="13">
        <f>(K180/$K$204)</f>
        <v>1.5409075125133857E-3</v>
      </c>
      <c r="M180" s="13">
        <f>((K180-I180)/I180)</f>
        <v>4.7258947273836213E-2</v>
      </c>
      <c r="N180" s="23"/>
      <c r="O180" s="89"/>
      <c r="P180" s="24"/>
      <c r="Q180" s="24"/>
      <c r="R180" s="10"/>
      <c r="S180" s="10"/>
      <c r="T180" s="39">
        <f>SUM(T177:T179)</f>
        <v>13339</v>
      </c>
      <c r="U180" s="10"/>
      <c r="V180" s="73"/>
    </row>
    <row r="181" spans="1:22" ht="8.1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</row>
    <row r="182" spans="1:22">
      <c r="A182" s="95" t="s">
        <v>192</v>
      </c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</row>
    <row r="183" spans="1:22" ht="12.9" customHeight="1">
      <c r="A183" s="105" t="s">
        <v>193</v>
      </c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</row>
    <row r="184" spans="1:22" ht="15" customHeight="1">
      <c r="A184" s="88">
        <v>154</v>
      </c>
      <c r="B184" s="68" t="s">
        <v>194</v>
      </c>
      <c r="C184" s="21" t="s">
        <v>120</v>
      </c>
      <c r="D184" s="31">
        <v>3953845470.5700002</v>
      </c>
      <c r="E184" s="22">
        <v>64205314.740000002</v>
      </c>
      <c r="F184" s="22">
        <v>185813343.15000001</v>
      </c>
      <c r="G184" s="34">
        <v>28129289.23</v>
      </c>
      <c r="H184" s="12">
        <f>(E184+F184)-G184</f>
        <v>221889368.66000003</v>
      </c>
      <c r="I184" s="32">
        <v>4655324317.4799995</v>
      </c>
      <c r="J184" s="13">
        <f>(I184/$I$203)</f>
        <v>9.0525460991357193E-2</v>
      </c>
      <c r="K184" s="18">
        <v>4922404049.3500004</v>
      </c>
      <c r="L184" s="13">
        <f>(K184/$K$203)</f>
        <v>9.3784982134900066E-2</v>
      </c>
      <c r="M184" s="13">
        <f>((K184-I184)/I184)</f>
        <v>5.7370811066193413E-2</v>
      </c>
      <c r="N184" s="23">
        <f>(G184/K184)</f>
        <v>5.7145429241458653E-3</v>
      </c>
      <c r="O184" s="23">
        <f>H184/K184</f>
        <v>4.5077439079650589E-2</v>
      </c>
      <c r="P184" s="24">
        <f>K184/V184</f>
        <v>2.2893331572111557</v>
      </c>
      <c r="Q184" s="24">
        <f>H184/V184</f>
        <v>0.10319727592721002</v>
      </c>
      <c r="R184" s="32">
        <v>2.27</v>
      </c>
      <c r="S184" s="32">
        <v>2.31</v>
      </c>
      <c r="T184" s="32">
        <v>14979</v>
      </c>
      <c r="U184" s="18">
        <v>2138657506.47</v>
      </c>
      <c r="V184" s="18">
        <v>2150147537</v>
      </c>
    </row>
    <row r="185" spans="1:22" s="4" customFormat="1">
      <c r="A185" s="88">
        <v>155</v>
      </c>
      <c r="B185" s="21" t="s">
        <v>195</v>
      </c>
      <c r="C185" s="21" t="s">
        <v>46</v>
      </c>
      <c r="D185" s="31">
        <v>719076204.96000004</v>
      </c>
      <c r="E185" s="22">
        <v>2382414.48</v>
      </c>
      <c r="F185" s="22">
        <v>73330203.900000006</v>
      </c>
      <c r="G185" s="34">
        <v>1580264.16</v>
      </c>
      <c r="H185" s="12">
        <f>(E185+F185)-G185</f>
        <v>74132354.220000014</v>
      </c>
      <c r="I185" s="19">
        <v>636502613.01999998</v>
      </c>
      <c r="J185" s="13">
        <f>(I185/$I$203)</f>
        <v>1.2377159685628384E-2</v>
      </c>
      <c r="K185" s="19">
        <v>738052101.77999997</v>
      </c>
      <c r="L185" s="13">
        <f>(K185/$K$203)</f>
        <v>1.4061869461773043E-2</v>
      </c>
      <c r="M185" s="13">
        <f>((K185-I185)/I185)</f>
        <v>0.15954292517069232</v>
      </c>
      <c r="N185" s="23">
        <f>(G185/K185)</f>
        <v>2.1411281889026422E-3</v>
      </c>
      <c r="O185" s="23">
        <f>H185/K185</f>
        <v>0.10044325331668459</v>
      </c>
      <c r="P185" s="24">
        <f>K185/V185</f>
        <v>502.02089739613814</v>
      </c>
      <c r="Q185" s="24">
        <f>H185/V185</f>
        <v>50.424612167429622</v>
      </c>
      <c r="R185" s="32">
        <v>498.12</v>
      </c>
      <c r="S185" s="32">
        <v>504.69</v>
      </c>
      <c r="T185" s="32">
        <v>848</v>
      </c>
      <c r="U185" s="10">
        <v>1412390.3</v>
      </c>
      <c r="V185" s="10">
        <v>1470162.11</v>
      </c>
    </row>
    <row r="186" spans="1:22" ht="6.9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</row>
    <row r="187" spans="1:22">
      <c r="A187" s="106" t="s">
        <v>148</v>
      </c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</row>
    <row r="188" spans="1:22" s="4" customFormat="1">
      <c r="A188" s="69">
        <v>156</v>
      </c>
      <c r="B188" s="71" t="s">
        <v>196</v>
      </c>
      <c r="C188" s="70" t="s">
        <v>197</v>
      </c>
      <c r="D188" s="62">
        <v>267269685</v>
      </c>
      <c r="E188" s="62">
        <v>12204035</v>
      </c>
      <c r="F188" s="10">
        <v>0</v>
      </c>
      <c r="G188" s="62">
        <v>4933920</v>
      </c>
      <c r="H188" s="62">
        <f>(E188+F188)-G188</f>
        <v>7270115</v>
      </c>
      <c r="I188" s="62">
        <v>339919857</v>
      </c>
      <c r="J188" s="13">
        <f>(I188/$I$203)</f>
        <v>6.6099372796648154E-3</v>
      </c>
      <c r="K188" s="62">
        <v>348829378</v>
      </c>
      <c r="L188" s="13">
        <f>(K188/$K$203)</f>
        <v>6.6461340141669772E-3</v>
      </c>
      <c r="M188" s="13">
        <f t="shared" ref="M188:M203" si="62">((K188-I188)/I188)</f>
        <v>2.621065176548365E-2</v>
      </c>
      <c r="N188" s="23">
        <f>(G188/K188)</f>
        <v>1.4144221534001645E-2</v>
      </c>
      <c r="O188" s="23">
        <f>H188/K188</f>
        <v>2.084146421864732E-2</v>
      </c>
      <c r="P188" s="24">
        <f>K188/V188</f>
        <v>1074.1573532626937</v>
      </c>
      <c r="Q188" s="24">
        <f>H188/V188</f>
        <v>22.38701204322134</v>
      </c>
      <c r="R188" s="62">
        <v>1074.1600000000001</v>
      </c>
      <c r="S188" s="62">
        <v>1074.1600000000001</v>
      </c>
      <c r="T188" s="62">
        <v>19</v>
      </c>
      <c r="U188" s="62">
        <v>324653</v>
      </c>
      <c r="V188" s="62">
        <v>324747</v>
      </c>
    </row>
    <row r="189" spans="1:22" ht="15" customHeight="1">
      <c r="A189" s="69">
        <v>157</v>
      </c>
      <c r="B189" s="71" t="s">
        <v>198</v>
      </c>
      <c r="C189" s="70" t="s">
        <v>62</v>
      </c>
      <c r="D189" s="62">
        <v>67624399.319999993</v>
      </c>
      <c r="E189" s="62">
        <v>1720196.15</v>
      </c>
      <c r="F189" s="10">
        <v>0</v>
      </c>
      <c r="G189" s="62">
        <v>234852.25</v>
      </c>
      <c r="H189" s="62">
        <f t="shared" ref="H189:H199" si="63">(E189+F189)-G189</f>
        <v>1485343.9</v>
      </c>
      <c r="I189" s="62">
        <v>128214417.3</v>
      </c>
      <c r="J189" s="13">
        <f t="shared" ref="J189:J199" si="64">(I189/$I$203)</f>
        <v>2.4932031455337177E-3</v>
      </c>
      <c r="K189" s="62">
        <v>130084681.48</v>
      </c>
      <c r="L189" s="13">
        <f t="shared" ref="L189:L198" si="65">(K189/$K$203)</f>
        <v>2.4784616228805852E-3</v>
      </c>
      <c r="M189" s="13">
        <f t="shared" ref="M189:M198" si="66">((K189-I189)/I189)</f>
        <v>1.4587003703521938E-2</v>
      </c>
      <c r="N189" s="23">
        <f t="shared" ref="N189:N199" si="67">(G189/K189)</f>
        <v>1.805379752081782E-3</v>
      </c>
      <c r="O189" s="23">
        <f t="shared" ref="O189:O199" si="68">H189/K189</f>
        <v>1.1418284482853314E-2</v>
      </c>
      <c r="P189" s="24">
        <f t="shared" ref="P189:P199" si="69">K189/V189</f>
        <v>115.39224809859792</v>
      </c>
      <c r="Q189" s="24">
        <f t="shared" ref="Q189:Q199" si="70">H189/V189</f>
        <v>1.3175815159057804</v>
      </c>
      <c r="R189" s="62">
        <v>115.9</v>
      </c>
      <c r="S189" s="62">
        <v>115.9</v>
      </c>
      <c r="T189" s="62">
        <v>80</v>
      </c>
      <c r="U189" s="62">
        <v>1124116</v>
      </c>
      <c r="V189" s="62">
        <v>1127326</v>
      </c>
    </row>
    <row r="190" spans="1:22" ht="15" customHeight="1">
      <c r="A190" s="69">
        <v>158</v>
      </c>
      <c r="B190" s="71" t="s">
        <v>199</v>
      </c>
      <c r="C190" s="70" t="s">
        <v>172</v>
      </c>
      <c r="D190" s="62">
        <v>32145906.949999999</v>
      </c>
      <c r="E190" s="62">
        <v>650258.37</v>
      </c>
      <c r="F190" s="10">
        <v>0</v>
      </c>
      <c r="G190" s="62">
        <v>255043.94</v>
      </c>
      <c r="H190" s="62">
        <f t="shared" si="63"/>
        <v>395214.43</v>
      </c>
      <c r="I190" s="62">
        <v>59081341.899999999</v>
      </c>
      <c r="J190" s="13">
        <f t="shared" si="64"/>
        <v>1.1488707008882771E-3</v>
      </c>
      <c r="K190" s="62">
        <v>59467961.82</v>
      </c>
      <c r="L190" s="13">
        <f t="shared" si="65"/>
        <v>1.1330239616603769E-3</v>
      </c>
      <c r="M190" s="13">
        <f t="shared" si="66"/>
        <v>6.5438581380630727E-3</v>
      </c>
      <c r="N190" s="23">
        <f t="shared" si="67"/>
        <v>4.288762086246998E-3</v>
      </c>
      <c r="O190" s="23">
        <f t="shared" si="68"/>
        <v>6.6458378243439854E-3</v>
      </c>
      <c r="P190" s="24">
        <f t="shared" si="69"/>
        <v>110.33426438828899</v>
      </c>
      <c r="Q190" s="24">
        <f t="shared" si="70"/>
        <v>0.73326362759286057</v>
      </c>
      <c r="R190" s="62">
        <v>106.07</v>
      </c>
      <c r="S190" s="62">
        <v>110.33</v>
      </c>
      <c r="T190" s="62">
        <v>17</v>
      </c>
      <c r="U190" s="62">
        <v>541126</v>
      </c>
      <c r="V190" s="62">
        <v>538980</v>
      </c>
    </row>
    <row r="191" spans="1:22" ht="15" customHeight="1">
      <c r="A191" s="69">
        <v>159</v>
      </c>
      <c r="B191" s="21" t="s">
        <v>265</v>
      </c>
      <c r="C191" s="68" t="s">
        <v>71</v>
      </c>
      <c r="D191" s="62">
        <v>109235515.55</v>
      </c>
      <c r="E191" s="62">
        <v>1533515.3</v>
      </c>
      <c r="F191" s="10">
        <v>0</v>
      </c>
      <c r="G191" s="62">
        <v>507264.94</v>
      </c>
      <c r="H191" s="62">
        <f t="shared" si="63"/>
        <v>1026250.3600000001</v>
      </c>
      <c r="I191" s="19">
        <v>105770695.81999999</v>
      </c>
      <c r="J191" s="13">
        <f t="shared" si="64"/>
        <v>2.0567720625885807E-3</v>
      </c>
      <c r="K191" s="62">
        <v>107874946.18000001</v>
      </c>
      <c r="L191" s="13">
        <f t="shared" si="65"/>
        <v>2.0553066751256544E-3</v>
      </c>
      <c r="M191" s="13">
        <f t="shared" si="66"/>
        <v>1.9894455110525285E-2</v>
      </c>
      <c r="N191" s="23">
        <f t="shared" si="67"/>
        <v>4.7023424619241829E-3</v>
      </c>
      <c r="O191" s="23">
        <f t="shared" si="68"/>
        <v>9.5133336918435171E-3</v>
      </c>
      <c r="P191" s="24">
        <f t="shared" si="69"/>
        <v>1.0425610329957524</v>
      </c>
      <c r="Q191" s="24">
        <f t="shared" si="70"/>
        <v>9.9182310010016723E-3</v>
      </c>
      <c r="R191" s="62">
        <v>1.0424</v>
      </c>
      <c r="S191" s="62">
        <v>1.0424</v>
      </c>
      <c r="T191" s="62">
        <v>54</v>
      </c>
      <c r="U191" s="62">
        <v>102436318.64</v>
      </c>
      <c r="V191" s="62">
        <v>103471108.90000001</v>
      </c>
    </row>
    <row r="192" spans="1:22" ht="15" customHeight="1">
      <c r="A192" s="69">
        <v>160</v>
      </c>
      <c r="B192" s="70" t="s">
        <v>200</v>
      </c>
      <c r="C192" s="70" t="s">
        <v>75</v>
      </c>
      <c r="D192" s="62">
        <v>8058329693.8500004</v>
      </c>
      <c r="E192" s="62">
        <v>136970342.38999999</v>
      </c>
      <c r="F192" s="10">
        <v>0</v>
      </c>
      <c r="G192" s="62">
        <v>13039727.300000001</v>
      </c>
      <c r="H192" s="62">
        <f t="shared" si="63"/>
        <v>123930615.08999999</v>
      </c>
      <c r="I192" s="62">
        <v>7990852479.1199999</v>
      </c>
      <c r="J192" s="13">
        <f t="shared" si="64"/>
        <v>0.15538672604830292</v>
      </c>
      <c r="K192" s="62">
        <v>8010441931.2700005</v>
      </c>
      <c r="L192" s="13">
        <f t="shared" si="65"/>
        <v>0.15262037530543932</v>
      </c>
      <c r="M192" s="13">
        <f t="shared" si="66"/>
        <v>2.4514846446217812E-3</v>
      </c>
      <c r="N192" s="23">
        <f t="shared" si="67"/>
        <v>1.6278411867761511E-3</v>
      </c>
      <c r="O192" s="23">
        <f t="shared" si="68"/>
        <v>1.5471133322397313E-2</v>
      </c>
      <c r="P192" s="24">
        <f t="shared" si="69"/>
        <v>143.47955316501836</v>
      </c>
      <c r="Q192" s="24">
        <f t="shared" si="70"/>
        <v>2.2197912960539923</v>
      </c>
      <c r="R192" s="62">
        <v>143.47</v>
      </c>
      <c r="S192" s="62">
        <v>143.47</v>
      </c>
      <c r="T192" s="62">
        <v>693</v>
      </c>
      <c r="U192" s="62">
        <v>56428580</v>
      </c>
      <c r="V192" s="62">
        <v>55829850</v>
      </c>
    </row>
    <row r="193" spans="1:22" ht="15" customHeight="1">
      <c r="A193" s="69">
        <v>161</v>
      </c>
      <c r="B193" s="70" t="s">
        <v>226</v>
      </c>
      <c r="C193" s="70" t="s">
        <v>60</v>
      </c>
      <c r="D193" s="62">
        <v>530620540.14999998</v>
      </c>
      <c r="E193" s="62">
        <v>8759267.7200000007</v>
      </c>
      <c r="F193" s="10">
        <v>0</v>
      </c>
      <c r="G193" s="62">
        <v>1208899.75</v>
      </c>
      <c r="H193" s="62">
        <f t="shared" si="63"/>
        <v>7550367.9700000007</v>
      </c>
      <c r="I193" s="62">
        <v>466619696.19999999</v>
      </c>
      <c r="J193" s="13">
        <f t="shared" si="64"/>
        <v>9.0736885822420513E-3</v>
      </c>
      <c r="K193" s="62">
        <v>526152648.48000002</v>
      </c>
      <c r="L193" s="13">
        <f t="shared" si="65"/>
        <v>1.0024617289278224E-2</v>
      </c>
      <c r="M193" s="13">
        <f t="shared" si="66"/>
        <v>0.12758345343074276</v>
      </c>
      <c r="N193" s="23">
        <f t="shared" si="67"/>
        <v>2.2976217139500958E-3</v>
      </c>
      <c r="O193" s="23">
        <f t="shared" si="68"/>
        <v>1.4350147227828699E-2</v>
      </c>
      <c r="P193" s="24">
        <f t="shared" si="69"/>
        <v>1318.6805974175745</v>
      </c>
      <c r="Q193" s="24">
        <f t="shared" si="70"/>
        <v>18.9232607194233</v>
      </c>
      <c r="R193" s="62">
        <v>1187</v>
      </c>
      <c r="S193" s="62">
        <v>1187</v>
      </c>
      <c r="T193" s="62">
        <v>109</v>
      </c>
      <c r="U193" s="62">
        <v>398999.31</v>
      </c>
      <c r="V193" s="62">
        <v>398999.31</v>
      </c>
    </row>
    <row r="194" spans="1:22" ht="15" customHeight="1">
      <c r="A194" s="69">
        <v>162</v>
      </c>
      <c r="B194" s="71" t="s">
        <v>119</v>
      </c>
      <c r="C194" s="70" t="s">
        <v>120</v>
      </c>
      <c r="D194" s="62">
        <v>13795656046.049999</v>
      </c>
      <c r="E194" s="62">
        <v>393636217.19</v>
      </c>
      <c r="F194" s="10">
        <v>57518128.030000001</v>
      </c>
      <c r="G194" s="62">
        <v>45303510.289999999</v>
      </c>
      <c r="H194" s="62">
        <f t="shared" si="63"/>
        <v>405850834.93000001</v>
      </c>
      <c r="I194" s="62">
        <v>24309652940.240002</v>
      </c>
      <c r="J194" s="13">
        <f t="shared" si="64"/>
        <v>0.4727151942329918</v>
      </c>
      <c r="K194" s="62">
        <v>25279129785.880001</v>
      </c>
      <c r="L194" s="13">
        <f t="shared" si="65"/>
        <v>0.48163513429330096</v>
      </c>
      <c r="M194" s="13">
        <f t="shared" si="66"/>
        <v>3.9880324413649484E-2</v>
      </c>
      <c r="N194" s="23">
        <f t="shared" si="67"/>
        <v>1.7921309267261599E-3</v>
      </c>
      <c r="O194" s="23">
        <f t="shared" si="68"/>
        <v>1.6054778719348697E-2</v>
      </c>
      <c r="P194" s="24">
        <f t="shared" si="69"/>
        <v>1264.7593465119519</v>
      </c>
      <c r="Q194" s="24">
        <f t="shared" si="70"/>
        <v>20.305431441477449</v>
      </c>
      <c r="R194" s="62">
        <v>1264.76</v>
      </c>
      <c r="S194" s="62">
        <v>1264.76</v>
      </c>
      <c r="T194" s="62">
        <v>9638</v>
      </c>
      <c r="U194" s="62">
        <v>19525664.309999999</v>
      </c>
      <c r="V194" s="62">
        <v>19987304.190000001</v>
      </c>
    </row>
    <row r="195" spans="1:22" s="4" customFormat="1" ht="15" customHeight="1">
      <c r="A195" s="69">
        <v>163</v>
      </c>
      <c r="B195" s="80" t="s">
        <v>223</v>
      </c>
      <c r="C195" s="80" t="s">
        <v>224</v>
      </c>
      <c r="D195" s="62">
        <v>320599552.64999998</v>
      </c>
      <c r="E195" s="62">
        <v>4718700</v>
      </c>
      <c r="F195" s="10">
        <v>14679333.380000001</v>
      </c>
      <c r="G195" s="62">
        <v>708399.98</v>
      </c>
      <c r="H195" s="62">
        <f t="shared" si="63"/>
        <v>18689633.400000002</v>
      </c>
      <c r="I195" s="62">
        <v>409720219.75800002</v>
      </c>
      <c r="J195" s="13">
        <f t="shared" si="64"/>
        <v>7.9672455110819402E-3</v>
      </c>
      <c r="K195" s="62">
        <v>403075996.13</v>
      </c>
      <c r="L195" s="13">
        <f t="shared" si="65"/>
        <v>7.6796773928078663E-3</v>
      </c>
      <c r="M195" s="13">
        <f t="shared" si="66"/>
        <v>-1.6216489466700987E-2</v>
      </c>
      <c r="N195" s="23">
        <f t="shared" si="67"/>
        <v>1.7574849080606797E-3</v>
      </c>
      <c r="O195" s="23">
        <f t="shared" si="68"/>
        <v>4.6367517737206619E-2</v>
      </c>
      <c r="P195" s="24">
        <f t="shared" si="69"/>
        <v>124.67583508670134</v>
      </c>
      <c r="Q195" s="24">
        <f t="shared" si="70"/>
        <v>5.7809089947836725</v>
      </c>
      <c r="R195" s="62">
        <v>124</v>
      </c>
      <c r="S195" s="62">
        <v>125.03</v>
      </c>
      <c r="T195" s="62">
        <v>146</v>
      </c>
      <c r="U195" s="62">
        <v>3222588.8</v>
      </c>
      <c r="V195" s="62">
        <v>3232992.15</v>
      </c>
    </row>
    <row r="196" spans="1:22" s="4" customFormat="1" ht="15" customHeight="1">
      <c r="A196" s="69">
        <v>164</v>
      </c>
      <c r="B196" s="80" t="s">
        <v>225</v>
      </c>
      <c r="C196" s="80" t="s">
        <v>224</v>
      </c>
      <c r="D196" s="62">
        <v>58522050.600000001</v>
      </c>
      <c r="E196" s="62">
        <v>5790929</v>
      </c>
      <c r="F196" s="10">
        <v>1522058.69</v>
      </c>
      <c r="G196" s="62">
        <v>180592.92</v>
      </c>
      <c r="H196" s="62">
        <f t="shared" si="63"/>
        <v>7132394.7699999996</v>
      </c>
      <c r="I196" s="62">
        <v>108641158.8</v>
      </c>
      <c r="J196" s="13">
        <f t="shared" si="64"/>
        <v>2.1125898674936934E-3</v>
      </c>
      <c r="K196" s="62">
        <v>110822495.51000001</v>
      </c>
      <c r="L196" s="13">
        <f t="shared" si="65"/>
        <v>2.1114653850739548E-3</v>
      </c>
      <c r="M196" s="13">
        <f t="shared" si="66"/>
        <v>2.0078363799632154E-2</v>
      </c>
      <c r="N196" s="23">
        <f t="shared" si="67"/>
        <v>1.6295691517224887E-3</v>
      </c>
      <c r="O196" s="23">
        <f t="shared" si="68"/>
        <v>6.4358727324962756E-2</v>
      </c>
      <c r="P196" s="24">
        <f t="shared" si="69"/>
        <v>111.83118145398413</v>
      </c>
      <c r="Q196" s="24">
        <f t="shared" si="70"/>
        <v>7.1973125136253966</v>
      </c>
      <c r="R196" s="62">
        <v>111.69</v>
      </c>
      <c r="S196" s="62">
        <v>11169</v>
      </c>
      <c r="T196" s="62">
        <v>66</v>
      </c>
      <c r="U196" s="62">
        <v>984074.98</v>
      </c>
      <c r="V196" s="62">
        <v>990980.28</v>
      </c>
    </row>
    <row r="197" spans="1:22" ht="16.2" customHeight="1">
      <c r="A197" s="69">
        <v>165</v>
      </c>
      <c r="B197" s="70" t="s">
        <v>201</v>
      </c>
      <c r="C197" s="70" t="s">
        <v>146</v>
      </c>
      <c r="D197" s="62">
        <v>989206865.91999996</v>
      </c>
      <c r="E197" s="62">
        <v>18024113.530000001</v>
      </c>
      <c r="F197" s="10">
        <v>0</v>
      </c>
      <c r="G197" s="62">
        <v>573934.06999999995</v>
      </c>
      <c r="H197" s="62">
        <f t="shared" si="63"/>
        <v>17450179.460000001</v>
      </c>
      <c r="I197" s="62">
        <v>1234717019.9000001</v>
      </c>
      <c r="J197" s="13">
        <f t="shared" si="64"/>
        <v>2.4009783163899293E-2</v>
      </c>
      <c r="K197" s="62">
        <v>1377707782.6199999</v>
      </c>
      <c r="L197" s="13">
        <f t="shared" si="65"/>
        <v>2.624902354311839E-2</v>
      </c>
      <c r="M197" s="13">
        <f t="shared" si="66"/>
        <v>0.11580852974034539</v>
      </c>
      <c r="N197" s="23">
        <f t="shared" si="67"/>
        <v>4.1658621460970781E-4</v>
      </c>
      <c r="O197" s="23">
        <f t="shared" si="68"/>
        <v>1.2666096308765005E-2</v>
      </c>
      <c r="P197" s="24">
        <f t="shared" si="69"/>
        <v>106.1647882599684</v>
      </c>
      <c r="Q197" s="24">
        <f t="shared" si="70"/>
        <v>1.3446934327004041</v>
      </c>
      <c r="R197" s="62">
        <v>106.16</v>
      </c>
      <c r="S197" s="62">
        <v>106.16</v>
      </c>
      <c r="T197" s="62">
        <v>593</v>
      </c>
      <c r="U197" s="62">
        <v>11764995</v>
      </c>
      <c r="V197" s="62">
        <v>12977069</v>
      </c>
    </row>
    <row r="198" spans="1:22" s="4" customFormat="1">
      <c r="A198" s="69">
        <v>166</v>
      </c>
      <c r="B198" s="71" t="s">
        <v>202</v>
      </c>
      <c r="C198" s="71" t="s">
        <v>46</v>
      </c>
      <c r="D198" s="62">
        <v>6431911448.7299995</v>
      </c>
      <c r="E198" s="62">
        <v>62573094.109999999</v>
      </c>
      <c r="F198" s="10">
        <v>0</v>
      </c>
      <c r="G198" s="62">
        <v>11171316.460000001</v>
      </c>
      <c r="H198" s="62">
        <f t="shared" si="63"/>
        <v>51401777.649999999</v>
      </c>
      <c r="I198" s="62">
        <v>6954184339.04</v>
      </c>
      <c r="J198" s="13">
        <f t="shared" si="64"/>
        <v>0.13522811735085463</v>
      </c>
      <c r="K198" s="62">
        <v>6404147660.4399996</v>
      </c>
      <c r="L198" s="13">
        <f t="shared" si="65"/>
        <v>0.12201616687743011</v>
      </c>
      <c r="M198" s="13">
        <f t="shared" si="66"/>
        <v>-7.9094348349691715E-2</v>
      </c>
      <c r="N198" s="23">
        <f t="shared" si="67"/>
        <v>1.7443877081423308E-3</v>
      </c>
      <c r="O198" s="23">
        <f t="shared" si="68"/>
        <v>8.0263261210420656E-3</v>
      </c>
      <c r="P198" s="24">
        <f t="shared" si="69"/>
        <v>134.29892228700788</v>
      </c>
      <c r="Q198" s="24">
        <f t="shared" si="70"/>
        <v>1.0779269479800098</v>
      </c>
      <c r="R198" s="62">
        <v>134.30000000000001</v>
      </c>
      <c r="S198" s="62">
        <v>134.30000000000001</v>
      </c>
      <c r="T198" s="62">
        <v>1254</v>
      </c>
      <c r="U198" s="62">
        <v>6404147660.4399996</v>
      </c>
      <c r="V198" s="62">
        <v>47685771.049999997</v>
      </c>
    </row>
    <row r="199" spans="1:22" ht="15" customHeight="1">
      <c r="A199" s="69">
        <v>167</v>
      </c>
      <c r="B199" s="70" t="s">
        <v>203</v>
      </c>
      <c r="C199" s="70" t="s">
        <v>50</v>
      </c>
      <c r="D199" s="62">
        <v>3049285413.9899998</v>
      </c>
      <c r="E199" s="62">
        <v>41777171</v>
      </c>
      <c r="F199" s="10">
        <v>0</v>
      </c>
      <c r="G199" s="62">
        <v>6308034</v>
      </c>
      <c r="H199" s="62">
        <f t="shared" si="63"/>
        <v>35469137</v>
      </c>
      <c r="I199" s="62">
        <v>3806156814</v>
      </c>
      <c r="J199" s="13">
        <f t="shared" si="64"/>
        <v>7.4012910099302789E-2</v>
      </c>
      <c r="K199" s="62">
        <v>3839662550.4400001</v>
      </c>
      <c r="L199" s="13">
        <f t="shared" ref="L199" si="71">(K199/$K$203)</f>
        <v>7.3155856383754492E-2</v>
      </c>
      <c r="M199" s="13">
        <f t="shared" si="62"/>
        <v>8.8030362587157608E-3</v>
      </c>
      <c r="N199" s="23">
        <f t="shared" si="67"/>
        <v>1.6428615580494543E-3</v>
      </c>
      <c r="O199" s="23">
        <f t="shared" si="68"/>
        <v>9.237566201210955E-3</v>
      </c>
      <c r="P199" s="24">
        <f t="shared" si="69"/>
        <v>1.2092128608222359</v>
      </c>
      <c r="Q199" s="24">
        <f t="shared" si="70"/>
        <v>1.1170183853201093E-2</v>
      </c>
      <c r="R199" s="62">
        <v>1.21</v>
      </c>
      <c r="S199" s="62">
        <v>1.21</v>
      </c>
      <c r="T199" s="62">
        <v>157</v>
      </c>
      <c r="U199" s="62">
        <v>3175102843.54</v>
      </c>
      <c r="V199" s="62">
        <v>3175340483.75</v>
      </c>
    </row>
    <row r="200" spans="1:22" ht="4.95" customHeight="1">
      <c r="A200" s="88"/>
      <c r="B200" s="21"/>
      <c r="C200" s="21"/>
      <c r="D200" s="11"/>
      <c r="E200" s="11"/>
      <c r="F200" s="11"/>
      <c r="G200" s="35"/>
      <c r="H200" s="12"/>
      <c r="I200" s="25"/>
      <c r="J200" s="13"/>
      <c r="K200" s="36"/>
      <c r="L200" s="13"/>
      <c r="M200" s="13"/>
      <c r="N200" s="23"/>
      <c r="O200" s="23"/>
      <c r="P200" s="24"/>
      <c r="Q200" s="24"/>
      <c r="R200" s="12"/>
      <c r="S200" s="12"/>
      <c r="T200" s="40"/>
      <c r="U200" s="35"/>
      <c r="V200" s="40"/>
    </row>
    <row r="201" spans="1:22" ht="15" customHeight="1">
      <c r="A201" s="105" t="s">
        <v>221</v>
      </c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</row>
    <row r="202" spans="1:22" ht="15" customHeight="1">
      <c r="A202" s="88">
        <v>168</v>
      </c>
      <c r="B202" s="68" t="s">
        <v>222</v>
      </c>
      <c r="C202" s="21" t="s">
        <v>120</v>
      </c>
      <c r="D202" s="18">
        <v>77842192.400000006</v>
      </c>
      <c r="E202" s="34">
        <v>2998301.28</v>
      </c>
      <c r="F202" s="18">
        <v>6480000</v>
      </c>
      <c r="G202" s="10">
        <v>573702.15</v>
      </c>
      <c r="H202" s="12">
        <f>(E202+F202)-G202</f>
        <v>8904599.129999999</v>
      </c>
      <c r="I202" s="19">
        <v>220221883.09999999</v>
      </c>
      <c r="J202" s="13">
        <f>(I202/$I$203)</f>
        <v>4.2823412781698043E-3</v>
      </c>
      <c r="K202" s="19">
        <v>228204430.34999999</v>
      </c>
      <c r="L202" s="13">
        <f>(K202/$K$203)</f>
        <v>4.3479056592897799E-3</v>
      </c>
      <c r="M202" s="13">
        <f>((K202-I202)/I202)</f>
        <v>3.6247747669904476E-2</v>
      </c>
      <c r="N202" s="23">
        <f>(G202/K202)</f>
        <v>2.5139834012867577E-3</v>
      </c>
      <c r="O202" s="23">
        <f>H202/K202</f>
        <v>3.902027281566315E-2</v>
      </c>
      <c r="P202" s="24">
        <f>K202/V202</f>
        <v>1221.4664675425943</v>
      </c>
      <c r="Q202" s="24">
        <f>H202/V202</f>
        <v>47.661954798696385</v>
      </c>
      <c r="R202" s="12">
        <v>1221.47</v>
      </c>
      <c r="S202" s="12">
        <v>1221.47</v>
      </c>
      <c r="T202" s="10">
        <v>28</v>
      </c>
      <c r="U202" s="10">
        <v>186705.15</v>
      </c>
      <c r="V202" s="10">
        <v>186828.24</v>
      </c>
    </row>
    <row r="203" spans="1:22" ht="15" customHeight="1">
      <c r="A203" s="98" t="s">
        <v>51</v>
      </c>
      <c r="B203" s="98"/>
      <c r="C203" s="98"/>
      <c r="D203" s="98"/>
      <c r="E203" s="98"/>
      <c r="F203" s="98"/>
      <c r="G203" s="98"/>
      <c r="H203" s="98"/>
      <c r="I203" s="39">
        <f>SUM(I184:I202)</f>
        <v>51425579792.678009</v>
      </c>
      <c r="J203" s="13">
        <f>(I203/$I$204)</f>
        <v>1.339554913384833E-2</v>
      </c>
      <c r="K203" s="39">
        <f>SUM(K184:K202)</f>
        <v>52486058399.730011</v>
      </c>
      <c r="L203" s="13">
        <f>(K203/$K$204)</f>
        <v>1.3692037509195421E-2</v>
      </c>
      <c r="M203" s="13">
        <f t="shared" si="62"/>
        <v>2.0621616933193882E-2</v>
      </c>
      <c r="N203" s="23"/>
      <c r="O203" s="23"/>
      <c r="P203" s="24"/>
      <c r="Q203" s="24"/>
      <c r="R203" s="10"/>
      <c r="S203" s="10"/>
      <c r="T203" s="39">
        <f>SUM(T184:T199)</f>
        <v>28653</v>
      </c>
      <c r="U203" s="10"/>
      <c r="V203" s="10"/>
    </row>
    <row r="204" spans="1:22" ht="15" customHeight="1">
      <c r="A204" s="104" t="s">
        <v>204</v>
      </c>
      <c r="B204" s="104"/>
      <c r="C204" s="104"/>
      <c r="D204" s="104"/>
      <c r="E204" s="104"/>
      <c r="F204" s="104"/>
      <c r="G204" s="104"/>
      <c r="H204" s="104"/>
      <c r="I204" s="48">
        <f>SUM(I24,I62,I100,I135,I143,I174,I180,I203)</f>
        <v>3839004976864.5991</v>
      </c>
      <c r="J204" s="49"/>
      <c r="K204" s="48">
        <f>SUM(K24,K62,K100,K135,K143,K174,K180,K203)</f>
        <v>3833327097189.2207</v>
      </c>
      <c r="L204" s="41"/>
      <c r="M204" s="41"/>
      <c r="N204" s="42"/>
      <c r="O204" s="42"/>
      <c r="P204" s="43"/>
      <c r="Q204" s="43"/>
      <c r="R204" s="44"/>
      <c r="S204" s="44"/>
      <c r="T204" s="48">
        <f>SUM(T24,T62,T100,T135,T143,T174,T180,T203)</f>
        <v>775458</v>
      </c>
      <c r="U204" s="44"/>
      <c r="V204" s="44"/>
    </row>
    <row r="205" spans="1:22" ht="5.0999999999999996" customHeight="1">
      <c r="A205" s="6"/>
      <c r="B205" s="15"/>
      <c r="C205" s="15"/>
      <c r="D205" s="5"/>
      <c r="E205" s="5"/>
      <c r="F205" s="5"/>
      <c r="G205" s="5"/>
      <c r="H205" s="7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>
      <c r="A206" s="14" t="s">
        <v>205</v>
      </c>
      <c r="B206" s="63" t="s">
        <v>272</v>
      </c>
      <c r="C206" s="17"/>
      <c r="D206" s="5"/>
      <c r="E206" s="5"/>
      <c r="F206" s="5"/>
      <c r="G206" s="5"/>
      <c r="H206" s="7"/>
      <c r="I206" s="8"/>
      <c r="J206" s="5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9"/>
    </row>
  </sheetData>
  <sheetProtection algorithmName="SHA-512" hashValue="WZF+vxAhXLsDNx1VkbauVRZsSVVgg0GO3kY6yQOdq01nFA+7ODOa/94Jbaod/s+FgzJ7GHhV763nhHqEpe5+DA==" saltValue="NILUTGb3SnMt8M/DgOLiOA==" spinCount="100000" sheet="1" objects="1" scenarios="1"/>
  <mergeCells count="33">
    <mergeCell ref="A180:H180"/>
    <mergeCell ref="A203:H203"/>
    <mergeCell ref="A204:H204"/>
    <mergeCell ref="A181:V181"/>
    <mergeCell ref="A182:V182"/>
    <mergeCell ref="A183:V183"/>
    <mergeCell ref="A186:V186"/>
    <mergeCell ref="A187:V187"/>
    <mergeCell ref="A201:V201"/>
    <mergeCell ref="A176:V176"/>
    <mergeCell ref="A103:V103"/>
    <mergeCell ref="A119:V119"/>
    <mergeCell ref="A120:V120"/>
    <mergeCell ref="A135:H135"/>
    <mergeCell ref="A136:V136"/>
    <mergeCell ref="A137:V137"/>
    <mergeCell ref="A143:H143"/>
    <mergeCell ref="A144:V144"/>
    <mergeCell ref="A145:V145"/>
    <mergeCell ref="A174:H174"/>
    <mergeCell ref="A175:V175"/>
    <mergeCell ref="A102:V102"/>
    <mergeCell ref="A1:V1"/>
    <mergeCell ref="A3:V3"/>
    <mergeCell ref="A4:V4"/>
    <mergeCell ref="A24:H24"/>
    <mergeCell ref="A25:V25"/>
    <mergeCell ref="A26:V26"/>
    <mergeCell ref="A62:H62"/>
    <mergeCell ref="A63:V63"/>
    <mergeCell ref="A64:V64"/>
    <mergeCell ref="A100:H100"/>
    <mergeCell ref="A101:V101"/>
  </mergeCells>
  <pageMargins left="0.7" right="0.7" top="0.75" bottom="0.75" header="0.3" footer="0.3"/>
  <pageSetup scale="79" orientation="portrait" r:id="rId1"/>
  <rowBreaks count="1" manualBreakCount="1">
    <brk id="62" max="16383" man="1"/>
  </rowBreaks>
  <colBreaks count="1" manualBreakCount="1">
    <brk id="3" max="1048575" man="1"/>
  </colBreaks>
  <ignoredErrors>
    <ignoredError sqref="J24 J62 J100 J143 J174 J180 J203 H123 J1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7" sqref="H7"/>
    </sheetView>
  </sheetViews>
  <sheetFormatPr defaultColWidth="9" defaultRowHeight="14.4"/>
  <cols>
    <col min="1" max="1" width="34" customWidth="1"/>
    <col min="2" max="2" width="11.6640625" customWidth="1"/>
    <col min="3" max="3" width="11.5546875" customWidth="1"/>
    <col min="4" max="4" width="11" customWidth="1"/>
  </cols>
  <sheetData>
    <row r="1" spans="1:5">
      <c r="A1" s="2"/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83"/>
      <c r="B3" s="83"/>
      <c r="C3" s="83"/>
      <c r="D3" s="83"/>
      <c r="E3" s="2"/>
    </row>
    <row r="4" spans="1:5" ht="33" customHeight="1">
      <c r="A4" s="108" t="s">
        <v>206</v>
      </c>
      <c r="B4" s="109" t="s">
        <v>267</v>
      </c>
      <c r="C4" s="109" t="s">
        <v>268</v>
      </c>
      <c r="D4" s="109" t="s">
        <v>277</v>
      </c>
      <c r="E4" s="110"/>
    </row>
    <row r="5" spans="1:5" ht="18.899999999999999" customHeight="1">
      <c r="A5" s="111" t="s">
        <v>20</v>
      </c>
      <c r="B5" s="112">
        <v>30.628950018609999</v>
      </c>
      <c r="C5" s="112">
        <f>[1]November!K24/1000000000</f>
        <v>31.228529608879999</v>
      </c>
      <c r="D5" s="113">
        <f>December!K24/1000000000</f>
        <v>33.205769505459998</v>
      </c>
      <c r="E5" s="110"/>
    </row>
    <row r="6" spans="1:5">
      <c r="A6" s="108" t="s">
        <v>52</v>
      </c>
      <c r="B6" s="112">
        <v>1510.5252124151007</v>
      </c>
      <c r="C6" s="112">
        <f>[1]November!K61/1000000000</f>
        <v>1584.1650796173797</v>
      </c>
      <c r="D6" s="114">
        <f>December!K62/1000000000</f>
        <v>1698.8041475135601</v>
      </c>
      <c r="E6" s="110"/>
    </row>
    <row r="7" spans="1:5">
      <c r="A7" s="108" t="s">
        <v>207</v>
      </c>
      <c r="B7" s="112">
        <v>209.49459869465005</v>
      </c>
      <c r="C7" s="112">
        <f>[1]November!K98/1000000000</f>
        <v>199.84515983545998</v>
      </c>
      <c r="D7" s="113">
        <f>December!K100/1000000000</f>
        <v>186.56969501159</v>
      </c>
      <c r="E7" s="110"/>
    </row>
    <row r="8" spans="1:5">
      <c r="A8" s="108" t="s">
        <v>208</v>
      </c>
      <c r="B8" s="112">
        <v>1786.413448419692</v>
      </c>
      <c r="C8" s="112">
        <f>[1]November!K132/1000000000</f>
        <v>1813.5641643351717</v>
      </c>
      <c r="D8" s="114">
        <f>December!K135/1000000000</f>
        <v>1702.1319299943202</v>
      </c>
      <c r="E8" s="110"/>
    </row>
    <row r="9" spans="1:5">
      <c r="A9" s="108" t="s">
        <v>209</v>
      </c>
      <c r="B9" s="112">
        <v>99.346313362030003</v>
      </c>
      <c r="C9" s="112">
        <f>[1]November!K140/1000000000</f>
        <v>99.731344023310001</v>
      </c>
      <c r="D9" s="113">
        <f>December!K143/1000000000</f>
        <v>99.766059352709988</v>
      </c>
      <c r="E9" s="110"/>
    </row>
    <row r="10" spans="1:5">
      <c r="A10" s="108" t="s">
        <v>163</v>
      </c>
      <c r="B10" s="112">
        <v>52.694261751090004</v>
      </c>
      <c r="C10" s="112">
        <f>[1]November!K171/1000000000</f>
        <v>53.404869418139995</v>
      </c>
      <c r="D10" s="113">
        <f>December!K174/1000000000</f>
        <v>54.456634889870003</v>
      </c>
      <c r="E10" s="110"/>
    </row>
    <row r="11" spans="1:5">
      <c r="A11" s="108" t="s">
        <v>188</v>
      </c>
      <c r="B11" s="112">
        <v>5.4822518282099999</v>
      </c>
      <c r="C11" s="112">
        <f>[1]November!K177/1000000000</f>
        <v>5.6402502335799998</v>
      </c>
      <c r="D11" s="113">
        <f>December!K180/1000000000</f>
        <v>5.9068025219799996</v>
      </c>
      <c r="E11" s="110"/>
    </row>
    <row r="12" spans="1:5">
      <c r="A12" s="108" t="s">
        <v>210</v>
      </c>
      <c r="B12" s="112">
        <v>50.610103410020002</v>
      </c>
      <c r="C12" s="112">
        <f>[1]November!K200/1000000000</f>
        <v>51.425579792678008</v>
      </c>
      <c r="D12" s="113">
        <f>December!K203/1000000000</f>
        <v>52.486058399730013</v>
      </c>
      <c r="E12" s="110"/>
    </row>
    <row r="13" spans="1:5">
      <c r="A13" s="115"/>
      <c r="B13" s="115"/>
      <c r="C13" s="115"/>
      <c r="D13" s="115"/>
      <c r="E13" s="110"/>
    </row>
    <row r="14" spans="1:5">
      <c r="A14" s="115"/>
      <c r="B14" s="115"/>
      <c r="C14" s="115"/>
      <c r="D14" s="115"/>
      <c r="E14" s="110"/>
    </row>
    <row r="15" spans="1:5">
      <c r="A15" s="83"/>
      <c r="B15" s="83"/>
      <c r="C15" s="83"/>
      <c r="D15" s="83"/>
      <c r="E15" s="2"/>
    </row>
    <row r="16" spans="1:5">
      <c r="A16" s="83"/>
      <c r="B16" s="84"/>
      <c r="C16" s="83"/>
      <c r="D16" s="83"/>
      <c r="E16" s="2"/>
    </row>
    <row r="17" spans="1:5">
      <c r="A17" s="85"/>
      <c r="B17" s="86"/>
      <c r="C17" s="87"/>
      <c r="D17" s="83"/>
      <c r="E17" s="2"/>
    </row>
    <row r="18" spans="1:5" ht="15.6">
      <c r="A18" s="50"/>
      <c r="B18" s="53"/>
      <c r="C18" s="54"/>
      <c r="D18" s="2"/>
      <c r="E18" s="2"/>
    </row>
    <row r="19" spans="1:5">
      <c r="A19" s="55"/>
      <c r="B19" s="52"/>
      <c r="C19" s="56"/>
      <c r="D19" s="2"/>
      <c r="E19" s="2"/>
    </row>
    <row r="20" spans="1:5">
      <c r="A20" s="55"/>
      <c r="B20" s="53"/>
      <c r="C20" s="54"/>
      <c r="D20" s="2"/>
      <c r="E20" s="2"/>
    </row>
    <row r="21" spans="1:5">
      <c r="A21" s="55"/>
      <c r="B21" s="52"/>
      <c r="C21" s="56"/>
      <c r="D21" s="2"/>
      <c r="E21" s="2"/>
    </row>
    <row r="22" spans="1:5">
      <c r="A22" s="55"/>
      <c r="B22" s="57"/>
      <c r="C22" s="58"/>
      <c r="D22" s="2"/>
      <c r="E22" s="2"/>
    </row>
    <row r="23" spans="1:5">
      <c r="A23" s="55"/>
      <c r="B23" s="52"/>
      <c r="C23" s="56"/>
      <c r="D23" s="2"/>
      <c r="E23" s="2"/>
    </row>
    <row r="24" spans="1:5">
      <c r="A24" s="55"/>
      <c r="B24" s="52"/>
      <c r="C24" s="51"/>
      <c r="D24" s="2"/>
      <c r="E24" s="2"/>
    </row>
    <row r="25" spans="1:5">
      <c r="A25" s="55"/>
      <c r="B25" s="52"/>
      <c r="C25" s="52"/>
      <c r="D25" s="2"/>
      <c r="E25" s="2"/>
    </row>
    <row r="26" spans="1:5">
      <c r="A26" s="55"/>
      <c r="B26" s="52"/>
      <c r="C26" s="5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</sheetData>
  <sheetProtection algorithmName="SHA-512" hashValue="Frwv6gRYRbRhxJOcMCC8ax+cDxKvlfXZ8sE/0PV6K2+UF3z0GyQ8AvuEAuAW1kZW32avCKDUmz1ymRTcs+71qQ==" saltValue="rFc9VNb1fbCwGniKdAnbT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J10" sqref="J10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6">
      <c r="A1" s="116" t="s">
        <v>206</v>
      </c>
      <c r="B1" s="117" t="s">
        <v>277</v>
      </c>
      <c r="C1" s="110"/>
      <c r="D1" s="2"/>
      <c r="E1" s="2"/>
      <c r="F1" s="2"/>
    </row>
    <row r="2" spans="1:6">
      <c r="A2" s="116" t="s">
        <v>188</v>
      </c>
      <c r="B2" s="118">
        <f>December!K180</f>
        <v>5906802521.9799995</v>
      </c>
      <c r="C2" s="110"/>
      <c r="D2" s="2"/>
      <c r="E2" s="2"/>
      <c r="F2" s="2"/>
    </row>
    <row r="3" spans="1:6">
      <c r="A3" s="116" t="s">
        <v>20</v>
      </c>
      <c r="B3" s="119">
        <f>December!K24</f>
        <v>33205769505.459999</v>
      </c>
      <c r="C3" s="110"/>
      <c r="D3" s="2"/>
      <c r="E3" s="2"/>
      <c r="F3" s="2"/>
    </row>
    <row r="4" spans="1:6">
      <c r="A4" s="116" t="s">
        <v>210</v>
      </c>
      <c r="B4" s="120">
        <f>December!K203</f>
        <v>52486058399.730011</v>
      </c>
      <c r="C4" s="110"/>
      <c r="D4" s="2"/>
      <c r="E4" s="2"/>
      <c r="F4" s="2"/>
    </row>
    <row r="5" spans="1:6">
      <c r="A5" s="116" t="s">
        <v>163</v>
      </c>
      <c r="B5" s="120">
        <f>December!K174</f>
        <v>54456634889.870003</v>
      </c>
      <c r="C5" s="110"/>
      <c r="D5" s="2"/>
      <c r="E5" s="2"/>
      <c r="F5" s="2"/>
    </row>
    <row r="6" spans="1:6">
      <c r="A6" s="116" t="s">
        <v>209</v>
      </c>
      <c r="B6" s="121">
        <f>December!K143</f>
        <v>99766059352.709991</v>
      </c>
      <c r="C6" s="110"/>
      <c r="D6" s="2"/>
      <c r="E6" s="2"/>
      <c r="F6" s="2"/>
    </row>
    <row r="7" spans="1:6">
      <c r="A7" s="116" t="s">
        <v>207</v>
      </c>
      <c r="B7" s="121">
        <f>December!K100</f>
        <v>186569695011.59</v>
      </c>
      <c r="C7" s="110"/>
      <c r="D7" s="2"/>
      <c r="E7" s="2"/>
      <c r="F7" s="2"/>
    </row>
    <row r="8" spans="1:6">
      <c r="A8" s="116" t="s">
        <v>208</v>
      </c>
      <c r="B8" s="120">
        <f>December!K135</f>
        <v>1702131929994.3203</v>
      </c>
      <c r="C8" s="110"/>
      <c r="D8" s="2"/>
      <c r="E8" s="2"/>
      <c r="F8" s="2"/>
    </row>
    <row r="9" spans="1:6">
      <c r="A9" s="116" t="s">
        <v>52</v>
      </c>
      <c r="B9" s="120">
        <f>December!K62</f>
        <v>1698804147513.5601</v>
      </c>
      <c r="C9" s="110"/>
      <c r="D9" s="2"/>
      <c r="E9" s="2"/>
      <c r="F9" s="2"/>
    </row>
    <row r="10" spans="1:6">
      <c r="A10" s="110"/>
      <c r="B10" s="110"/>
      <c r="C10" s="110"/>
      <c r="D10" s="2"/>
      <c r="E10" s="2"/>
      <c r="F10" s="2"/>
    </row>
    <row r="11" spans="1:6">
      <c r="A11" s="122"/>
      <c r="B11" s="110"/>
      <c r="C11" s="110"/>
      <c r="D11" s="2"/>
      <c r="E11" s="2"/>
      <c r="F11" s="2"/>
    </row>
    <row r="12" spans="1:6">
      <c r="A12" s="116"/>
      <c r="B12" s="110"/>
      <c r="C12" s="110"/>
      <c r="D12" s="2"/>
      <c r="E12" s="2"/>
      <c r="F12" s="2"/>
    </row>
    <row r="13" spans="1:6" ht="15" customHeight="1">
      <c r="A13" s="116"/>
      <c r="B13" s="123"/>
      <c r="C13" s="110"/>
      <c r="D13" s="2"/>
      <c r="E13" s="2"/>
      <c r="F13" s="2"/>
    </row>
    <row r="14" spans="1:6">
      <c r="A14" s="124"/>
      <c r="B14" s="123"/>
      <c r="C14" s="110"/>
      <c r="D14" s="2"/>
      <c r="E14" s="2"/>
      <c r="F14" s="2"/>
    </row>
    <row r="15" spans="1:6">
      <c r="A15" s="124"/>
      <c r="B15" s="123"/>
      <c r="C15" s="110"/>
      <c r="D15" s="2"/>
      <c r="E15" s="2"/>
      <c r="F15" s="2"/>
    </row>
    <row r="16" spans="1:6">
      <c r="A16" s="125"/>
      <c r="B16" s="123"/>
      <c r="C16" s="110"/>
      <c r="D16" s="2"/>
      <c r="E16" s="2"/>
      <c r="F16" s="2"/>
    </row>
    <row r="17" spans="1:17">
      <c r="A17" s="125"/>
      <c r="B17" s="123"/>
      <c r="C17" s="110"/>
      <c r="D17" s="2"/>
      <c r="E17" s="2"/>
      <c r="F17" s="2"/>
    </row>
    <row r="18" spans="1:17">
      <c r="A18" s="124"/>
      <c r="B18" s="123"/>
      <c r="C18" s="110"/>
      <c r="D18" s="2"/>
      <c r="E18" s="2"/>
      <c r="F18" s="2"/>
    </row>
    <row r="19" spans="1:17">
      <c r="A19" s="25"/>
      <c r="B19" s="59"/>
      <c r="C19" s="2"/>
      <c r="D19" s="2"/>
      <c r="E19" s="2"/>
      <c r="F19" s="2"/>
    </row>
    <row r="20" spans="1:17">
      <c r="A20" s="60"/>
      <c r="B20" s="59"/>
      <c r="C20" s="2"/>
      <c r="D20" s="2"/>
      <c r="E20" s="2"/>
      <c r="F20" s="2"/>
    </row>
    <row r="21" spans="1:17">
      <c r="A21" s="55"/>
      <c r="B21" s="93"/>
      <c r="C21" s="2"/>
      <c r="D21" s="2"/>
      <c r="E21" s="2"/>
      <c r="F21" s="2"/>
    </row>
    <row r="22" spans="1:17">
      <c r="A22" s="2"/>
      <c r="B22" s="53"/>
      <c r="C22" s="2"/>
      <c r="D22" s="2"/>
      <c r="E22" s="2"/>
      <c r="F22" s="2"/>
    </row>
    <row r="23" spans="1:17">
      <c r="A23" s="2"/>
      <c r="B23" s="2"/>
      <c r="C23" s="2"/>
      <c r="D23" s="2"/>
      <c r="E23" s="2"/>
      <c r="F23" s="2"/>
    </row>
    <row r="24" spans="1:17">
      <c r="A24" s="2"/>
      <c r="B24" s="2"/>
      <c r="C24" s="2"/>
      <c r="D24" s="2"/>
      <c r="E24" s="2"/>
      <c r="F24" s="2"/>
    </row>
    <row r="25" spans="1:17">
      <c r="A25" s="2"/>
      <c r="B25" s="2"/>
      <c r="C25" s="2"/>
      <c r="D25" s="2"/>
      <c r="E25" s="2"/>
      <c r="F25" s="2"/>
    </row>
    <row r="26" spans="1:17">
      <c r="A26" s="2"/>
      <c r="B26" s="2"/>
      <c r="C26" s="2"/>
      <c r="D26" s="2"/>
      <c r="E26" s="2"/>
      <c r="F26" s="2"/>
    </row>
    <row r="27" spans="1:17">
      <c r="A27" s="2"/>
      <c r="B27" s="2"/>
      <c r="C27" s="2"/>
      <c r="D27" s="2"/>
      <c r="E27" s="2"/>
      <c r="F27" s="2"/>
    </row>
    <row r="28" spans="1:17">
      <c r="A28" s="2"/>
      <c r="B28" s="2"/>
      <c r="C28" s="2"/>
      <c r="D28" s="2"/>
      <c r="E28" s="2"/>
      <c r="F28" s="2"/>
    </row>
    <row r="32" spans="1:17" ht="15.9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"/>
    </row>
    <row r="33" spans="1:17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"/>
    </row>
  </sheetData>
  <sheetProtection algorithmName="SHA-512" hashValue="Zb3hYVduqcYZfZtrqz38Fiez1scAW86DeCBi+hQAakDiUR9W8l+rrXnh/XEVxmVyyY1E+9JjpLgQQQWELIdJhw==" saltValue="lAyPTqQ8ArUkcnmyaxqi1w==" spinCount="100000" sheet="1" objects="1" scenarios="1"/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G7" sqref="G7"/>
    </sheetView>
  </sheetViews>
  <sheetFormatPr defaultColWidth="9" defaultRowHeight="14.4"/>
  <cols>
    <col min="1" max="1" width="34.6640625" customWidth="1"/>
    <col min="2" max="2" width="15" customWidth="1"/>
  </cols>
  <sheetData>
    <row r="1" spans="1:5">
      <c r="A1" s="2"/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>
      <c r="A4" s="110"/>
      <c r="B4" s="110"/>
      <c r="C4" s="110"/>
      <c r="D4" s="2"/>
      <c r="E4" s="2"/>
    </row>
    <row r="5" spans="1:5" ht="15.6">
      <c r="A5" s="126" t="s">
        <v>206</v>
      </c>
      <c r="B5" s="127" t="s">
        <v>211</v>
      </c>
      <c r="C5" s="110"/>
      <c r="D5" s="2"/>
      <c r="E5" s="2"/>
    </row>
    <row r="6" spans="1:5">
      <c r="A6" s="128" t="s">
        <v>20</v>
      </c>
      <c r="B6" s="129">
        <f>December!T24</f>
        <v>49431</v>
      </c>
      <c r="C6" s="110"/>
      <c r="D6" s="2"/>
      <c r="E6" s="2"/>
    </row>
    <row r="7" spans="1:5">
      <c r="A7" s="128" t="s">
        <v>52</v>
      </c>
      <c r="B7" s="129">
        <f>December!T62</f>
        <v>338427</v>
      </c>
      <c r="C7" s="110"/>
      <c r="D7" s="2"/>
      <c r="E7" s="2"/>
    </row>
    <row r="8" spans="1:5">
      <c r="A8" s="128" t="s">
        <v>207</v>
      </c>
      <c r="B8" s="129">
        <f>December!T100</f>
        <v>42670</v>
      </c>
      <c r="C8" s="110"/>
      <c r="D8" s="2"/>
      <c r="E8" s="2"/>
    </row>
    <row r="9" spans="1:5">
      <c r="A9" s="128" t="s">
        <v>208</v>
      </c>
      <c r="B9" s="129">
        <f>December!T135</f>
        <v>16864</v>
      </c>
      <c r="C9" s="110"/>
      <c r="D9" s="2"/>
      <c r="E9" s="2"/>
    </row>
    <row r="10" spans="1:5">
      <c r="A10" s="128" t="s">
        <v>209</v>
      </c>
      <c r="B10" s="129">
        <f>December!T143</f>
        <v>217006</v>
      </c>
      <c r="C10" s="110"/>
      <c r="D10" s="2"/>
      <c r="E10" s="2"/>
    </row>
    <row r="11" spans="1:5">
      <c r="A11" s="128" t="s">
        <v>163</v>
      </c>
      <c r="B11" s="129">
        <f>December!T174</f>
        <v>69068</v>
      </c>
      <c r="C11" s="110"/>
      <c r="D11" s="2"/>
      <c r="E11" s="2"/>
    </row>
    <row r="12" spans="1:5">
      <c r="A12" s="128" t="s">
        <v>188</v>
      </c>
      <c r="B12" s="129">
        <f>December!T180</f>
        <v>13339</v>
      </c>
      <c r="C12" s="110"/>
      <c r="D12" s="2"/>
      <c r="E12" s="2"/>
    </row>
    <row r="13" spans="1:5">
      <c r="A13" s="128" t="s">
        <v>210</v>
      </c>
      <c r="B13" s="129">
        <f>December!T203</f>
        <v>28653</v>
      </c>
      <c r="C13" s="110"/>
      <c r="D13" s="2"/>
      <c r="E13" s="2"/>
    </row>
    <row r="14" spans="1:5">
      <c r="A14" s="110"/>
      <c r="B14" s="110"/>
      <c r="C14" s="110"/>
      <c r="D14" s="2"/>
      <c r="E14" s="2"/>
    </row>
    <row r="15" spans="1:5">
      <c r="A15" s="110"/>
      <c r="B15" s="110"/>
      <c r="C15" s="110"/>
      <c r="D15" s="2"/>
      <c r="E15" s="2"/>
    </row>
    <row r="16" spans="1:5">
      <c r="A16" s="110"/>
      <c r="B16" s="110"/>
      <c r="C16" s="110"/>
      <c r="D16" s="2"/>
      <c r="E16" s="2"/>
    </row>
    <row r="17" spans="1:5">
      <c r="A17" s="110"/>
      <c r="B17" s="110"/>
      <c r="C17" s="110"/>
      <c r="D17" s="2"/>
      <c r="E17" s="2"/>
    </row>
    <row r="18" spans="1:5">
      <c r="A18" s="110"/>
      <c r="B18" s="110"/>
      <c r="C18" s="110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</row>
    <row r="26" spans="1:5">
      <c r="A26" s="2"/>
      <c r="B26" s="2"/>
      <c r="C26" s="2"/>
      <c r="D26" s="2"/>
    </row>
  </sheetData>
  <sheetProtection algorithmName="SHA-512" hashValue="aChZspDxVJE8m0jpzdZWRZmMpqGlN4kP3twp/bNbS3+DK3E0sQ3Y2qjisUq2BlZYavZ5sjLujTFOoLps2Jcymw==" saltValue="5XgHTRHPPQNGESA+styV9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December</vt:lpstr>
      <vt:lpstr>NAV Comparison</vt:lpstr>
      <vt:lpstr>Market Share</vt:lpstr>
      <vt:lpstr>Unitholders</vt:lpstr>
      <vt:lpstr>December!Print_Area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cp:lastPrinted>2024-12-20T14:59:31Z</cp:lastPrinted>
  <dcterms:created xsi:type="dcterms:W3CDTF">2023-10-09T09:40:00Z</dcterms:created>
  <dcterms:modified xsi:type="dcterms:W3CDTF">2025-05-22T11:43:49Z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