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D134" i="1" l="1"/>
  <c r="B9" i="3"/>
  <c r="B8" i="3"/>
  <c r="N124" i="1" l="1"/>
  <c r="M124" i="1"/>
  <c r="K124" i="1"/>
  <c r="N117" i="1"/>
  <c r="M117" i="1"/>
  <c r="K117" i="1"/>
  <c r="K123" i="1"/>
  <c r="N127" i="1" l="1"/>
  <c r="M127" i="1"/>
  <c r="K127" i="1"/>
  <c r="N140" i="1"/>
  <c r="M140" i="1"/>
  <c r="K140" i="1"/>
  <c r="N126" i="1" l="1"/>
  <c r="M126" i="1"/>
  <c r="K126" i="1"/>
  <c r="N145" i="1"/>
  <c r="M145" i="1"/>
  <c r="K145" i="1"/>
  <c r="N119" i="1"/>
  <c r="M119" i="1"/>
  <c r="K119" i="1"/>
  <c r="N113" i="1" l="1"/>
  <c r="M113" i="1"/>
  <c r="K113" i="1"/>
  <c r="N138" i="1"/>
  <c r="M138" i="1"/>
  <c r="K138" i="1"/>
  <c r="N134" i="1" l="1"/>
  <c r="M134" i="1"/>
  <c r="K134" i="1"/>
  <c r="N118" i="1" l="1"/>
  <c r="M118" i="1"/>
  <c r="K118" i="1"/>
  <c r="N132" i="1" l="1"/>
  <c r="M132" i="1"/>
  <c r="K132" i="1"/>
  <c r="N112" i="1" l="1"/>
  <c r="M112" i="1"/>
  <c r="K112" i="1"/>
  <c r="N131" i="1" l="1"/>
  <c r="M131" i="1"/>
  <c r="K131" i="1"/>
  <c r="N143" i="1" l="1"/>
  <c r="M143" i="1"/>
  <c r="K143" i="1"/>
  <c r="N128" i="1"/>
  <c r="M128" i="1"/>
  <c r="K128" i="1"/>
  <c r="N137" i="1" l="1"/>
  <c r="M137" i="1"/>
  <c r="K137" i="1"/>
  <c r="N142" i="1"/>
  <c r="M142" i="1"/>
  <c r="K142" i="1"/>
  <c r="N116" i="1"/>
  <c r="M116" i="1"/>
  <c r="K116" i="1" l="1"/>
  <c r="N115" i="1" l="1"/>
  <c r="M115" i="1"/>
  <c r="N114" i="1"/>
  <c r="M114" i="1"/>
  <c r="K115" i="1"/>
  <c r="K114" i="1"/>
  <c r="N139" i="1"/>
  <c r="M139" i="1"/>
  <c r="G145" i="1"/>
  <c r="F145" i="1"/>
  <c r="G143" i="1"/>
  <c r="F143" i="1"/>
  <c r="G142" i="1"/>
  <c r="F142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D145" i="1"/>
  <c r="D143" i="1"/>
  <c r="D142" i="1"/>
  <c r="D140" i="1"/>
  <c r="D138" i="1"/>
  <c r="D137" i="1"/>
  <c r="D132" i="1"/>
  <c r="D131" i="1"/>
  <c r="G128" i="1"/>
  <c r="F128" i="1"/>
  <c r="G127" i="1"/>
  <c r="F127" i="1"/>
  <c r="G126" i="1"/>
  <c r="F126" i="1"/>
  <c r="G125" i="1"/>
  <c r="F125" i="1"/>
  <c r="G124" i="1"/>
  <c r="F124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D128" i="1"/>
  <c r="D127" i="1"/>
  <c r="D126" i="1"/>
  <c r="D125" i="1"/>
  <c r="D124" i="1"/>
  <c r="D123" i="1"/>
  <c r="D119" i="1"/>
  <c r="D118" i="1"/>
  <c r="D117" i="1"/>
  <c r="D116" i="1"/>
  <c r="D115" i="1"/>
  <c r="D114" i="1"/>
  <c r="D113" i="1"/>
  <c r="D112" i="1"/>
  <c r="N136" i="1" l="1"/>
  <c r="M136" i="1"/>
  <c r="N125" i="1" l="1"/>
  <c r="M125" i="1"/>
  <c r="K125" i="1"/>
  <c r="V226" i="1" l="1"/>
  <c r="R32" i="1" l="1"/>
  <c r="V32" i="1"/>
  <c r="U32" i="1"/>
  <c r="T32" i="1"/>
  <c r="S32" i="1"/>
  <c r="R123" i="1" l="1"/>
  <c r="S123" i="1"/>
  <c r="T135" i="1" l="1"/>
  <c r="V123" i="1" l="1"/>
  <c r="U123" i="1"/>
  <c r="T123" i="1"/>
  <c r="R46" i="1"/>
  <c r="S46" i="1"/>
  <c r="T46" i="1"/>
  <c r="U46" i="1"/>
  <c r="V46" i="1"/>
  <c r="O222" i="1" l="1"/>
  <c r="K222" i="1"/>
  <c r="L220" i="1" s="1"/>
  <c r="H222" i="1"/>
  <c r="D222" i="1"/>
  <c r="V220" i="1"/>
  <c r="U220" i="1"/>
  <c r="T220" i="1"/>
  <c r="S220" i="1"/>
  <c r="R220" i="1"/>
  <c r="R134" i="1" l="1"/>
  <c r="V134" i="1"/>
  <c r="U134" i="1"/>
  <c r="T134" i="1"/>
  <c r="S134" i="1"/>
  <c r="V81" i="1"/>
  <c r="U81" i="1"/>
  <c r="T81" i="1"/>
  <c r="S81" i="1"/>
  <c r="R81" i="1"/>
  <c r="R166" i="1" l="1"/>
  <c r="V23" i="1" l="1"/>
  <c r="U23" i="1"/>
  <c r="T23" i="1"/>
  <c r="S23" i="1"/>
  <c r="R23" i="1"/>
  <c r="O216" i="1"/>
  <c r="K216" i="1"/>
  <c r="H216" i="1"/>
  <c r="D216" i="1"/>
  <c r="V215" i="1"/>
  <c r="U215" i="1"/>
  <c r="T215" i="1"/>
  <c r="S215" i="1"/>
  <c r="R215" i="1"/>
  <c r="L215" i="1" l="1"/>
  <c r="L209" i="1"/>
  <c r="E215" i="1"/>
  <c r="E220" i="1"/>
  <c r="R31" i="1"/>
  <c r="K146" i="1" l="1"/>
  <c r="L133" i="1" l="1"/>
  <c r="L123" i="1"/>
  <c r="R115" i="1"/>
  <c r="S115" i="1"/>
  <c r="T115" i="1"/>
  <c r="U115" i="1"/>
  <c r="V115" i="1"/>
  <c r="R53" i="1" l="1"/>
  <c r="R208" i="1" l="1"/>
  <c r="V200" i="1" l="1"/>
  <c r="U200" i="1"/>
  <c r="T200" i="1"/>
  <c r="S200" i="1"/>
  <c r="R200" i="1"/>
  <c r="R142" i="1"/>
  <c r="S142" i="1"/>
  <c r="T142" i="1"/>
  <c r="U142" i="1"/>
  <c r="V142" i="1"/>
  <c r="R6" i="1" l="1"/>
  <c r="V184" i="1" l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R93" i="1" l="1"/>
  <c r="V34" i="1" l="1"/>
  <c r="U34" i="1"/>
  <c r="T34" i="1"/>
  <c r="S34" i="1"/>
  <c r="R34" i="1"/>
  <c r="V75" i="1" l="1"/>
  <c r="V50" i="1" l="1"/>
  <c r="U50" i="1"/>
  <c r="T50" i="1"/>
  <c r="S50" i="1"/>
  <c r="R50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D10" i="4"/>
  <c r="C10" i="4"/>
  <c r="B4" i="5" s="1"/>
  <c r="B3" i="5" s="1"/>
  <c r="B10" i="4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42" i="1"/>
  <c r="U242" i="1"/>
  <c r="S242" i="1"/>
  <c r="O242" i="1"/>
  <c r="K242" i="1"/>
  <c r="H242" i="1"/>
  <c r="D242" i="1"/>
  <c r="E240" i="1" s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O227" i="1"/>
  <c r="K227" i="1"/>
  <c r="L226" i="1" s="1"/>
  <c r="H227" i="1"/>
  <c r="D227" i="1"/>
  <c r="E226" i="1" s="1"/>
  <c r="U226" i="1"/>
  <c r="T226" i="1"/>
  <c r="S226" i="1"/>
  <c r="R226" i="1"/>
  <c r="V225" i="1"/>
  <c r="U225" i="1"/>
  <c r="T225" i="1"/>
  <c r="S225" i="1"/>
  <c r="R225" i="1"/>
  <c r="L221" i="1"/>
  <c r="V221" i="1"/>
  <c r="U221" i="1"/>
  <c r="T221" i="1"/>
  <c r="S221" i="1"/>
  <c r="R221" i="1"/>
  <c r="V216" i="1"/>
  <c r="U216" i="1"/>
  <c r="S216" i="1"/>
  <c r="V214" i="1"/>
  <c r="U214" i="1"/>
  <c r="T214" i="1"/>
  <c r="S214" i="1"/>
  <c r="R214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199" i="1"/>
  <c r="U199" i="1"/>
  <c r="T199" i="1"/>
  <c r="S199" i="1"/>
  <c r="R199" i="1"/>
  <c r="V196" i="1"/>
  <c r="U196" i="1"/>
  <c r="T196" i="1"/>
  <c r="S196" i="1"/>
  <c r="R196" i="1"/>
  <c r="V195" i="1"/>
  <c r="U195" i="1"/>
  <c r="T195" i="1"/>
  <c r="S195" i="1"/>
  <c r="R195" i="1"/>
  <c r="V191" i="1"/>
  <c r="U191" i="1"/>
  <c r="S191" i="1"/>
  <c r="O191" i="1"/>
  <c r="K191" i="1"/>
  <c r="H191" i="1"/>
  <c r="D191" i="1"/>
  <c r="V190" i="1"/>
  <c r="U190" i="1"/>
  <c r="T190" i="1"/>
  <c r="S190" i="1"/>
  <c r="R190" i="1"/>
  <c r="V189" i="1"/>
  <c r="U189" i="1"/>
  <c r="T189" i="1"/>
  <c r="S189" i="1"/>
  <c r="R189" i="1"/>
  <c r="V188" i="1"/>
  <c r="U188" i="1"/>
  <c r="T188" i="1"/>
  <c r="S188" i="1"/>
  <c r="R188" i="1"/>
  <c r="V185" i="1"/>
  <c r="U185" i="1"/>
  <c r="S185" i="1"/>
  <c r="O185" i="1"/>
  <c r="K185" i="1"/>
  <c r="L163" i="1" s="1"/>
  <c r="H185" i="1"/>
  <c r="D185" i="1"/>
  <c r="V154" i="1"/>
  <c r="U154" i="1"/>
  <c r="S154" i="1"/>
  <c r="O154" i="1"/>
  <c r="K154" i="1"/>
  <c r="B6" i="3" s="1"/>
  <c r="H154" i="1"/>
  <c r="D154" i="1"/>
  <c r="E152" i="1" s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H146" i="1"/>
  <c r="V145" i="1"/>
  <c r="U145" i="1"/>
  <c r="T145" i="1"/>
  <c r="R145" i="1"/>
  <c r="V144" i="1"/>
  <c r="U144" i="1"/>
  <c r="T144" i="1"/>
  <c r="S144" i="1"/>
  <c r="R144" i="1"/>
  <c r="V143" i="1"/>
  <c r="U143" i="1"/>
  <c r="T143" i="1"/>
  <c r="S143" i="1"/>
  <c r="V141" i="1"/>
  <c r="U141" i="1"/>
  <c r="T141" i="1"/>
  <c r="S141" i="1"/>
  <c r="R141" i="1"/>
  <c r="V140" i="1"/>
  <c r="U140" i="1"/>
  <c r="T140" i="1"/>
  <c r="S140" i="1"/>
  <c r="V139" i="1"/>
  <c r="U139" i="1"/>
  <c r="T139" i="1"/>
  <c r="R139" i="1"/>
  <c r="S139" i="1"/>
  <c r="V138" i="1"/>
  <c r="U138" i="1"/>
  <c r="T138" i="1"/>
  <c r="S138" i="1"/>
  <c r="V137" i="1"/>
  <c r="U137" i="1"/>
  <c r="T137" i="1"/>
  <c r="S137" i="1"/>
  <c r="R137" i="1"/>
  <c r="V136" i="1"/>
  <c r="U136" i="1"/>
  <c r="T136" i="1"/>
  <c r="R136" i="1"/>
  <c r="V135" i="1"/>
  <c r="U135" i="1"/>
  <c r="S135" i="1"/>
  <c r="R135" i="1"/>
  <c r="V133" i="1"/>
  <c r="U133" i="1"/>
  <c r="T133" i="1"/>
  <c r="S133" i="1"/>
  <c r="R133" i="1"/>
  <c r="V132" i="1"/>
  <c r="U132" i="1"/>
  <c r="T132" i="1"/>
  <c r="S132" i="1"/>
  <c r="V131" i="1"/>
  <c r="U131" i="1"/>
  <c r="T131" i="1"/>
  <c r="S131" i="1"/>
  <c r="R131" i="1"/>
  <c r="V128" i="1"/>
  <c r="U128" i="1"/>
  <c r="T128" i="1"/>
  <c r="S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T125" i="1"/>
  <c r="S125" i="1"/>
  <c r="V124" i="1"/>
  <c r="U124" i="1"/>
  <c r="T124" i="1"/>
  <c r="S124" i="1"/>
  <c r="R124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V117" i="1"/>
  <c r="U117" i="1"/>
  <c r="T117" i="1"/>
  <c r="S117" i="1"/>
  <c r="V116" i="1"/>
  <c r="U116" i="1"/>
  <c r="T116" i="1"/>
  <c r="S116" i="1"/>
  <c r="R116" i="1"/>
  <c r="V114" i="1"/>
  <c r="U114" i="1"/>
  <c r="T114" i="1"/>
  <c r="S114" i="1"/>
  <c r="V113" i="1"/>
  <c r="U113" i="1"/>
  <c r="T113" i="1"/>
  <c r="S113" i="1"/>
  <c r="V112" i="1"/>
  <c r="U112" i="1"/>
  <c r="T112" i="1"/>
  <c r="R112" i="1"/>
  <c r="S112" i="1"/>
  <c r="V108" i="1"/>
  <c r="U108" i="1"/>
  <c r="S108" i="1"/>
  <c r="O108" i="1"/>
  <c r="K108" i="1"/>
  <c r="H108" i="1"/>
  <c r="D108" i="1"/>
  <c r="E134" i="1" s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68" i="1"/>
  <c r="U68" i="1"/>
  <c r="S68" i="1"/>
  <c r="O68" i="1"/>
  <c r="K68" i="1"/>
  <c r="H68" i="1"/>
  <c r="D68" i="1"/>
  <c r="B14" i="2" s="1"/>
  <c r="B4" i="2" s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77" i="1" l="1"/>
  <c r="L103" i="1"/>
  <c r="L45" i="1"/>
  <c r="L36" i="1"/>
  <c r="L32" i="1"/>
  <c r="L91" i="1"/>
  <c r="E12" i="4"/>
  <c r="E46" i="1"/>
  <c r="E32" i="1"/>
  <c r="L102" i="1"/>
  <c r="L35" i="1"/>
  <c r="L46" i="1"/>
  <c r="C12" i="4"/>
  <c r="L96" i="1"/>
  <c r="L79" i="1"/>
  <c r="L23" i="1"/>
  <c r="L15" i="1"/>
  <c r="L81" i="1"/>
  <c r="L134" i="1"/>
  <c r="F12" i="4"/>
  <c r="B15" i="2"/>
  <c r="B5" i="2" s="1"/>
  <c r="E81" i="1"/>
  <c r="L44" i="1"/>
  <c r="L86" i="1"/>
  <c r="L88" i="1"/>
  <c r="L60" i="1"/>
  <c r="B20" i="2"/>
  <c r="B10" i="2" s="1"/>
  <c r="E200" i="1"/>
  <c r="L204" i="1"/>
  <c r="L200" i="1"/>
  <c r="E184" i="1"/>
  <c r="E172" i="1"/>
  <c r="E160" i="1"/>
  <c r="E182" i="1"/>
  <c r="E170" i="1"/>
  <c r="E158" i="1"/>
  <c r="E177" i="1"/>
  <c r="E165" i="1"/>
  <c r="E175" i="1"/>
  <c r="E180" i="1"/>
  <c r="E168" i="1"/>
  <c r="E159" i="1"/>
  <c r="E167" i="1"/>
  <c r="E173" i="1"/>
  <c r="E161" i="1"/>
  <c r="E179" i="1"/>
  <c r="E178" i="1"/>
  <c r="E166" i="1"/>
  <c r="E163" i="1"/>
  <c r="E183" i="1"/>
  <c r="E171" i="1"/>
  <c r="E176" i="1"/>
  <c r="E164" i="1"/>
  <c r="E174" i="1"/>
  <c r="E162" i="1"/>
  <c r="E181" i="1"/>
  <c r="E169" i="1"/>
  <c r="E157" i="1"/>
  <c r="L177" i="1"/>
  <c r="L165" i="1"/>
  <c r="L175" i="1"/>
  <c r="L182" i="1"/>
  <c r="L170" i="1"/>
  <c r="L158" i="1"/>
  <c r="L180" i="1"/>
  <c r="L173" i="1"/>
  <c r="L161" i="1"/>
  <c r="L167" i="1"/>
  <c r="L168" i="1"/>
  <c r="L178" i="1"/>
  <c r="L166" i="1"/>
  <c r="L164" i="1"/>
  <c r="L183" i="1"/>
  <c r="L171" i="1"/>
  <c r="L159" i="1"/>
  <c r="L179" i="1"/>
  <c r="L172" i="1"/>
  <c r="L176" i="1"/>
  <c r="L160" i="1"/>
  <c r="L181" i="1"/>
  <c r="L169" i="1"/>
  <c r="L157" i="1"/>
  <c r="L174" i="1"/>
  <c r="L162" i="1"/>
  <c r="B2" i="3"/>
  <c r="L189" i="1"/>
  <c r="L34" i="1"/>
  <c r="L12" i="1"/>
  <c r="L104" i="1"/>
  <c r="L72" i="1"/>
  <c r="E14" i="1"/>
  <c r="E34" i="1"/>
  <c r="E50" i="1"/>
  <c r="L50" i="1"/>
  <c r="R222" i="1"/>
  <c r="B5" i="3"/>
  <c r="L21" i="1"/>
  <c r="L7" i="1"/>
  <c r="D4" i="5"/>
  <c r="D3" i="5" s="1"/>
  <c r="B4" i="3"/>
  <c r="L202" i="1"/>
  <c r="R242" i="1"/>
  <c r="E238" i="1"/>
  <c r="E236" i="1"/>
  <c r="E234" i="1"/>
  <c r="E8" i="1"/>
  <c r="L211" i="1"/>
  <c r="E196" i="1"/>
  <c r="T242" i="1"/>
  <c r="J12" i="4"/>
  <c r="E12" i="1"/>
  <c r="E10" i="1"/>
  <c r="E6" i="1"/>
  <c r="E18" i="1"/>
  <c r="E201" i="1"/>
  <c r="E225" i="1"/>
  <c r="E232" i="1"/>
  <c r="E86" i="1"/>
  <c r="E22" i="1"/>
  <c r="E49" i="1"/>
  <c r="E20" i="1"/>
  <c r="E16" i="1"/>
  <c r="E74" i="1"/>
  <c r="E106" i="1"/>
  <c r="E102" i="1"/>
  <c r="E77" i="1"/>
  <c r="E100" i="1"/>
  <c r="S145" i="1"/>
  <c r="E230" i="1"/>
  <c r="E241" i="1"/>
  <c r="E98" i="1"/>
  <c r="E96" i="1"/>
  <c r="E79" i="1"/>
  <c r="E71" i="1"/>
  <c r="E73" i="1"/>
  <c r="E150" i="1"/>
  <c r="T191" i="1"/>
  <c r="E92" i="1"/>
  <c r="E84" i="1"/>
  <c r="E104" i="1"/>
  <c r="E90" i="1"/>
  <c r="E72" i="1"/>
  <c r="E82" i="1"/>
  <c r="E88" i="1"/>
  <c r="L24" i="1"/>
  <c r="E95" i="1"/>
  <c r="E97" i="1"/>
  <c r="E99" i="1"/>
  <c r="E101" i="1"/>
  <c r="E103" i="1"/>
  <c r="E105" i="1"/>
  <c r="E107" i="1"/>
  <c r="E231" i="1"/>
  <c r="E233" i="1"/>
  <c r="E235" i="1"/>
  <c r="E237" i="1"/>
  <c r="E239" i="1"/>
  <c r="L19" i="1"/>
  <c r="E76" i="1"/>
  <c r="E78" i="1"/>
  <c r="E80" i="1"/>
  <c r="E83" i="1"/>
  <c r="E85" i="1"/>
  <c r="E87" i="1"/>
  <c r="E89" i="1"/>
  <c r="E91" i="1"/>
  <c r="E93" i="1"/>
  <c r="T146" i="1"/>
  <c r="L11" i="1"/>
  <c r="L149" i="1"/>
  <c r="L153" i="1"/>
  <c r="L241" i="1"/>
  <c r="T68" i="1"/>
  <c r="L188" i="1"/>
  <c r="L190" i="1"/>
  <c r="E204" i="1"/>
  <c r="E206" i="1"/>
  <c r="E208" i="1"/>
  <c r="E210" i="1"/>
  <c r="T216" i="1"/>
  <c r="L6" i="1"/>
  <c r="L10" i="1"/>
  <c r="L14" i="1"/>
  <c r="L18" i="1"/>
  <c r="L22" i="1"/>
  <c r="E195" i="1"/>
  <c r="E199" i="1"/>
  <c r="E202" i="1"/>
  <c r="E214" i="1"/>
  <c r="H217" i="1"/>
  <c r="H243" i="1" s="1"/>
  <c r="R227" i="1"/>
  <c r="D146" i="1"/>
  <c r="T108" i="1"/>
  <c r="L152" i="1"/>
  <c r="T154" i="1"/>
  <c r="T185" i="1"/>
  <c r="E205" i="1"/>
  <c r="E207" i="1"/>
  <c r="E209" i="1"/>
  <c r="E211" i="1"/>
  <c r="C4" i="5"/>
  <c r="C3" i="5" s="1"/>
  <c r="D12" i="4"/>
  <c r="G12" i="4"/>
  <c r="H4" i="5"/>
  <c r="H3" i="5" s="1"/>
  <c r="I12" i="4"/>
  <c r="E94" i="1"/>
  <c r="L66" i="1"/>
  <c r="L82" i="1"/>
  <c r="L106" i="1"/>
  <c r="L62" i="1"/>
  <c r="L58" i="1"/>
  <c r="L56" i="1"/>
  <c r="L64" i="1"/>
  <c r="L54" i="1"/>
  <c r="L52" i="1"/>
  <c r="E57" i="1"/>
  <c r="E59" i="1"/>
  <c r="E61" i="1"/>
  <c r="E63" i="1"/>
  <c r="E65" i="1"/>
  <c r="E67" i="1"/>
  <c r="E55" i="1"/>
  <c r="E53" i="1"/>
  <c r="E51" i="1"/>
  <c r="L199" i="1"/>
  <c r="L205" i="1"/>
  <c r="L195" i="1"/>
  <c r="L203" i="1"/>
  <c r="L207" i="1"/>
  <c r="L233" i="1"/>
  <c r="L237" i="1"/>
  <c r="L231" i="1"/>
  <c r="L235" i="1"/>
  <c r="L239" i="1"/>
  <c r="L230" i="1"/>
  <c r="L232" i="1"/>
  <c r="L234" i="1"/>
  <c r="L236" i="1"/>
  <c r="L238" i="1"/>
  <c r="L240" i="1"/>
  <c r="L90" i="1"/>
  <c r="L98" i="1"/>
  <c r="L74" i="1"/>
  <c r="E75" i="1"/>
  <c r="L49" i="1"/>
  <c r="L84" i="1"/>
  <c r="L92" i="1"/>
  <c r="L100" i="1"/>
  <c r="R154" i="1"/>
  <c r="L150" i="1"/>
  <c r="L151" i="1"/>
  <c r="L28" i="1"/>
  <c r="E29" i="1"/>
  <c r="L30" i="1"/>
  <c r="E31" i="1"/>
  <c r="L33" i="1"/>
  <c r="E35" i="1"/>
  <c r="E37" i="1"/>
  <c r="L38" i="1"/>
  <c r="E39" i="1"/>
  <c r="L40" i="1"/>
  <c r="E41" i="1"/>
  <c r="L42" i="1"/>
  <c r="E43" i="1"/>
  <c r="E45" i="1"/>
  <c r="L47" i="1"/>
  <c r="E48" i="1"/>
  <c r="L8" i="1"/>
  <c r="L9" i="1"/>
  <c r="L13" i="1"/>
  <c r="L16" i="1"/>
  <c r="L17" i="1"/>
  <c r="L20" i="1"/>
  <c r="R185" i="1"/>
  <c r="B7" i="3"/>
  <c r="C15" i="2"/>
  <c r="C5" i="2" s="1"/>
  <c r="R114" i="1"/>
  <c r="R117" i="1"/>
  <c r="R118" i="1"/>
  <c r="R125" i="1"/>
  <c r="E7" i="1"/>
  <c r="E9" i="1"/>
  <c r="E11" i="1"/>
  <c r="E13" i="1"/>
  <c r="E15" i="1"/>
  <c r="E17" i="1"/>
  <c r="E19" i="1"/>
  <c r="E21" i="1"/>
  <c r="E24" i="1"/>
  <c r="B3" i="3"/>
  <c r="C13" i="2"/>
  <c r="C3" i="2" s="1"/>
  <c r="O217" i="1"/>
  <c r="O243" i="1" s="1"/>
  <c r="E28" i="1"/>
  <c r="L29" i="1"/>
  <c r="E30" i="1"/>
  <c r="L31" i="1"/>
  <c r="E33" i="1"/>
  <c r="E36" i="1"/>
  <c r="L37" i="1"/>
  <c r="E38" i="1"/>
  <c r="L39" i="1"/>
  <c r="E40" i="1"/>
  <c r="L41" i="1"/>
  <c r="E42" i="1"/>
  <c r="L43" i="1"/>
  <c r="E44" i="1"/>
  <c r="E47" i="1"/>
  <c r="L48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E64" i="1"/>
  <c r="L65" i="1"/>
  <c r="E66" i="1"/>
  <c r="L67" i="1"/>
  <c r="R68" i="1"/>
  <c r="L71" i="1"/>
  <c r="L73" i="1"/>
  <c r="L75" i="1"/>
  <c r="L76" i="1"/>
  <c r="L78" i="1"/>
  <c r="L80" i="1"/>
  <c r="L83" i="1"/>
  <c r="L85" i="1"/>
  <c r="L87" i="1"/>
  <c r="L89" i="1"/>
  <c r="L93" i="1"/>
  <c r="L95" i="1"/>
  <c r="L97" i="1"/>
  <c r="L99" i="1"/>
  <c r="L101" i="1"/>
  <c r="L105" i="1"/>
  <c r="L107" i="1"/>
  <c r="R108" i="1"/>
  <c r="R113" i="1"/>
  <c r="R128" i="1"/>
  <c r="R132" i="1"/>
  <c r="S136" i="1"/>
  <c r="B19" i="2"/>
  <c r="B9" i="2" s="1"/>
  <c r="E190" i="1"/>
  <c r="E188" i="1"/>
  <c r="B13" i="2"/>
  <c r="B3" i="2" s="1"/>
  <c r="R25" i="1"/>
  <c r="T25" i="1"/>
  <c r="C14" i="2"/>
  <c r="C4" i="2" s="1"/>
  <c r="L94" i="1"/>
  <c r="R138" i="1"/>
  <c r="R140" i="1"/>
  <c r="R143" i="1"/>
  <c r="B17" i="2"/>
  <c r="B7" i="2" s="1"/>
  <c r="E153" i="1"/>
  <c r="E151" i="1"/>
  <c r="E149" i="1"/>
  <c r="B18" i="2"/>
  <c r="B8" i="2" s="1"/>
  <c r="E189" i="1"/>
  <c r="R191" i="1"/>
  <c r="L196" i="1"/>
  <c r="L201" i="1"/>
  <c r="L206" i="1"/>
  <c r="L208" i="1"/>
  <c r="L210" i="1"/>
  <c r="L214" i="1"/>
  <c r="R216" i="1"/>
  <c r="E221" i="1"/>
  <c r="L225" i="1"/>
  <c r="C17" i="2"/>
  <c r="C7" i="2" s="1"/>
  <c r="C18" i="2"/>
  <c r="C8" i="2" s="1"/>
  <c r="C19" i="2"/>
  <c r="C9" i="2" s="1"/>
  <c r="C20" i="2"/>
  <c r="C10" i="2" s="1"/>
  <c r="E115" i="1" l="1"/>
  <c r="E123" i="1"/>
  <c r="L115" i="1"/>
  <c r="E128" i="1"/>
  <c r="E142" i="1"/>
  <c r="L125" i="1"/>
  <c r="L142" i="1"/>
  <c r="E131" i="1"/>
  <c r="E136" i="1"/>
  <c r="E137" i="1"/>
  <c r="E127" i="1"/>
  <c r="E112" i="1"/>
  <c r="E117" i="1"/>
  <c r="E132" i="1"/>
  <c r="D217" i="1"/>
  <c r="E68" i="1" s="1"/>
  <c r="E125" i="1"/>
  <c r="E143" i="1"/>
  <c r="E133" i="1"/>
  <c r="E114" i="1"/>
  <c r="E116" i="1"/>
  <c r="E145" i="1"/>
  <c r="E140" i="1"/>
  <c r="E119" i="1"/>
  <c r="E135" i="1"/>
  <c r="E120" i="1"/>
  <c r="E139" i="1"/>
  <c r="E138" i="1"/>
  <c r="E122" i="1"/>
  <c r="E141" i="1"/>
  <c r="E124" i="1"/>
  <c r="B16" i="2"/>
  <c r="B6" i="2" s="1"/>
  <c r="E126" i="1"/>
  <c r="E121" i="1"/>
  <c r="E113" i="1"/>
  <c r="L140" i="1"/>
  <c r="K217" i="1"/>
  <c r="L146" i="1" s="1"/>
  <c r="L132" i="1"/>
  <c r="L114" i="1"/>
  <c r="C16" i="2"/>
  <c r="C6" i="2" s="1"/>
  <c r="L144" i="1"/>
  <c r="L136" i="1"/>
  <c r="L145" i="1"/>
  <c r="L141" i="1"/>
  <c r="L139" i="1"/>
  <c r="R146" i="1"/>
  <c r="L137" i="1"/>
  <c r="L135" i="1"/>
  <c r="L131" i="1"/>
  <c r="L127" i="1"/>
  <c r="L122" i="1"/>
  <c r="L120" i="1"/>
  <c r="L112" i="1"/>
  <c r="L126" i="1"/>
  <c r="L124" i="1"/>
  <c r="L121" i="1"/>
  <c r="L119" i="1"/>
  <c r="L116" i="1"/>
  <c r="L113" i="1"/>
  <c r="L143" i="1"/>
  <c r="L138" i="1"/>
  <c r="L128" i="1"/>
  <c r="L117" i="1"/>
  <c r="L118" i="1"/>
  <c r="E191" i="1" l="1"/>
  <c r="E108" i="1"/>
  <c r="E185" i="1"/>
  <c r="E154" i="1"/>
  <c r="E216" i="1"/>
  <c r="D243" i="1"/>
  <c r="E25" i="1"/>
  <c r="E146" i="1"/>
  <c r="K243" i="1"/>
  <c r="R217" i="1"/>
  <c r="L191" i="1"/>
  <c r="L25" i="1"/>
  <c r="L185" i="1"/>
  <c r="L154" i="1"/>
  <c r="L68" i="1"/>
  <c r="L108" i="1"/>
  <c r="L216" i="1"/>
</calcChain>
</file>

<file path=xl/sharedStrings.xml><?xml version="1.0" encoding="utf-8"?>
<sst xmlns="http://schemas.openxmlformats.org/spreadsheetml/2006/main" count="499" uniqueCount="315">
  <si>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</si>
  <si>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</si>
  <si>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</si>
  <si>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</si>
  <si>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</si>
  <si>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</si>
  <si>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</si>
  <si>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</si>
  <si>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</si>
  <si>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</si>
  <si>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</si>
  <si>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</si>
  <si>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</si>
  <si>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</si>
  <si>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</si>
  <si>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</si>
  <si>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</si>
  <si>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</si>
  <si>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</si>
  <si>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</si>
  <si>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</si>
  <si>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</si>
  <si>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</si>
  <si>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</si>
  <si>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</si>
  <si>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</si>
  <si>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</si>
  <si>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</si>
  <si>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</si>
  <si>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</si>
  <si>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</si>
  <si>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</si>
  <si>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</si>
  <si>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</si>
  <si>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</si>
  <si>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</si>
  <si>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</si>
  <si>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</si>
  <si>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</si>
  <si>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</si>
  <si>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</si>
  <si>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</si>
  <si>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</si>
  <si>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</si>
  <si>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</si>
  <si>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</si>
  <si>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</si>
  <si>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</si>
  <si>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</si>
  <si>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</si>
  <si>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</si>
  <si>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</si>
  <si>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</si>
  <si>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</si>
  <si>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</si>
  <si>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</si>
  <si>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</si>
  <si>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</si>
  <si>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</si>
  <si>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</si>
  <si>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</si>
  <si>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</si>
  <si>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</si>
  <si>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</si>
  <si>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</si>
  <si>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</si>
  <si>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</si>
  <si>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</si>
  <si>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</si>
  <si>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</si>
  <si>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</si>
  <si>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</si>
  <si>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</si>
  <si>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</si>
  <si>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</si>
  <si>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</si>
  <si>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</si>
  <si>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</si>
  <si>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</si>
  <si>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</si>
  <si>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</si>
  <si>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</si>
  <si>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</si>
  <si>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</si>
  <si>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</si>
  <si>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</si>
  <si>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</si>
  <si>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</si>
  <si>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</si>
  <si>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</si>
  <si>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</si>
  <si>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</si>
  <si>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</si>
  <si>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</si>
  <si>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</si>
  <si>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</si>
  <si>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</si>
  <si>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</si>
  <si>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</si>
  <si>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</si>
  <si>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</si>
  <si>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</si>
  <si>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</si>
  <si>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</si>
  <si>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</si>
  <si>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</si>
  <si>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</si>
  <si>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</si>
  <si>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</si>
  <si>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</si>
  <si>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</si>
  <si>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</si>
  <si>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</si>
  <si>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</si>
  <si>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</si>
  <si>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</si>
  <si>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</si>
  <si>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</si>
  <si>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</si>
  <si>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</si>
  <si>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</si>
  <si>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</si>
  <si>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</si>
  <si>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</si>
  <si>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</si>
  <si>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</si>
  <si>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</si>
  <si>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</si>
  <si>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</si>
  <si>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</si>
  <si>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</si>
  <si>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</si>
  <si>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</si>
  <si>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</si>
  <si>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</si>
  <si>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</si>
  <si>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</si>
  <si>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</si>
  <si>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</si>
  <si>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</si>
  <si>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</si>
  <si>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</si>
  <si>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</si>
  <si>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</si>
  <si>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</si>
  <si>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</si>
  <si>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</si>
  <si>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</si>
  <si>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</si>
  <si>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</si>
  <si>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</si>
  <si>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</si>
  <si>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</si>
  <si>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</si>
  <si>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</si>
  <si>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</si>
  <si>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</si>
  <si>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</si>
  <si>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</si>
  <si>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</si>
  <si>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</si>
  <si>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</si>
  <si>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</si>
  <si>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</si>
  <si>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</si>
  <si>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</si>
  <si>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</si>
  <si>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</si>
  <si>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</si>
  <si>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</si>
  <si>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</si>
  <si>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</si>
  <si>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</si>
  <si>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</si>
  <si>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</si>
  <si>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</si>
  <si>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</si>
  <si>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</si>
  <si>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</si>
  <si>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</si>
  <si>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</si>
  <si>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</si>
  <si>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</si>
  <si>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</si>
  <si>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</si>
  <si>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</si>
  <si>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</si>
  <si>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</si>
  <si>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</si>
  <si>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</si>
  <si>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</si>
  <si>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</si>
  <si>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</si>
  <si>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</si>
  <si>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</si>
  <si>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</si>
  <si>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</si>
  <si>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</si>
  <si>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</si>
  <si>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</si>
  <si>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</si>
  <si>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</si>
  <si>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</si>
  <si>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</si>
  <si>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</si>
  <si>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</si>
  <si>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</si>
  <si>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</si>
  <si>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</si>
  <si>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</si>
  <si>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</si>
  <si>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</si>
  <si>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</si>
  <si>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</si>
  <si>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</si>
  <si>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</si>
  <si>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</si>
  <si>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</si>
  <si>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</si>
  <si>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</si>
  <si>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</si>
  <si>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</si>
  <si>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</si>
  <si>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</si>
  <si>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</si>
  <si>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</si>
  <si>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</si>
  <si>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</si>
  <si>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</si>
  <si>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</si>
  <si>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</si>
  <si>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</si>
  <si>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</si>
  <si>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</si>
  <si>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</si>
  <si>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</si>
  <si>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</si>
  <si>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</si>
  <si>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</si>
  <si>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</si>
  <si>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</si>
  <si>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</si>
  <si>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</si>
  <si>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</si>
  <si>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</si>
  <si>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</si>
  <si>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</si>
  <si>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</si>
  <si>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</si>
  <si>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</si>
  <si>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</si>
  <si>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</si>
  <si>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</si>
  <si>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</si>
  <si>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</si>
  <si>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</si>
  <si>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</si>
  <si>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</si>
  <si>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</si>
  <si>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</si>
  <si>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</si>
  <si>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</si>
  <si>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</si>
  <si>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</si>
  <si>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</si>
  <si>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</si>
  <si>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</si>
  <si>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</si>
  <si>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</si>
  <si>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</si>
  <si>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</si>
  <si>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</si>
  <si>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</si>
  <si>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</si>
  <si>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</si>
  <si>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</si>
  <si>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</si>
  <si>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</si>
  <si>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</si>
  <si>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</si>
  <si>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</si>
  <si>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</si>
  <si>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</si>
  <si>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</si>
  <si>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</si>
  <si>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</si>
  <si>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</si>
  <si>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</si>
  <si>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</si>
  <si>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</si>
  <si>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</si>
  <si>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</si>
  <si>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</si>
  <si>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</si>
  <si>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</si>
  <si>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</si>
  <si>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</si>
  <si>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</si>
  <si>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</si>
  <si>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</si>
  <si>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</si>
  <si>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</si>
  <si>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</si>
  <si>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</si>
  <si>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</si>
  <si>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</si>
  <si>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</si>
  <si>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</si>
  <si>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0.09%</t>
  </si>
  <si>
    <t>NAV, Unit Price and Yield as at Week Ended March 28, 2025</t>
  </si>
  <si>
    <t>Week Ended March 28, 2025</t>
  </si>
  <si>
    <t>WEEKLY VALUATION REPORT OF COLLECTIVE INVESTMENT SCHEMES AS AT WEEK ENDED FRIDAY, APRIL 4, 2025</t>
  </si>
  <si>
    <t>NAV, Unit Price and Yield as at Week Ended April 4, 2025</t>
  </si>
  <si>
    <t>NFEM RATE NG₦/US$ as at 4th April, 2025 = N1,567.0215</t>
  </si>
  <si>
    <t>Week Ended April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</si>
</sst>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charset val="134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4" fontId="5" fillId="2" borderId="0" xfId="0" applyNumberFormat="1" applyFont="1" applyFill="1" applyAlignment="1">
      <alignment horizontal="right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23" fillId="14" borderId="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42" fillId="0" borderId="0" xfId="0" applyFont="1"/>
    <xf numFmtId="0" fontId="27" fillId="2" borderId="0" xfId="0" applyFont="1" applyFill="1" applyAlignment="1">
      <alignment horizontal="center" wrapText="1"/>
    </xf>
    <xf numFmtId="0" fontId="43" fillId="0" borderId="0" xfId="0" applyFont="1" applyBorder="1" applyAlignment="1">
      <alignment horizontal="right"/>
    </xf>
    <xf numFmtId="16" fontId="44" fillId="2" borderId="0" xfId="0" applyNumberFormat="1" applyFont="1" applyFill="1" applyBorder="1"/>
    <xf numFmtId="0" fontId="44" fillId="0" borderId="0" xfId="0" applyFont="1" applyBorder="1" applyAlignment="1">
      <alignment horizontal="right"/>
    </xf>
    <xf numFmtId="4" fontId="45" fillId="2" borderId="0" xfId="0" applyNumberFormat="1" applyFont="1" applyFill="1" applyBorder="1"/>
    <xf numFmtId="164" fontId="45" fillId="2" borderId="0" xfId="1" applyFont="1" applyFill="1" applyBorder="1" applyAlignment="1">
      <alignment horizontal="right" vertical="top" wrapText="1"/>
    </xf>
    <xf numFmtId="4" fontId="45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5" fillId="2" borderId="0" xfId="0" applyNumberFormat="1" applyFont="1" applyFill="1"/>
    <xf numFmtId="4" fontId="45" fillId="2" borderId="0" xfId="0" applyNumberFormat="1" applyFont="1" applyFill="1" applyAlignment="1">
      <alignment horizontal="right"/>
    </xf>
    <xf numFmtId="0" fontId="41" fillId="0" borderId="0" xfId="0" applyFont="1"/>
    <xf numFmtId="16" fontId="46" fillId="2" borderId="0" xfId="0" applyNumberFormat="1" applyFont="1" applyFill="1"/>
    <xf numFmtId="164" fontId="47" fillId="0" borderId="0" xfId="1" applyFont="1"/>
    <xf numFmtId="43" fontId="47" fillId="0" borderId="0" xfId="0" applyNumberFormat="1" applyFont="1"/>
    <xf numFmtId="4" fontId="47" fillId="0" borderId="0" xfId="0" applyNumberFormat="1" applyFont="1"/>
    <xf numFmtId="0" fontId="48" fillId="0" borderId="0" xfId="0" applyFont="1" applyBorder="1" applyAlignment="1">
      <alignment horizontal="right"/>
    </xf>
    <xf numFmtId="16" fontId="48" fillId="2" borderId="0" xfId="0" applyNumberFormat="1" applyFont="1" applyFill="1" applyBorder="1" applyAlignment="1">
      <alignment horizont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right" wrapText="1"/>
    </xf>
    <xf numFmtId="4" fontId="50" fillId="2" borderId="0" xfId="0" applyNumberFormat="1" applyFont="1" applyFill="1" applyBorder="1"/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 wrapText="1"/>
    </xf>
    <xf numFmtId="164" fontId="52" fillId="0" borderId="0" xfId="1" applyFont="1" applyBorder="1"/>
    <xf numFmtId="4" fontId="52" fillId="2" borderId="0" xfId="0" applyNumberFormat="1" applyFont="1" applyFill="1" applyBorder="1"/>
    <xf numFmtId="0" fontId="51" fillId="0" borderId="0" xfId="0" applyFont="1" applyBorder="1" applyAlignment="1">
      <alignment horizontal="right"/>
    </xf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44" fillId="0" borderId="0" xfId="0" applyFont="1" applyAlignment="1">
      <alignment horizontal="right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28,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37.656201173972605</c:v>
                </c:pt>
                <c:pt idx="1">
                  <c:v>2481.105692224794</c:v>
                </c:pt>
                <c:pt idx="2">
                  <c:v>198.33479810343573</c:v>
                </c:pt>
                <c:pt idx="3">
                  <c:v>1844.9628947513052</c:v>
                </c:pt>
                <c:pt idx="4">
                  <c:v>101.3627945135286</c:v>
                </c:pt>
                <c:pt idx="5" formatCode="_-* #,##0.00_-;\-* #,##0.00_-;_-* &quot;-&quot;??_-;_-@_-">
                  <c:v>57.062758533043763</c:v>
                </c:pt>
                <c:pt idx="6">
                  <c:v>6.6771583001700003</c:v>
                </c:pt>
                <c:pt idx="7">
                  <c:v>56.291328983646771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4,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37.097805539873704</c:v>
                </c:pt>
                <c:pt idx="1">
                  <c:v>2556.1306286649051</c:v>
                </c:pt>
                <c:pt idx="2">
                  <c:v>200.66214858212146</c:v>
                </c:pt>
                <c:pt idx="3">
                  <c:v>1905.4364957549351</c:v>
                </c:pt>
                <c:pt idx="4">
                  <c:v>101.41608429950922</c:v>
                </c:pt>
                <c:pt idx="5" formatCode="_-* #,##0.00_-;\-* #,##0.00_-;_-* &quot;-&quot;??_-;_-@_-">
                  <c:v>57.167466185858181</c:v>
                </c:pt>
                <c:pt idx="6">
                  <c:v>6.8089861126900004</c:v>
                </c:pt>
                <c:pt idx="7">
                  <c:v>56.258713652725334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4TH APRIL,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4-Apr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6808986112.6900005</c:v>
                </c:pt>
                <c:pt idx="1">
                  <c:v>37097805539.873703</c:v>
                </c:pt>
                <c:pt idx="2" formatCode="_-* #,##0.00_-;\-* #,##0.00_-;_-* &quot;-&quot;??_-;_-@_-">
                  <c:v>56258713652.725334</c:v>
                </c:pt>
                <c:pt idx="3">
                  <c:v>57167466185.858185</c:v>
                </c:pt>
                <c:pt idx="4">
                  <c:v>101416084299.50922</c:v>
                </c:pt>
                <c:pt idx="5">
                  <c:v>200662148582.12146</c:v>
                </c:pt>
                <c:pt idx="6">
                  <c:v>1905436495754.9351</c:v>
                </c:pt>
                <c:pt idx="7">
                  <c:v>2556130628664.9053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45702</c:v>
                </c:pt>
                <c:pt idx="1">
                  <c:v>45709</c:v>
                </c:pt>
                <c:pt idx="2">
                  <c:v>45716</c:v>
                </c:pt>
                <c:pt idx="3">
                  <c:v>45723</c:v>
                </c:pt>
                <c:pt idx="4">
                  <c:v>45730</c:v>
                </c:pt>
                <c:pt idx="5">
                  <c:v>45737</c:v>
                </c:pt>
                <c:pt idx="6">
                  <c:v>45744</c:v>
                </c:pt>
                <c:pt idx="7">
                  <c:v>45751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4269.5517023318498</c:v>
                </c:pt>
                <c:pt idx="1">
                  <c:v>4304.4471471275037</c:v>
                </c:pt>
                <c:pt idx="2">
                  <c:v>4378.8424481915499</c:v>
                </c:pt>
                <c:pt idx="3">
                  <c:v>4472.6943933207594</c:v>
                </c:pt>
                <c:pt idx="4">
                  <c:v>4607.4792017079635</c:v>
                </c:pt>
                <c:pt idx="5">
                  <c:v>4719.0196974991832</c:v>
                </c:pt>
                <c:pt idx="6">
                  <c:v>4783.453626583896</c:v>
                </c:pt>
                <c:pt idx="7">
                  <c:v>4920.9783287926193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45702</c:v>
                </c:pt>
                <c:pt idx="1">
                  <c:v>45709</c:v>
                </c:pt>
                <c:pt idx="2">
                  <c:v>45716</c:v>
                </c:pt>
                <c:pt idx="3">
                  <c:v>45723</c:v>
                </c:pt>
                <c:pt idx="4">
                  <c:v>45730</c:v>
                </c:pt>
                <c:pt idx="5">
                  <c:v>45737</c:v>
                </c:pt>
                <c:pt idx="6">
                  <c:v>45744</c:v>
                </c:pt>
                <c:pt idx="7">
                  <c:v>45751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13.762029268867213</c:v>
                </c:pt>
                <c:pt idx="1">
                  <c:v>13.757028670379999</c:v>
                </c:pt>
                <c:pt idx="2">
                  <c:v>13.569005930702859</c:v>
                </c:pt>
                <c:pt idx="3">
                  <c:v>13.40889556580691</c:v>
                </c:pt>
                <c:pt idx="4">
                  <c:v>13.225205337489792</c:v>
                </c:pt>
                <c:pt idx="5">
                  <c:v>13.115951569109791</c:v>
                </c:pt>
                <c:pt idx="6">
                  <c:v>13.246875880158331</c:v>
                </c:pt>
                <c:pt idx="7">
                  <c:v>13.252536997856778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0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54" t="s">
        <v>311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spans="1:25" ht="15" customHeight="1">
      <c r="A2" s="138"/>
      <c r="B2" s="23"/>
      <c r="C2" s="126"/>
      <c r="D2" s="155" t="s">
        <v>309</v>
      </c>
      <c r="E2" s="155"/>
      <c r="F2" s="155"/>
      <c r="G2" s="155"/>
      <c r="H2" s="155"/>
      <c r="I2" s="155"/>
      <c r="J2" s="155"/>
      <c r="K2" s="155" t="s">
        <v>312</v>
      </c>
      <c r="L2" s="155"/>
      <c r="M2" s="155"/>
      <c r="N2" s="155"/>
      <c r="O2" s="155"/>
      <c r="P2" s="155"/>
      <c r="Q2" s="155"/>
      <c r="R2" s="155" t="s">
        <v>0</v>
      </c>
      <c r="S2" s="155"/>
      <c r="T2" s="155"/>
      <c r="U2" s="155" t="s">
        <v>1</v>
      </c>
      <c r="V2" s="155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289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9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5" ht="15" customHeight="1">
      <c r="A5" s="152" t="s">
        <v>17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</row>
    <row r="6" spans="1:25">
      <c r="A6" s="140">
        <v>1</v>
      </c>
      <c r="B6" s="133" t="s">
        <v>18</v>
      </c>
      <c r="C6" s="134" t="s">
        <v>19</v>
      </c>
      <c r="D6" s="29">
        <v>1588376695.1400001</v>
      </c>
      <c r="E6" s="30">
        <f t="shared" ref="E6:E22" si="0">(D6/$D$25)</f>
        <v>4.2181012572183249E-2</v>
      </c>
      <c r="F6" s="31">
        <v>421.51580000000001</v>
      </c>
      <c r="G6" s="31">
        <v>424.56509999999997</v>
      </c>
      <c r="H6" s="32">
        <v>1816</v>
      </c>
      <c r="I6" s="50">
        <v>1.5900000000000001E-2</v>
      </c>
      <c r="J6" s="50">
        <v>6.0400000000000002E-2</v>
      </c>
      <c r="K6" s="29">
        <v>1588551937.5</v>
      </c>
      <c r="L6" s="30">
        <f t="shared" ref="L6:L22" si="1">(K6/$K$25)</f>
        <v>4.2820644358399648E-2</v>
      </c>
      <c r="M6" s="31">
        <v>419.24209999999999</v>
      </c>
      <c r="N6" s="31">
        <v>422.45049999999998</v>
      </c>
      <c r="O6" s="32">
        <v>1816</v>
      </c>
      <c r="P6" s="50">
        <v>-5.4000000000000003E-3</v>
      </c>
      <c r="Q6" s="50">
        <v>5.4699999999999999E-2</v>
      </c>
      <c r="R6" s="56">
        <f>((K6-D6)/D6)</f>
        <v>1.1032795969374831E-4</v>
      </c>
      <c r="S6" s="56">
        <f>((N6-G6)/G6)</f>
        <v>-4.980626057111138E-3</v>
      </c>
      <c r="T6" s="56">
        <f>((O6-H6)/H6)</f>
        <v>0</v>
      </c>
      <c r="U6" s="57">
        <f>P6-I6</f>
        <v>-2.1299999999999999E-2</v>
      </c>
      <c r="V6" s="58">
        <f>Q6-J6</f>
        <v>-5.7000000000000037E-3</v>
      </c>
    </row>
    <row r="7" spans="1:25">
      <c r="A7" s="140">
        <v>2</v>
      </c>
      <c r="B7" s="133" t="s">
        <v>20</v>
      </c>
      <c r="C7" s="134" t="s">
        <v>21</v>
      </c>
      <c r="D7" s="33">
        <v>655797341.36000001</v>
      </c>
      <c r="E7" s="30">
        <f t="shared" si="0"/>
        <v>1.7415387662982777E-2</v>
      </c>
      <c r="F7" s="33">
        <v>274.29759999999999</v>
      </c>
      <c r="G7" s="33">
        <v>277.60300000000001</v>
      </c>
      <c r="H7" s="32">
        <v>465</v>
      </c>
      <c r="I7" s="50">
        <v>5.8799999999999998E-4</v>
      </c>
      <c r="J7" s="50">
        <v>6.5199999999999994E-2</v>
      </c>
      <c r="K7" s="33">
        <v>654027630.75999999</v>
      </c>
      <c r="L7" s="30">
        <f t="shared" si="1"/>
        <v>1.7629819910965724E-2</v>
      </c>
      <c r="M7" s="33">
        <v>273.41480000000001</v>
      </c>
      <c r="N7" s="33">
        <v>276.73610000000002</v>
      </c>
      <c r="O7" s="32">
        <v>466</v>
      </c>
      <c r="P7" s="50">
        <v>2.2169999999999998E-3</v>
      </c>
      <c r="Q7" s="50">
        <v>6.1800000000000001E-2</v>
      </c>
      <c r="R7" s="56">
        <f t="shared" ref="R7:R25" si="2">((K7-D7)/D7)</f>
        <v>-2.698563242616961E-3</v>
      </c>
      <c r="S7" s="56">
        <f t="shared" ref="S7:S25" si="3">((N7-G7)/G7)</f>
        <v>-3.1228048688234163E-3</v>
      </c>
      <c r="T7" s="56">
        <f t="shared" ref="T7:T25" si="4">((O7-H7)/H7)</f>
        <v>2.1505376344086021E-3</v>
      </c>
      <c r="U7" s="57">
        <f t="shared" ref="U7:U25" si="5">P7-I7</f>
        <v>1.6289999999999998E-3</v>
      </c>
      <c r="V7" s="58">
        <f t="shared" ref="V7:V25" si="6">Q7-J7</f>
        <v>-3.3999999999999933E-3</v>
      </c>
    </row>
    <row r="8" spans="1:25">
      <c r="A8" s="140">
        <v>3</v>
      </c>
      <c r="B8" s="133" t="s">
        <v>22</v>
      </c>
      <c r="C8" s="134" t="s">
        <v>23</v>
      </c>
      <c r="D8" s="33">
        <v>3976456565.3400002</v>
      </c>
      <c r="E8" s="30">
        <f t="shared" si="0"/>
        <v>0.10559898347070833</v>
      </c>
      <c r="F8" s="33">
        <v>35.9756</v>
      </c>
      <c r="G8" s="33">
        <v>37.060299999999998</v>
      </c>
      <c r="H8" s="34">
        <v>6663</v>
      </c>
      <c r="I8" s="51">
        <v>0.1479</v>
      </c>
      <c r="J8" s="51">
        <v>6.1600000000000002E-2</v>
      </c>
      <c r="K8" s="33">
        <v>4000742349.0700002</v>
      </c>
      <c r="L8" s="30">
        <f t="shared" si="1"/>
        <v>0.10784309990438373</v>
      </c>
      <c r="M8" s="33">
        <v>36.058900000000001</v>
      </c>
      <c r="N8" s="33">
        <v>37.146099999999997</v>
      </c>
      <c r="O8" s="34">
        <v>6670</v>
      </c>
      <c r="P8" s="51">
        <v>0.1207</v>
      </c>
      <c r="Q8" s="51">
        <v>6.6100000000000006E-2</v>
      </c>
      <c r="R8" s="56">
        <f t="shared" si="2"/>
        <v>6.1073931856020424E-3</v>
      </c>
      <c r="S8" s="56">
        <f t="shared" si="3"/>
        <v>2.3151458568872619E-3</v>
      </c>
      <c r="T8" s="56">
        <f t="shared" si="4"/>
        <v>1.0505778177997899E-3</v>
      </c>
      <c r="U8" s="57">
        <f t="shared" si="5"/>
        <v>-2.7200000000000002E-2</v>
      </c>
      <c r="V8" s="58">
        <f t="shared" si="6"/>
        <v>4.500000000000004E-3</v>
      </c>
      <c r="X8" s="59"/>
      <c r="Y8" s="59"/>
    </row>
    <row r="9" spans="1:25">
      <c r="A9" s="140">
        <v>4</v>
      </c>
      <c r="B9" s="133" t="s">
        <v>24</v>
      </c>
      <c r="C9" s="134" t="s">
        <v>25</v>
      </c>
      <c r="D9" s="33">
        <v>587414485.59000003</v>
      </c>
      <c r="E9" s="30">
        <f t="shared" si="0"/>
        <v>1.5599409055526611E-2</v>
      </c>
      <c r="F9" s="33">
        <v>223.11359999999999</v>
      </c>
      <c r="G9" s="33">
        <v>223.11359999999999</v>
      </c>
      <c r="H9" s="32">
        <v>1933</v>
      </c>
      <c r="I9" s="50">
        <v>1.03E-2</v>
      </c>
      <c r="J9" s="50">
        <v>1.89E-2</v>
      </c>
      <c r="K9" s="33">
        <v>595757406.11000001</v>
      </c>
      <c r="L9" s="30">
        <f t="shared" si="1"/>
        <v>1.6059101001800878E-2</v>
      </c>
      <c r="M9" s="33">
        <v>224.40620000000001</v>
      </c>
      <c r="N9" s="33">
        <v>224.40620000000001</v>
      </c>
      <c r="O9" s="32">
        <v>1942</v>
      </c>
      <c r="P9" s="50">
        <v>5.7999999999999996E-3</v>
      </c>
      <c r="Q9" s="50">
        <v>2.4799999999999999E-2</v>
      </c>
      <c r="R9" s="56">
        <f t="shared" si="2"/>
        <v>1.4202783085303622E-2</v>
      </c>
      <c r="S9" s="56">
        <f t="shared" si="3"/>
        <v>5.793461268161249E-3</v>
      </c>
      <c r="T9" s="56">
        <f t="shared" si="4"/>
        <v>4.6559751681324365E-3</v>
      </c>
      <c r="U9" s="57">
        <f t="shared" si="5"/>
        <v>-4.5000000000000005E-3</v>
      </c>
      <c r="V9" s="58">
        <f t="shared" si="6"/>
        <v>5.899999999999999E-3</v>
      </c>
    </row>
    <row r="10" spans="1:25">
      <c r="A10" s="140">
        <v>5</v>
      </c>
      <c r="B10" s="133" t="s">
        <v>26</v>
      </c>
      <c r="C10" s="134" t="s">
        <v>27</v>
      </c>
      <c r="D10" s="33">
        <v>1036705412.25</v>
      </c>
      <c r="E10" s="30">
        <f t="shared" si="0"/>
        <v>2.7530801831560085E-2</v>
      </c>
      <c r="F10" s="33">
        <v>1.3171999999999999</v>
      </c>
      <c r="G10" s="33">
        <v>1.3342000000000001</v>
      </c>
      <c r="H10" s="32">
        <v>507</v>
      </c>
      <c r="I10" s="50">
        <v>8.0999999999999996E-3</v>
      </c>
      <c r="J10" s="50">
        <v>6.3E-2</v>
      </c>
      <c r="K10" s="33">
        <v>1018978408.92</v>
      </c>
      <c r="L10" s="30">
        <f t="shared" si="1"/>
        <v>2.7467349997960796E-2</v>
      </c>
      <c r="M10" s="33">
        <v>1.3176000000000001</v>
      </c>
      <c r="N10" s="33">
        <v>1.3337000000000001</v>
      </c>
      <c r="O10" s="32">
        <v>507</v>
      </c>
      <c r="P10" s="50">
        <v>0</v>
      </c>
      <c r="Q10" s="50">
        <v>6.3E-2</v>
      </c>
      <c r="R10" s="56">
        <f t="shared" si="2"/>
        <v>-1.7099364120735584E-2</v>
      </c>
      <c r="S10" s="56">
        <f t="shared" si="3"/>
        <v>-3.7475640833454122E-4</v>
      </c>
      <c r="T10" s="56">
        <f t="shared" si="4"/>
        <v>0</v>
      </c>
      <c r="U10" s="57">
        <f t="shared" si="5"/>
        <v>-8.0999999999999996E-3</v>
      </c>
      <c r="V10" s="58">
        <f t="shared" si="6"/>
        <v>0</v>
      </c>
    </row>
    <row r="11" spans="1:25">
      <c r="A11" s="140">
        <v>6</v>
      </c>
      <c r="B11" s="133" t="s">
        <v>28</v>
      </c>
      <c r="C11" s="134" t="s">
        <v>29</v>
      </c>
      <c r="D11" s="35">
        <v>111682481.70999999</v>
      </c>
      <c r="E11" s="30">
        <f t="shared" si="0"/>
        <v>2.965845683530957E-3</v>
      </c>
      <c r="F11" s="33">
        <v>181.52549999999999</v>
      </c>
      <c r="G11" s="33">
        <v>182.44210000000001</v>
      </c>
      <c r="H11" s="34">
        <v>69</v>
      </c>
      <c r="I11" s="51">
        <v>1.621E-3</v>
      </c>
      <c r="J11" s="51">
        <v>5.6000000000000001E-2</v>
      </c>
      <c r="K11" s="35">
        <v>111999086.42</v>
      </c>
      <c r="L11" s="30">
        <f t="shared" si="1"/>
        <v>3.0190218744777348E-3</v>
      </c>
      <c r="M11" s="33">
        <v>181.36879999999999</v>
      </c>
      <c r="N11" s="33">
        <v>182.28210000000001</v>
      </c>
      <c r="O11" s="34">
        <v>70</v>
      </c>
      <c r="P11" s="51">
        <v>9.9599999999999992E-4</v>
      </c>
      <c r="Q11" s="51">
        <v>5.5199999999999999E-2</v>
      </c>
      <c r="R11" s="56">
        <f t="shared" si="2"/>
        <v>2.8348645656184387E-3</v>
      </c>
      <c r="S11" s="56">
        <f t="shared" si="3"/>
        <v>-8.7699056303340388E-4</v>
      </c>
      <c r="T11" s="56">
        <f t="shared" si="4"/>
        <v>1.4492753623188406E-2</v>
      </c>
      <c r="U11" s="57">
        <f t="shared" si="5"/>
        <v>-6.2500000000000012E-4</v>
      </c>
      <c r="V11" s="58">
        <f t="shared" si="6"/>
        <v>-8.000000000000021E-4</v>
      </c>
    </row>
    <row r="12" spans="1:25">
      <c r="A12" s="140">
        <v>7</v>
      </c>
      <c r="B12" s="133" t="s">
        <v>30</v>
      </c>
      <c r="C12" s="134" t="s">
        <v>31</v>
      </c>
      <c r="D12" s="33">
        <v>1471316478.6800001</v>
      </c>
      <c r="E12" s="30">
        <f t="shared" si="0"/>
        <v>3.9072355490201487E-2</v>
      </c>
      <c r="F12" s="33">
        <v>356.29</v>
      </c>
      <c r="G12" s="33">
        <v>360.99</v>
      </c>
      <c r="H12" s="34">
        <v>1674</v>
      </c>
      <c r="I12" s="51">
        <v>1.9800000000000002E-2</v>
      </c>
      <c r="J12" s="51">
        <v>0.1003</v>
      </c>
      <c r="K12" s="33">
        <v>1462292131.48</v>
      </c>
      <c r="L12" s="30">
        <f t="shared" si="1"/>
        <v>3.9417213773151348E-2</v>
      </c>
      <c r="M12" s="33">
        <v>355.95</v>
      </c>
      <c r="N12" s="33">
        <v>360.66</v>
      </c>
      <c r="O12" s="34">
        <v>1677</v>
      </c>
      <c r="P12" s="51">
        <v>-8.9999999999999998E-4</v>
      </c>
      <c r="Q12" s="51">
        <v>9.9299999999999999E-2</v>
      </c>
      <c r="R12" s="56">
        <f t="shared" si="2"/>
        <v>-6.1335187437690439E-3</v>
      </c>
      <c r="S12" s="56">
        <f t="shared" si="3"/>
        <v>-9.1415274661343546E-4</v>
      </c>
      <c r="T12" s="56">
        <f t="shared" si="4"/>
        <v>1.7921146953405018E-3</v>
      </c>
      <c r="U12" s="57">
        <f t="shared" si="5"/>
        <v>-2.0700000000000003E-2</v>
      </c>
      <c r="V12" s="58">
        <f t="shared" si="6"/>
        <v>-1.0000000000000009E-3</v>
      </c>
    </row>
    <row r="13" spans="1:25">
      <c r="A13" s="140">
        <v>8</v>
      </c>
      <c r="B13" s="133" t="s">
        <v>32</v>
      </c>
      <c r="C13" s="134" t="s">
        <v>33</v>
      </c>
      <c r="D13" s="29">
        <v>434593621.17000002</v>
      </c>
      <c r="E13" s="30">
        <f t="shared" si="0"/>
        <v>1.1541090381426594E-2</v>
      </c>
      <c r="F13" s="33">
        <v>216.8</v>
      </c>
      <c r="G13" s="33">
        <v>224.99</v>
      </c>
      <c r="H13" s="32">
        <v>2468</v>
      </c>
      <c r="I13" s="50">
        <v>1.2699999999999999E-2</v>
      </c>
      <c r="J13" s="50">
        <v>0.72460000000000002</v>
      </c>
      <c r="K13" s="29">
        <v>436026353.19</v>
      </c>
      <c r="L13" s="30">
        <f t="shared" si="1"/>
        <v>1.1753427105583034E-2</v>
      </c>
      <c r="M13" s="33">
        <v>217.29</v>
      </c>
      <c r="N13" s="33">
        <v>224.14</v>
      </c>
      <c r="O13" s="32">
        <v>2468</v>
      </c>
      <c r="P13" s="50">
        <v>2.3E-3</v>
      </c>
      <c r="Q13" s="50">
        <v>0.72850000000000004</v>
      </c>
      <c r="R13" s="56">
        <f t="shared" si="2"/>
        <v>3.2967166341347173E-3</v>
      </c>
      <c r="S13" s="56">
        <f t="shared" si="3"/>
        <v>-3.7779456864750552E-3</v>
      </c>
      <c r="T13" s="56">
        <f t="shared" si="4"/>
        <v>0</v>
      </c>
      <c r="U13" s="57">
        <f t="shared" si="5"/>
        <v>-1.04E-2</v>
      </c>
      <c r="V13" s="58">
        <f t="shared" si="6"/>
        <v>3.9000000000000146E-3</v>
      </c>
    </row>
    <row r="14" spans="1:25">
      <c r="A14" s="140">
        <v>9</v>
      </c>
      <c r="B14" s="133" t="s">
        <v>34</v>
      </c>
      <c r="C14" s="134" t="s">
        <v>35</v>
      </c>
      <c r="D14" s="35">
        <v>64688717.622599997</v>
      </c>
      <c r="E14" s="30">
        <f t="shared" si="0"/>
        <v>1.7178768862991911E-3</v>
      </c>
      <c r="F14" s="33">
        <v>226.60300000000001</v>
      </c>
      <c r="G14" s="33">
        <v>233.76140000000001</v>
      </c>
      <c r="H14" s="32">
        <v>18</v>
      </c>
      <c r="I14" s="50">
        <v>2.9999999999999997E-4</v>
      </c>
      <c r="J14" s="50">
        <v>2.5600000000000001E-2</v>
      </c>
      <c r="K14" s="35">
        <v>64764985.133699998</v>
      </c>
      <c r="L14" s="30">
        <f t="shared" si="1"/>
        <v>1.745790194088135E-3</v>
      </c>
      <c r="M14" s="33">
        <v>226.85480000000001</v>
      </c>
      <c r="N14" s="33">
        <v>234.01750000000001</v>
      </c>
      <c r="O14" s="32">
        <v>18</v>
      </c>
      <c r="P14" s="50">
        <v>1.1000000000000001E-3</v>
      </c>
      <c r="Q14" s="50">
        <v>2.6700000000000002E-2</v>
      </c>
      <c r="R14" s="56">
        <f t="shared" si="2"/>
        <v>1.1789924719941643E-3</v>
      </c>
      <c r="S14" s="56">
        <f t="shared" si="3"/>
        <v>1.0955615426670251E-3</v>
      </c>
      <c r="T14" s="56">
        <f t="shared" si="4"/>
        <v>0</v>
      </c>
      <c r="U14" s="57">
        <f t="shared" si="5"/>
        <v>8.0000000000000015E-4</v>
      </c>
      <c r="V14" s="58">
        <f t="shared" si="6"/>
        <v>1.1000000000000003E-3</v>
      </c>
    </row>
    <row r="15" spans="1:25" ht="14.25" customHeight="1">
      <c r="A15" s="140">
        <v>10</v>
      </c>
      <c r="B15" s="133" t="s">
        <v>36</v>
      </c>
      <c r="C15" s="134" t="s">
        <v>37</v>
      </c>
      <c r="D15" s="29">
        <v>754643865.16999996</v>
      </c>
      <c r="E15" s="30">
        <f t="shared" si="0"/>
        <v>2.0040360993492844E-2</v>
      </c>
      <c r="F15" s="33">
        <v>2.549372</v>
      </c>
      <c r="G15" s="33">
        <v>2.576479</v>
      </c>
      <c r="H15" s="32">
        <v>495</v>
      </c>
      <c r="I15" s="50">
        <v>1.17165797302059E-2</v>
      </c>
      <c r="J15" s="50">
        <v>0.21707746386418481</v>
      </c>
      <c r="K15" s="29">
        <v>758446053.67999995</v>
      </c>
      <c r="L15" s="30">
        <f t="shared" si="1"/>
        <v>2.0444499146042534E-2</v>
      </c>
      <c r="M15" s="33">
        <v>2.5542129999999998</v>
      </c>
      <c r="N15" s="33">
        <v>2.5825589999999998</v>
      </c>
      <c r="O15" s="32">
        <v>501</v>
      </c>
      <c r="P15" s="50">
        <v>1.8988990229749092E-3</v>
      </c>
      <c r="Q15" s="50">
        <v>0.21938857107120135</v>
      </c>
      <c r="R15" s="56">
        <f t="shared" si="2"/>
        <v>5.0383878879654903E-3</v>
      </c>
      <c r="S15" s="56">
        <f t="shared" si="3"/>
        <v>2.3598096471967611E-3</v>
      </c>
      <c r="T15" s="56">
        <f t="shared" si="4"/>
        <v>1.2121212121212121E-2</v>
      </c>
      <c r="U15" s="57">
        <f t="shared" si="5"/>
        <v>-9.8176807072309913E-3</v>
      </c>
      <c r="V15" s="58">
        <f t="shared" si="6"/>
        <v>2.3111072070165495E-3</v>
      </c>
    </row>
    <row r="16" spans="1:25" ht="14.25" customHeight="1">
      <c r="A16" s="140">
        <v>11</v>
      </c>
      <c r="B16" s="133" t="s">
        <v>38</v>
      </c>
      <c r="C16" s="134" t="s">
        <v>39</v>
      </c>
      <c r="D16" s="29">
        <v>38590710.859999999</v>
      </c>
      <c r="E16" s="30">
        <f t="shared" si="0"/>
        <v>1.0248168869108685E-3</v>
      </c>
      <c r="F16" s="33">
        <v>15.91</v>
      </c>
      <c r="G16" s="33">
        <v>16.39</v>
      </c>
      <c r="H16" s="32">
        <v>29</v>
      </c>
      <c r="I16" s="50">
        <v>0.01</v>
      </c>
      <c r="J16" s="50">
        <v>0.61</v>
      </c>
      <c r="K16" s="29">
        <v>38592246.229999997</v>
      </c>
      <c r="L16" s="30">
        <f t="shared" si="1"/>
        <v>1.0402838030006932E-3</v>
      </c>
      <c r="M16" s="33">
        <v>15.91</v>
      </c>
      <c r="N16" s="33">
        <v>16.399999999999999</v>
      </c>
      <c r="O16" s="32">
        <v>29</v>
      </c>
      <c r="P16" s="50">
        <v>-1.0999999999999999E-2</v>
      </c>
      <c r="Q16" s="50">
        <v>0.59</v>
      </c>
      <c r="R16" s="56">
        <f t="shared" ref="R16" si="7">((K16-D16)/D16)</f>
        <v>3.9785999422694173E-5</v>
      </c>
      <c r="S16" s="56">
        <f t="shared" ref="S16" si="8">((N16-G16)/G16)</f>
        <v>6.1012812690652894E-4</v>
      </c>
      <c r="T16" s="56">
        <f t="shared" ref="T16" si="9">((O16-H16)/H16)</f>
        <v>0</v>
      </c>
      <c r="U16" s="57">
        <f t="shared" ref="U16" si="10">P16-I16</f>
        <v>-2.0999999999999998E-2</v>
      </c>
      <c r="V16" s="58">
        <f t="shared" ref="V16" si="11">Q16-J16</f>
        <v>-2.0000000000000018E-2</v>
      </c>
    </row>
    <row r="17" spans="1:22">
      <c r="A17" s="140">
        <v>12</v>
      </c>
      <c r="B17" s="133" t="s">
        <v>40</v>
      </c>
      <c r="C17" s="134" t="s">
        <v>41</v>
      </c>
      <c r="D17" s="129">
        <v>1900017630.3900001</v>
      </c>
      <c r="E17" s="30">
        <f t="shared" si="0"/>
        <v>5.0456965151951215E-2</v>
      </c>
      <c r="F17" s="33">
        <v>3.87</v>
      </c>
      <c r="G17" s="33">
        <v>3.96</v>
      </c>
      <c r="H17" s="32">
        <v>3649</v>
      </c>
      <c r="I17" s="50">
        <v>4.0000000000000001E-3</v>
      </c>
      <c r="J17" s="50">
        <v>6.4899999999999999E-2</v>
      </c>
      <c r="K17" s="129">
        <v>1895389509.5599999</v>
      </c>
      <c r="L17" s="30">
        <f t="shared" si="1"/>
        <v>5.1091688092514936E-2</v>
      </c>
      <c r="M17" s="33">
        <v>3.86</v>
      </c>
      <c r="N17" s="33">
        <v>3.95</v>
      </c>
      <c r="O17" s="32">
        <v>3649</v>
      </c>
      <c r="P17" s="50">
        <v>-1.2999999999999999E-2</v>
      </c>
      <c r="Q17" s="50">
        <v>6.2300000000000001E-2</v>
      </c>
      <c r="R17" s="56">
        <f t="shared" si="2"/>
        <v>-2.4358304659784593E-3</v>
      </c>
      <c r="S17" s="56">
        <f t="shared" si="3"/>
        <v>-2.5252525252524713E-3</v>
      </c>
      <c r="T17" s="56">
        <f t="shared" si="4"/>
        <v>0</v>
      </c>
      <c r="U17" s="57">
        <f t="shared" si="5"/>
        <v>-1.7000000000000001E-2</v>
      </c>
      <c r="V17" s="58">
        <f t="shared" si="6"/>
        <v>-2.5999999999999981E-3</v>
      </c>
    </row>
    <row r="18" spans="1:22">
      <c r="A18" s="140">
        <v>13</v>
      </c>
      <c r="B18" s="133" t="s">
        <v>42</v>
      </c>
      <c r="C18" s="134" t="s">
        <v>43</v>
      </c>
      <c r="D18" s="33">
        <v>965727778.7299999</v>
      </c>
      <c r="E18" s="30">
        <f t="shared" si="0"/>
        <v>2.5645916173761479E-2</v>
      </c>
      <c r="F18" s="33">
        <v>25.525074</v>
      </c>
      <c r="G18" s="33">
        <v>25.658346999999999</v>
      </c>
      <c r="H18" s="32">
        <v>478</v>
      </c>
      <c r="I18" s="50">
        <v>8.6364716753768445E-3</v>
      </c>
      <c r="J18" s="50">
        <v>5.0743368418660673E-2</v>
      </c>
      <c r="K18" s="33">
        <v>968929106.11000001</v>
      </c>
      <c r="L18" s="30">
        <f t="shared" si="1"/>
        <v>2.6118232386240996E-2</v>
      </c>
      <c r="M18" s="33">
        <v>25.624451000000001</v>
      </c>
      <c r="N18" s="33">
        <v>25.767543</v>
      </c>
      <c r="O18" s="32">
        <v>482</v>
      </c>
      <c r="P18" s="50">
        <v>3.8933089870767379E-3</v>
      </c>
      <c r="Q18" s="50">
        <v>5.4834237018036358E-2</v>
      </c>
      <c r="R18" s="56">
        <f t="shared" si="2"/>
        <v>3.3149376568727116E-3</v>
      </c>
      <c r="S18" s="56">
        <f t="shared" si="3"/>
        <v>4.2557690875410148E-3</v>
      </c>
      <c r="T18" s="56">
        <f t="shared" si="4"/>
        <v>8.368200836820083E-3</v>
      </c>
      <c r="U18" s="57">
        <f t="shared" si="5"/>
        <v>-4.7431626883001066E-3</v>
      </c>
      <c r="V18" s="58">
        <f t="shared" si="6"/>
        <v>4.0908685993756855E-3</v>
      </c>
    </row>
    <row r="19" spans="1:22">
      <c r="A19" s="140">
        <v>14</v>
      </c>
      <c r="B19" s="133" t="s">
        <v>44</v>
      </c>
      <c r="C19" s="134" t="s">
        <v>45</v>
      </c>
      <c r="D19" s="33">
        <v>136189616.43000001</v>
      </c>
      <c r="E19" s="30">
        <f t="shared" si="0"/>
        <v>3.6166584037726091E-3</v>
      </c>
      <c r="F19" s="33">
        <v>1.47</v>
      </c>
      <c r="G19" s="33">
        <v>1.52</v>
      </c>
      <c r="H19" s="32">
        <v>23</v>
      </c>
      <c r="I19" s="50">
        <v>-1.4500000000000001E-2</v>
      </c>
      <c r="J19" s="50">
        <v>5.1999999999999998E-2</v>
      </c>
      <c r="K19" s="33">
        <v>139319596.81</v>
      </c>
      <c r="L19" s="30">
        <f t="shared" si="1"/>
        <v>3.7554673324344109E-3</v>
      </c>
      <c r="M19" s="33">
        <v>1.5</v>
      </c>
      <c r="N19" s="33">
        <v>1.56</v>
      </c>
      <c r="O19" s="32">
        <v>23</v>
      </c>
      <c r="P19" s="50">
        <v>1.4999999999999999E-2</v>
      </c>
      <c r="Q19" s="50">
        <v>3.7499999999999999E-2</v>
      </c>
      <c r="R19" s="56">
        <f t="shared" si="2"/>
        <v>2.2982518506532188E-2</v>
      </c>
      <c r="S19" s="56">
        <f t="shared" si="3"/>
        <v>2.6315789473684233E-2</v>
      </c>
      <c r="T19" s="56">
        <f t="shared" si="4"/>
        <v>0</v>
      </c>
      <c r="U19" s="57">
        <f t="shared" si="5"/>
        <v>2.9499999999999998E-2</v>
      </c>
      <c r="V19" s="58">
        <f t="shared" si="6"/>
        <v>-1.4499999999999999E-2</v>
      </c>
    </row>
    <row r="20" spans="1:22">
      <c r="A20" s="140">
        <v>15</v>
      </c>
      <c r="B20" s="133" t="s">
        <v>46</v>
      </c>
      <c r="C20" s="134" t="s">
        <v>47</v>
      </c>
      <c r="D20" s="29">
        <v>2530215327.1300001</v>
      </c>
      <c r="E20" s="30">
        <f t="shared" si="0"/>
        <v>6.719252734603634E-2</v>
      </c>
      <c r="F20" s="33">
        <v>33.380000000000003</v>
      </c>
      <c r="G20" s="33">
        <v>33.590000000000003</v>
      </c>
      <c r="H20" s="32">
        <v>8944</v>
      </c>
      <c r="I20" s="50">
        <v>2.5999999999999999E-3</v>
      </c>
      <c r="J20" s="50">
        <v>6.2E-2</v>
      </c>
      <c r="K20" s="29">
        <v>2526201975.98</v>
      </c>
      <c r="L20" s="30">
        <f t="shared" si="1"/>
        <v>6.80957253189753E-2</v>
      </c>
      <c r="M20" s="33">
        <v>33.1</v>
      </c>
      <c r="N20" s="33">
        <v>33.82</v>
      </c>
      <c r="O20" s="32">
        <v>8944</v>
      </c>
      <c r="P20" s="50">
        <v>2E-3</v>
      </c>
      <c r="Q20" s="50">
        <v>6.4000000000000001E-2</v>
      </c>
      <c r="R20" s="56">
        <f t="shared" si="2"/>
        <v>-1.5861698041930695E-3</v>
      </c>
      <c r="S20" s="56">
        <f t="shared" si="3"/>
        <v>6.8472759749924634E-3</v>
      </c>
      <c r="T20" s="56">
        <f t="shared" si="4"/>
        <v>0</v>
      </c>
      <c r="U20" s="57">
        <f t="shared" si="5"/>
        <v>-5.9999999999999984E-4</v>
      </c>
      <c r="V20" s="58">
        <f t="shared" si="6"/>
        <v>2.0000000000000018E-3</v>
      </c>
    </row>
    <row r="21" spans="1:22" ht="12.75" customHeight="1">
      <c r="A21" s="140">
        <v>16</v>
      </c>
      <c r="B21" s="133" t="s">
        <v>48</v>
      </c>
      <c r="C21" s="134" t="s">
        <v>49</v>
      </c>
      <c r="D21" s="33">
        <v>880848228.98000002</v>
      </c>
      <c r="E21" s="30">
        <f t="shared" si="0"/>
        <v>2.3391850519133856E-2</v>
      </c>
      <c r="F21" s="33">
        <v>8715.17</v>
      </c>
      <c r="G21" s="33">
        <v>8833.41</v>
      </c>
      <c r="H21" s="32">
        <v>21</v>
      </c>
      <c r="I21" s="50">
        <v>2.0299999999999999E-2</v>
      </c>
      <c r="J21" s="50">
        <v>8.9099999999999999E-2</v>
      </c>
      <c r="K21" s="33">
        <v>878794154.62</v>
      </c>
      <c r="L21" s="30">
        <f t="shared" si="1"/>
        <v>2.3688575155084275E-2</v>
      </c>
      <c r="M21" s="33">
        <v>8695.02</v>
      </c>
      <c r="N21" s="33">
        <v>8812.69</v>
      </c>
      <c r="O21" s="32">
        <v>21</v>
      </c>
      <c r="P21" s="50">
        <v>-2.3E-3</v>
      </c>
      <c r="Q21" s="50">
        <v>8.6499999999999994E-2</v>
      </c>
      <c r="R21" s="56">
        <f t="shared" si="2"/>
        <v>-2.3319276720106261E-3</v>
      </c>
      <c r="S21" s="56">
        <f t="shared" si="3"/>
        <v>-2.3456400189733463E-3</v>
      </c>
      <c r="T21" s="56">
        <f t="shared" si="4"/>
        <v>0</v>
      </c>
      <c r="U21" s="57">
        <f t="shared" si="5"/>
        <v>-2.2599999999999999E-2</v>
      </c>
      <c r="V21" s="58">
        <f t="shared" si="6"/>
        <v>-2.6000000000000051E-3</v>
      </c>
    </row>
    <row r="22" spans="1:22">
      <c r="A22" s="140">
        <v>17</v>
      </c>
      <c r="B22" s="133" t="s">
        <v>50</v>
      </c>
      <c r="C22" s="134" t="s">
        <v>49</v>
      </c>
      <c r="D22" s="33">
        <v>14237472067.92</v>
      </c>
      <c r="E22" s="30">
        <f t="shared" si="0"/>
        <v>0.37809103478448391</v>
      </c>
      <c r="F22" s="33">
        <v>27333.34</v>
      </c>
      <c r="G22" s="33">
        <v>27728.400000000001</v>
      </c>
      <c r="H22" s="32">
        <v>17637</v>
      </c>
      <c r="I22" s="50">
        <v>1.8700000000000001E-2</v>
      </c>
      <c r="J22" s="50">
        <v>7.8899999999999998E-2</v>
      </c>
      <c r="K22" s="33">
        <v>13709397207.049999</v>
      </c>
      <c r="L22" s="30">
        <f t="shared" si="1"/>
        <v>0.36954738986689595</v>
      </c>
      <c r="M22" s="33">
        <v>27157.5</v>
      </c>
      <c r="N22" s="33">
        <v>27561.55</v>
      </c>
      <c r="O22" s="32">
        <v>17638</v>
      </c>
      <c r="P22" s="50">
        <v>-6.0000000000000001E-3</v>
      </c>
      <c r="Q22" s="50">
        <v>7.2400000000000006E-2</v>
      </c>
      <c r="R22" s="56">
        <f t="shared" si="2"/>
        <v>-3.7090493196461738E-2</v>
      </c>
      <c r="S22" s="56">
        <f t="shared" si="3"/>
        <v>-6.0172963459847011E-3</v>
      </c>
      <c r="T22" s="56">
        <f t="shared" si="4"/>
        <v>5.669898508816692E-5</v>
      </c>
      <c r="U22" s="57">
        <f t="shared" si="5"/>
        <v>-2.47E-2</v>
      </c>
      <c r="V22" s="58">
        <f t="shared" si="6"/>
        <v>-6.4999999999999919E-3</v>
      </c>
    </row>
    <row r="23" spans="1:22">
      <c r="A23" s="140">
        <v>18</v>
      </c>
      <c r="B23" s="134" t="s">
        <v>51</v>
      </c>
      <c r="C23" s="134" t="s">
        <v>52</v>
      </c>
      <c r="D23" s="33">
        <v>4169586298.7600002</v>
      </c>
      <c r="E23" s="30">
        <f t="shared" ref="E23" si="12">(D23/$D$25)</f>
        <v>0.11072774652696393</v>
      </c>
      <c r="F23" s="33">
        <v>1.63</v>
      </c>
      <c r="G23" s="31">
        <v>1.6462000000000001</v>
      </c>
      <c r="H23" s="32">
        <v>4776</v>
      </c>
      <c r="I23" s="50">
        <v>5.0000000000000001E-4</v>
      </c>
      <c r="J23" s="50">
        <v>9.2700000000000005E-2</v>
      </c>
      <c r="K23" s="33">
        <v>4125598756.6300001</v>
      </c>
      <c r="L23" s="30">
        <f t="shared" ref="L23" si="13">(K23/$K$25)</f>
        <v>0.11120870080025885</v>
      </c>
      <c r="M23" s="33">
        <v>1.6155999999999999</v>
      </c>
      <c r="N23" s="31">
        <v>1.6315</v>
      </c>
      <c r="O23" s="32">
        <v>4782</v>
      </c>
      <c r="P23" s="50">
        <v>-8.3000000000000001E-3</v>
      </c>
      <c r="Q23" s="50">
        <v>8.3099999999999993E-2</v>
      </c>
      <c r="R23" s="56">
        <f t="shared" ref="R23" si="14">((K23-D23)/D23)</f>
        <v>-1.0549617870502319E-2</v>
      </c>
      <c r="S23" s="56">
        <f t="shared" ref="S23" si="15">((N23-G23)/G23)</f>
        <v>-8.9296561778642678E-3</v>
      </c>
      <c r="T23" s="56">
        <f t="shared" ref="T23" si="16">((O23-H23)/H23)</f>
        <v>1.2562814070351759E-3</v>
      </c>
      <c r="U23" s="57">
        <f t="shared" ref="U23" si="17">P23-I23</f>
        <v>-8.8000000000000005E-3</v>
      </c>
      <c r="V23" s="58">
        <f t="shared" ref="V23" si="18">Q23-J23</f>
        <v>-9.6000000000000113E-3</v>
      </c>
    </row>
    <row r="24" spans="1:22">
      <c r="A24" s="140">
        <v>19</v>
      </c>
      <c r="B24" s="134" t="s">
        <v>297</v>
      </c>
      <c r="C24" s="134" t="s">
        <v>298</v>
      </c>
      <c r="D24" s="33">
        <v>2115877850.74</v>
      </c>
      <c r="E24" s="30">
        <f>(D24/$D$25)</f>
        <v>5.6189360179073583E-2</v>
      </c>
      <c r="F24" s="33">
        <v>129.51</v>
      </c>
      <c r="G24" s="31">
        <v>134.1</v>
      </c>
      <c r="H24" s="32">
        <v>34</v>
      </c>
      <c r="I24" s="50">
        <v>4.0500000000000001E-2</v>
      </c>
      <c r="J24" s="50">
        <v>7.6300000000000007E-2</v>
      </c>
      <c r="K24" s="33">
        <v>2123996644.6199999</v>
      </c>
      <c r="L24" s="30">
        <f>(K24/$K$25)</f>
        <v>5.7253969977740925E-2</v>
      </c>
      <c r="M24" s="33">
        <v>130</v>
      </c>
      <c r="N24" s="31">
        <v>134.62</v>
      </c>
      <c r="O24" s="32">
        <v>34</v>
      </c>
      <c r="P24" s="50">
        <v>3.8E-3</v>
      </c>
      <c r="Q24" s="50">
        <v>8.0500000000000002E-2</v>
      </c>
      <c r="R24" s="56">
        <f t="shared" si="2"/>
        <v>3.8370806127397366E-3</v>
      </c>
      <c r="S24" s="56">
        <f t="shared" si="3"/>
        <v>3.8777032065623433E-3</v>
      </c>
      <c r="T24" s="56">
        <f t="shared" si="4"/>
        <v>0</v>
      </c>
      <c r="U24" s="57">
        <f t="shared" si="5"/>
        <v>-3.6700000000000003E-2</v>
      </c>
      <c r="V24" s="58">
        <f t="shared" si="6"/>
        <v>4.1999999999999954E-3</v>
      </c>
    </row>
    <row r="25" spans="1:22">
      <c r="A25" s="36"/>
      <c r="B25" s="37"/>
      <c r="C25" s="38" t="s">
        <v>53</v>
      </c>
      <c r="D25" s="39">
        <f>SUM(D6:D24)</f>
        <v>37656201173.972603</v>
      </c>
      <c r="E25" s="40">
        <f>(D25/$D$217)</f>
        <v>7.8721785792381094E-3</v>
      </c>
      <c r="F25" s="41"/>
      <c r="G25" s="42"/>
      <c r="H25" s="43">
        <f>SUM(H6:H24)</f>
        <v>51699</v>
      </c>
      <c r="I25" s="52"/>
      <c r="J25" s="32">
        <v>0</v>
      </c>
      <c r="K25" s="39">
        <f>SUM(K6:K24)</f>
        <v>37097805539.873703</v>
      </c>
      <c r="L25" s="40">
        <f>(K25/$K$217)</f>
        <v>7.5387053267059988E-3</v>
      </c>
      <c r="M25" s="41"/>
      <c r="N25" s="42"/>
      <c r="O25" s="43">
        <f>SUM(O6:O24)</f>
        <v>51737</v>
      </c>
      <c r="P25" s="52"/>
      <c r="Q25" s="43"/>
      <c r="R25" s="56">
        <f t="shared" si="2"/>
        <v>-1.4828782954475357E-2</v>
      </c>
      <c r="S25" s="56" t="e">
        <f t="shared" si="3"/>
        <v>#DIV/0!</v>
      </c>
      <c r="T25" s="56">
        <f t="shared" si="4"/>
        <v>7.3502388827636903E-4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</row>
    <row r="27" spans="1:22" ht="15" customHeight="1">
      <c r="A27" s="152" t="s">
        <v>54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</row>
    <row r="28" spans="1:22">
      <c r="A28" s="135">
        <v>20</v>
      </c>
      <c r="B28" s="133" t="s">
        <v>55</v>
      </c>
      <c r="C28" s="134" t="s">
        <v>19</v>
      </c>
      <c r="D28" s="44">
        <v>2572057339.3400002</v>
      </c>
      <c r="E28" s="30">
        <f>(D28/$K$68)</f>
        <v>1.0062307890279509E-3</v>
      </c>
      <c r="F28" s="31">
        <v>100</v>
      </c>
      <c r="G28" s="31">
        <v>100</v>
      </c>
      <c r="H28" s="32">
        <v>1166</v>
      </c>
      <c r="I28" s="50">
        <v>0.19170000000000001</v>
      </c>
      <c r="J28" s="50">
        <v>0.19170000000000001</v>
      </c>
      <c r="K28" s="44">
        <v>2694355600.27</v>
      </c>
      <c r="L28" s="30">
        <f t="shared" ref="L28:L67" si="19">(K28/$K$68)</f>
        <v>1.0540758637508645E-3</v>
      </c>
      <c r="M28" s="31">
        <v>100</v>
      </c>
      <c r="N28" s="31">
        <v>100</v>
      </c>
      <c r="O28" s="32">
        <v>1166</v>
      </c>
      <c r="P28" s="50">
        <v>0.18540000000000001</v>
      </c>
      <c r="Q28" s="50">
        <v>0.18540000000000001</v>
      </c>
      <c r="R28" s="56">
        <f>((K28-D28)/D28)</f>
        <v>4.7548808130919051E-2</v>
      </c>
      <c r="S28" s="56">
        <f>((N28-G28)/G28)</f>
        <v>0</v>
      </c>
      <c r="T28" s="56">
        <f>((O28-H28)/H28)</f>
        <v>0</v>
      </c>
      <c r="U28" s="57">
        <f>P28-I28</f>
        <v>-6.3E-3</v>
      </c>
      <c r="V28" s="58">
        <f>Q28-J28</f>
        <v>-6.3E-3</v>
      </c>
    </row>
    <row r="29" spans="1:22">
      <c r="A29" s="135">
        <v>21</v>
      </c>
      <c r="B29" s="133" t="s">
        <v>56</v>
      </c>
      <c r="C29" s="134" t="s">
        <v>57</v>
      </c>
      <c r="D29" s="44">
        <v>17342303650.549999</v>
      </c>
      <c r="E29" s="30">
        <f t="shared" ref="E29:E67" si="20">(D29/$K$68)</f>
        <v>6.7845920924659757E-3</v>
      </c>
      <c r="F29" s="31">
        <v>100</v>
      </c>
      <c r="G29" s="31">
        <v>100</v>
      </c>
      <c r="H29" s="32">
        <v>2538</v>
      </c>
      <c r="I29" s="50">
        <v>0.22482199999999999</v>
      </c>
      <c r="J29" s="50">
        <v>0.22482199999999999</v>
      </c>
      <c r="K29" s="44">
        <v>18037359461.02</v>
      </c>
      <c r="L29" s="30">
        <f t="shared" si="19"/>
        <v>7.0565092639420816E-3</v>
      </c>
      <c r="M29" s="31">
        <v>100</v>
      </c>
      <c r="N29" s="31">
        <v>100</v>
      </c>
      <c r="O29" s="32">
        <v>2561</v>
      </c>
      <c r="P29" s="50">
        <v>0.2040053268</v>
      </c>
      <c r="Q29" s="50">
        <v>0.2040053268</v>
      </c>
      <c r="R29" s="56">
        <f t="shared" ref="R29:R68" si="21">((K29-D29)/D29)</f>
        <v>4.0078632255291992E-2</v>
      </c>
      <c r="S29" s="56">
        <f t="shared" ref="S29:S68" si="22">((N29-G29)/G29)</f>
        <v>0</v>
      </c>
      <c r="T29" s="56">
        <f t="shared" ref="T29:T68" si="23">((O29-H29)/H29)</f>
        <v>9.0622537431048061E-3</v>
      </c>
      <c r="U29" s="57">
        <f t="shared" ref="U29:U68" si="24">P29-I29</f>
        <v>-2.0816673199999997E-2</v>
      </c>
      <c r="V29" s="58">
        <f t="shared" ref="V29:V68" si="25">Q29-J29</f>
        <v>-2.0816673199999997E-2</v>
      </c>
    </row>
    <row r="30" spans="1:22">
      <c r="A30" s="135">
        <v>22</v>
      </c>
      <c r="B30" s="133" t="s">
        <v>58</v>
      </c>
      <c r="C30" s="134" t="s">
        <v>21</v>
      </c>
      <c r="D30" s="44">
        <v>1784137530.1099999</v>
      </c>
      <c r="E30" s="30">
        <f t="shared" si="20"/>
        <v>6.9798370634988798E-4</v>
      </c>
      <c r="F30" s="31">
        <v>100</v>
      </c>
      <c r="G30" s="31">
        <v>100</v>
      </c>
      <c r="H30" s="32">
        <v>1927</v>
      </c>
      <c r="I30" s="50">
        <v>0.21279999999999999</v>
      </c>
      <c r="J30" s="50">
        <v>0.21279999999999999</v>
      </c>
      <c r="K30" s="44">
        <v>2116905864.48</v>
      </c>
      <c r="L30" s="30">
        <f t="shared" si="19"/>
        <v>8.281681071932082E-4</v>
      </c>
      <c r="M30" s="31">
        <v>100</v>
      </c>
      <c r="N30" s="31">
        <v>100</v>
      </c>
      <c r="O30" s="32">
        <v>1940</v>
      </c>
      <c r="P30" s="50">
        <v>0.20130000000000001</v>
      </c>
      <c r="Q30" s="50">
        <v>0.20130000000000001</v>
      </c>
      <c r="R30" s="56">
        <f t="shared" si="21"/>
        <v>0.18651495680912195</v>
      </c>
      <c r="S30" s="56">
        <f t="shared" si="22"/>
        <v>0</v>
      </c>
      <c r="T30" s="56">
        <f t="shared" si="23"/>
        <v>6.7462376751427086E-3</v>
      </c>
      <c r="U30" s="57">
        <f t="shared" si="24"/>
        <v>-1.1499999999999982E-2</v>
      </c>
      <c r="V30" s="58">
        <f t="shared" si="25"/>
        <v>-1.1499999999999982E-2</v>
      </c>
    </row>
    <row r="31" spans="1:22">
      <c r="A31" s="135">
        <v>23</v>
      </c>
      <c r="B31" s="133" t="s">
        <v>59</v>
      </c>
      <c r="C31" s="134" t="s">
        <v>23</v>
      </c>
      <c r="D31" s="44">
        <v>177008687410.39999</v>
      </c>
      <c r="E31" s="30">
        <f t="shared" si="20"/>
        <v>6.9248686051249869E-2</v>
      </c>
      <c r="F31" s="31">
        <v>1</v>
      </c>
      <c r="G31" s="31">
        <v>1</v>
      </c>
      <c r="H31" s="32">
        <v>67708</v>
      </c>
      <c r="I31" s="50">
        <v>0.2218</v>
      </c>
      <c r="J31" s="50">
        <v>0.2218</v>
      </c>
      <c r="K31" s="44">
        <v>187961460898.87</v>
      </c>
      <c r="L31" s="30">
        <f t="shared" si="19"/>
        <v>7.3533589712136235E-2</v>
      </c>
      <c r="M31" s="31">
        <v>1</v>
      </c>
      <c r="N31" s="31">
        <v>1</v>
      </c>
      <c r="O31" s="32">
        <v>67974</v>
      </c>
      <c r="P31" s="50">
        <v>0.21740000000000001</v>
      </c>
      <c r="Q31" s="50">
        <v>0.21740000000000001</v>
      </c>
      <c r="R31" s="56">
        <f t="shared" si="21"/>
        <v>6.1877039193424813E-2</v>
      </c>
      <c r="S31" s="56">
        <f t="shared" si="22"/>
        <v>0</v>
      </c>
      <c r="T31" s="56">
        <f t="shared" si="23"/>
        <v>3.9286347255863413E-3</v>
      </c>
      <c r="U31" s="57">
        <f t="shared" si="24"/>
        <v>-4.3999999999999873E-3</v>
      </c>
      <c r="V31" s="58">
        <f t="shared" si="25"/>
        <v>-4.3999999999999873E-3</v>
      </c>
    </row>
    <row r="32" spans="1:22">
      <c r="A32" s="135">
        <v>24</v>
      </c>
      <c r="B32" s="133" t="s">
        <v>306</v>
      </c>
      <c r="C32" s="134" t="s">
        <v>118</v>
      </c>
      <c r="D32" s="44">
        <v>356883105.01999998</v>
      </c>
      <c r="E32" s="30">
        <f t="shared" si="20"/>
        <v>1.3961849250497963E-4</v>
      </c>
      <c r="F32" s="31">
        <v>1</v>
      </c>
      <c r="G32" s="31">
        <v>1</v>
      </c>
      <c r="H32" s="32">
        <v>208</v>
      </c>
      <c r="I32" s="50">
        <v>0.215</v>
      </c>
      <c r="J32" s="50">
        <v>0.215</v>
      </c>
      <c r="K32" s="44">
        <v>476021398.60000002</v>
      </c>
      <c r="L32" s="30">
        <f t="shared" si="19"/>
        <v>1.8622733645214023E-4</v>
      </c>
      <c r="M32" s="31">
        <v>1</v>
      </c>
      <c r="N32" s="31">
        <v>1</v>
      </c>
      <c r="O32" s="32">
        <v>208</v>
      </c>
      <c r="P32" s="50">
        <v>0.20269999999999999</v>
      </c>
      <c r="Q32" s="50">
        <v>0.20269999999999999</v>
      </c>
      <c r="R32" s="56">
        <f t="shared" si="21"/>
        <v>0.33383001858079958</v>
      </c>
      <c r="S32" s="56">
        <f t="shared" si="22"/>
        <v>0</v>
      </c>
      <c r="T32" s="56">
        <f t="shared" si="23"/>
        <v>0</v>
      </c>
      <c r="U32" s="57">
        <f t="shared" si="24"/>
        <v>-1.2300000000000005E-2</v>
      </c>
      <c r="V32" s="58">
        <f t="shared" si="25"/>
        <v>-1.2300000000000005E-2</v>
      </c>
    </row>
    <row r="33" spans="1:22">
      <c r="A33" s="135">
        <v>25</v>
      </c>
      <c r="B33" s="133" t="s">
        <v>60</v>
      </c>
      <c r="C33" s="134" t="s">
        <v>25</v>
      </c>
      <c r="D33" s="44">
        <v>106322720678.52</v>
      </c>
      <c r="E33" s="30">
        <f t="shared" si="20"/>
        <v>4.1595182768125398E-2</v>
      </c>
      <c r="F33" s="31">
        <v>1</v>
      </c>
      <c r="G33" s="31">
        <v>1</v>
      </c>
      <c r="H33" s="32">
        <v>32366</v>
      </c>
      <c r="I33" s="50">
        <v>0.2114</v>
      </c>
      <c r="J33" s="50">
        <v>0.2114</v>
      </c>
      <c r="K33" s="44">
        <v>107281211194.46001</v>
      </c>
      <c r="L33" s="30">
        <f t="shared" si="19"/>
        <v>4.1970159893782166E-2</v>
      </c>
      <c r="M33" s="31">
        <v>1</v>
      </c>
      <c r="N33" s="31">
        <v>1</v>
      </c>
      <c r="O33" s="32">
        <v>32667</v>
      </c>
      <c r="P33" s="50">
        <v>0.2039</v>
      </c>
      <c r="Q33" s="50">
        <v>0.2039</v>
      </c>
      <c r="R33" s="56">
        <f t="shared" si="21"/>
        <v>9.0149171298777985E-3</v>
      </c>
      <c r="S33" s="56">
        <f t="shared" si="22"/>
        <v>0</v>
      </c>
      <c r="T33" s="56">
        <f t="shared" si="23"/>
        <v>9.2998825928443437E-3</v>
      </c>
      <c r="U33" s="57">
        <f t="shared" si="24"/>
        <v>-7.5000000000000067E-3</v>
      </c>
      <c r="V33" s="58">
        <f t="shared" si="25"/>
        <v>-7.5000000000000067E-3</v>
      </c>
    </row>
    <row r="34" spans="1:22">
      <c r="A34" s="135">
        <v>26</v>
      </c>
      <c r="B34" s="133" t="s">
        <v>291</v>
      </c>
      <c r="C34" s="134" t="s">
        <v>27</v>
      </c>
      <c r="D34" s="33">
        <v>4396493167.3599997</v>
      </c>
      <c r="E34" s="30">
        <f t="shared" ref="E34" si="26">(D34/$D$25)</f>
        <v>0.11675349690873198</v>
      </c>
      <c r="F34" s="33">
        <v>1</v>
      </c>
      <c r="G34" s="33">
        <v>1</v>
      </c>
      <c r="H34" s="32">
        <v>629</v>
      </c>
      <c r="I34" s="50">
        <v>0.20760000000000001</v>
      </c>
      <c r="J34" s="50">
        <v>0.20760000000000001</v>
      </c>
      <c r="K34" s="33">
        <v>4699754151.4799995</v>
      </c>
      <c r="L34" s="30">
        <f t="shared" ref="L34" si="27">(K34/$K$25)</f>
        <v>0.12668550290470901</v>
      </c>
      <c r="M34" s="33">
        <v>1</v>
      </c>
      <c r="N34" s="33">
        <v>1</v>
      </c>
      <c r="O34" s="32">
        <v>629</v>
      </c>
      <c r="P34" s="50">
        <v>0.2084</v>
      </c>
      <c r="Q34" s="50">
        <v>0.2084</v>
      </c>
      <c r="R34" s="56">
        <f t="shared" si="21"/>
        <v>6.8977926855758459E-2</v>
      </c>
      <c r="S34" s="56">
        <f t="shared" si="22"/>
        <v>0</v>
      </c>
      <c r="T34" s="56">
        <f t="shared" si="23"/>
        <v>0</v>
      </c>
      <c r="U34" s="57">
        <f t="shared" si="24"/>
        <v>7.9999999999999516E-4</v>
      </c>
      <c r="V34" s="58">
        <f t="shared" si="25"/>
        <v>7.9999999999999516E-4</v>
      </c>
    </row>
    <row r="35" spans="1:22" ht="15" customHeight="1">
      <c r="A35" s="135">
        <v>27</v>
      </c>
      <c r="B35" s="133" t="s">
        <v>61</v>
      </c>
      <c r="C35" s="134" t="s">
        <v>47</v>
      </c>
      <c r="D35" s="44">
        <v>20190577211.09</v>
      </c>
      <c r="E35" s="30">
        <f t="shared" si="20"/>
        <v>7.8988831731325714E-3</v>
      </c>
      <c r="F35" s="31">
        <v>100</v>
      </c>
      <c r="G35" s="31">
        <v>100</v>
      </c>
      <c r="H35" s="32">
        <v>2083</v>
      </c>
      <c r="I35" s="50">
        <v>0.21879999999999999</v>
      </c>
      <c r="J35" s="50">
        <v>0.21879999999999999</v>
      </c>
      <c r="K35" s="44">
        <v>20416071054</v>
      </c>
      <c r="L35" s="30">
        <f t="shared" si="19"/>
        <v>7.9871000429518491E-3</v>
      </c>
      <c r="M35" s="31">
        <v>100</v>
      </c>
      <c r="N35" s="31">
        <v>100</v>
      </c>
      <c r="O35" s="32">
        <v>2083</v>
      </c>
      <c r="P35" s="50">
        <v>0.21590000000000001</v>
      </c>
      <c r="Q35" s="50">
        <v>0.21590000000000001</v>
      </c>
      <c r="R35" s="56">
        <f t="shared" si="21"/>
        <v>1.1168271246160497E-2</v>
      </c>
      <c r="S35" s="56">
        <f t="shared" si="22"/>
        <v>0</v>
      </c>
      <c r="T35" s="56">
        <f t="shared" si="23"/>
        <v>0</v>
      </c>
      <c r="U35" s="57">
        <f t="shared" si="24"/>
        <v>-2.8999999999999859E-3</v>
      </c>
      <c r="V35" s="58">
        <f t="shared" si="25"/>
        <v>-2.8999999999999859E-3</v>
      </c>
    </row>
    <row r="36" spans="1:22" ht="15" customHeight="1">
      <c r="A36" s="135">
        <v>28</v>
      </c>
      <c r="B36" s="133" t="s">
        <v>62</v>
      </c>
      <c r="C36" s="134" t="s">
        <v>63</v>
      </c>
      <c r="D36" s="44">
        <v>761263826.97000003</v>
      </c>
      <c r="E36" s="30">
        <f t="shared" si="20"/>
        <v>2.9781882757987858E-4</v>
      </c>
      <c r="F36" s="31">
        <v>1</v>
      </c>
      <c r="G36" s="31">
        <v>1</v>
      </c>
      <c r="H36" s="32">
        <v>381</v>
      </c>
      <c r="I36" s="50">
        <v>0.20899999999999999</v>
      </c>
      <c r="J36" s="50">
        <v>0.20899999999999999</v>
      </c>
      <c r="K36" s="44">
        <v>760520390.21000004</v>
      </c>
      <c r="L36" s="30">
        <f t="shared" si="19"/>
        <v>2.9752798299170964E-4</v>
      </c>
      <c r="M36" s="31">
        <v>1</v>
      </c>
      <c r="N36" s="31">
        <v>1</v>
      </c>
      <c r="O36" s="32">
        <v>391</v>
      </c>
      <c r="P36" s="50">
        <v>0.20799999999999999</v>
      </c>
      <c r="Q36" s="50">
        <v>0.20799999999999999</v>
      </c>
      <c r="R36" s="56">
        <f t="shared" si="21"/>
        <v>-9.7658227497690879E-4</v>
      </c>
      <c r="S36" s="56">
        <f t="shared" si="22"/>
        <v>0</v>
      </c>
      <c r="T36" s="56">
        <f t="shared" si="23"/>
        <v>2.6246719160104987E-2</v>
      </c>
      <c r="U36" s="57">
        <f t="shared" si="24"/>
        <v>-1.0000000000000009E-3</v>
      </c>
      <c r="V36" s="58">
        <f t="shared" si="25"/>
        <v>-1.0000000000000009E-3</v>
      </c>
    </row>
    <row r="37" spans="1:22">
      <c r="A37" s="135">
        <v>29</v>
      </c>
      <c r="B37" s="133" t="s">
        <v>64</v>
      </c>
      <c r="C37" s="134" t="s">
        <v>65</v>
      </c>
      <c r="D37" s="44">
        <v>48299992348.199997</v>
      </c>
      <c r="E37" s="30">
        <f t="shared" si="20"/>
        <v>1.8895744922640203E-2</v>
      </c>
      <c r="F37" s="31">
        <v>100</v>
      </c>
      <c r="G37" s="31">
        <v>100</v>
      </c>
      <c r="H37" s="32">
        <v>3969</v>
      </c>
      <c r="I37" s="50">
        <v>0.220843132290647</v>
      </c>
      <c r="J37" s="50">
        <v>0.220843132290647</v>
      </c>
      <c r="K37" s="44">
        <v>50089857914.160004</v>
      </c>
      <c r="L37" s="30">
        <f t="shared" si="19"/>
        <v>1.9595969530055855E-2</v>
      </c>
      <c r="M37" s="31">
        <v>100</v>
      </c>
      <c r="N37" s="31">
        <v>100</v>
      </c>
      <c r="O37" s="32">
        <v>3963</v>
      </c>
      <c r="P37" s="50">
        <v>0.21198092887987699</v>
      </c>
      <c r="Q37" s="50">
        <v>0.21198092887987699</v>
      </c>
      <c r="R37" s="56">
        <f t="shared" si="21"/>
        <v>3.7057263965109298E-2</v>
      </c>
      <c r="S37" s="56">
        <f t="shared" si="22"/>
        <v>0</v>
      </c>
      <c r="T37" s="56">
        <f t="shared" si="23"/>
        <v>-1.5117157974300832E-3</v>
      </c>
      <c r="U37" s="57">
        <f t="shared" si="24"/>
        <v>-8.8622034107700143E-3</v>
      </c>
      <c r="V37" s="58">
        <f t="shared" si="25"/>
        <v>-8.8622034107700143E-3</v>
      </c>
    </row>
    <row r="38" spans="1:22">
      <c r="A38" s="135">
        <v>30</v>
      </c>
      <c r="B38" s="133" t="s">
        <v>66</v>
      </c>
      <c r="C38" s="134" t="s">
        <v>67</v>
      </c>
      <c r="D38" s="44">
        <v>20644910464.099998</v>
      </c>
      <c r="E38" s="30">
        <f t="shared" si="20"/>
        <v>8.0766257532319703E-3</v>
      </c>
      <c r="F38" s="31">
        <v>100</v>
      </c>
      <c r="G38" s="31">
        <v>100</v>
      </c>
      <c r="H38" s="32">
        <v>6795</v>
      </c>
      <c r="I38" s="50">
        <v>0.21940000000000001</v>
      </c>
      <c r="J38" s="50">
        <v>0.21940000000000001</v>
      </c>
      <c r="K38" s="44">
        <v>21176534904.150002</v>
      </c>
      <c r="L38" s="30">
        <f t="shared" si="19"/>
        <v>8.2846059065497506E-3</v>
      </c>
      <c r="M38" s="31">
        <v>100</v>
      </c>
      <c r="N38" s="31">
        <v>100</v>
      </c>
      <c r="O38" s="32">
        <v>6807</v>
      </c>
      <c r="P38" s="50">
        <v>0.20799999999999999</v>
      </c>
      <c r="Q38" s="50">
        <v>0.20799999999999999</v>
      </c>
      <c r="R38" s="56">
        <f t="shared" si="21"/>
        <v>2.575087167243759E-2</v>
      </c>
      <c r="S38" s="56">
        <f t="shared" si="22"/>
        <v>0</v>
      </c>
      <c r="T38" s="56">
        <f t="shared" si="23"/>
        <v>1.7660044150110375E-3</v>
      </c>
      <c r="U38" s="57">
        <f t="shared" si="24"/>
        <v>-1.1400000000000021E-2</v>
      </c>
      <c r="V38" s="58">
        <f t="shared" si="25"/>
        <v>-1.1400000000000021E-2</v>
      </c>
    </row>
    <row r="39" spans="1:22">
      <c r="A39" s="135">
        <v>31</v>
      </c>
      <c r="B39" s="133" t="s">
        <v>68</v>
      </c>
      <c r="C39" s="134" t="s">
        <v>69</v>
      </c>
      <c r="D39" s="44">
        <v>44514190.369999997</v>
      </c>
      <c r="E39" s="30">
        <f t="shared" si="20"/>
        <v>1.7414677431117925E-5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1.7414677431117925E-5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5">
        <v>32</v>
      </c>
      <c r="B40" s="133" t="s">
        <v>70</v>
      </c>
      <c r="C40" s="134" t="s">
        <v>301</v>
      </c>
      <c r="D40" s="44">
        <v>19744828036.799999</v>
      </c>
      <c r="E40" s="30">
        <f t="shared" si="20"/>
        <v>7.7244988246602002E-3</v>
      </c>
      <c r="F40" s="31">
        <v>1</v>
      </c>
      <c r="G40" s="31">
        <v>1</v>
      </c>
      <c r="H40" s="32">
        <v>5181</v>
      </c>
      <c r="I40" s="50">
        <v>0.2127</v>
      </c>
      <c r="J40" s="50">
        <v>0.2127</v>
      </c>
      <c r="K40" s="44">
        <v>20366673915.220001</v>
      </c>
      <c r="L40" s="30">
        <f t="shared" si="19"/>
        <v>7.9677750764473778E-3</v>
      </c>
      <c r="M40" s="31">
        <v>1</v>
      </c>
      <c r="N40" s="31">
        <v>1</v>
      </c>
      <c r="O40" s="32">
        <v>5341</v>
      </c>
      <c r="P40" s="50">
        <v>0.1981</v>
      </c>
      <c r="Q40" s="50">
        <v>0.1981</v>
      </c>
      <c r="R40" s="56">
        <f t="shared" si="21"/>
        <v>3.1494114674537485E-2</v>
      </c>
      <c r="S40" s="56">
        <f t="shared" si="22"/>
        <v>0</v>
      </c>
      <c r="T40" s="56">
        <f t="shared" si="23"/>
        <v>3.088206909862961E-2</v>
      </c>
      <c r="U40" s="57">
        <f t="shared" si="24"/>
        <v>-1.4600000000000002E-2</v>
      </c>
      <c r="V40" s="58">
        <f t="shared" si="25"/>
        <v>-1.4600000000000002E-2</v>
      </c>
    </row>
    <row r="41" spans="1:22">
      <c r="A41" s="135">
        <v>33</v>
      </c>
      <c r="B41" s="133" t="s">
        <v>71</v>
      </c>
      <c r="C41" s="134" t="s">
        <v>72</v>
      </c>
      <c r="D41" s="44">
        <v>43217864090.150002</v>
      </c>
      <c r="E41" s="30">
        <f t="shared" si="20"/>
        <v>1.6907533443516993E-2</v>
      </c>
      <c r="F41" s="45">
        <v>100</v>
      </c>
      <c r="G41" s="45">
        <v>100</v>
      </c>
      <c r="H41" s="32">
        <v>3354</v>
      </c>
      <c r="I41" s="50">
        <v>0.21</v>
      </c>
      <c r="J41" s="50">
        <v>0.21</v>
      </c>
      <c r="K41" s="44">
        <v>43655968794.07</v>
      </c>
      <c r="L41" s="30">
        <f t="shared" si="19"/>
        <v>1.7078927150476649E-2</v>
      </c>
      <c r="M41" s="45">
        <v>100</v>
      </c>
      <c r="N41" s="45">
        <v>100</v>
      </c>
      <c r="O41" s="32">
        <v>3385</v>
      </c>
      <c r="P41" s="50">
        <v>0.21</v>
      </c>
      <c r="Q41" s="50">
        <v>0.21</v>
      </c>
      <c r="R41" s="56">
        <f t="shared" si="21"/>
        <v>1.0137120682459843E-2</v>
      </c>
      <c r="S41" s="56">
        <f t="shared" si="22"/>
        <v>0</v>
      </c>
      <c r="T41" s="56">
        <f t="shared" si="23"/>
        <v>9.2426952892069175E-3</v>
      </c>
      <c r="U41" s="57">
        <f t="shared" si="24"/>
        <v>0</v>
      </c>
      <c r="V41" s="58">
        <f t="shared" si="25"/>
        <v>0</v>
      </c>
    </row>
    <row r="42" spans="1:22">
      <c r="A42" s="135">
        <v>34</v>
      </c>
      <c r="B42" s="133" t="s">
        <v>73</v>
      </c>
      <c r="C42" s="134" t="s">
        <v>72</v>
      </c>
      <c r="D42" s="44">
        <v>5615334097.5900002</v>
      </c>
      <c r="E42" s="30">
        <f t="shared" si="20"/>
        <v>2.1968103017187936E-3</v>
      </c>
      <c r="F42" s="45">
        <v>1000000</v>
      </c>
      <c r="G42" s="45">
        <v>1000000</v>
      </c>
      <c r="H42" s="32">
        <v>19</v>
      </c>
      <c r="I42" s="50">
        <v>0.22</v>
      </c>
      <c r="J42" s="50">
        <v>0.22</v>
      </c>
      <c r="K42" s="44">
        <v>5628612875.0100002</v>
      </c>
      <c r="L42" s="30">
        <f t="shared" si="19"/>
        <v>2.2020051760617125E-3</v>
      </c>
      <c r="M42" s="45">
        <v>1000000</v>
      </c>
      <c r="N42" s="45">
        <v>1000000</v>
      </c>
      <c r="O42" s="32">
        <v>19</v>
      </c>
      <c r="P42" s="50">
        <v>0.22109999999999999</v>
      </c>
      <c r="Q42" s="50">
        <v>0.22109999999999999</v>
      </c>
      <c r="R42" s="56">
        <f t="shared" si="21"/>
        <v>2.3647350610356537E-3</v>
      </c>
      <c r="S42" s="56">
        <f t="shared" si="22"/>
        <v>0</v>
      </c>
      <c r="T42" s="56">
        <f t="shared" si="23"/>
        <v>0</v>
      </c>
      <c r="U42" s="57">
        <f t="shared" si="24"/>
        <v>1.0999999999999899E-3</v>
      </c>
      <c r="V42" s="58">
        <f t="shared" si="25"/>
        <v>1.0999999999999899E-3</v>
      </c>
    </row>
    <row r="43" spans="1:22">
      <c r="A43" s="135">
        <v>35</v>
      </c>
      <c r="B43" s="133" t="s">
        <v>74</v>
      </c>
      <c r="C43" s="134" t="s">
        <v>75</v>
      </c>
      <c r="D43" s="44">
        <v>3984126775.21</v>
      </c>
      <c r="E43" s="30">
        <f t="shared" si="20"/>
        <v>1.5586553873778166E-3</v>
      </c>
      <c r="F43" s="31">
        <v>1</v>
      </c>
      <c r="G43" s="31">
        <v>1</v>
      </c>
      <c r="H43" s="32">
        <v>875</v>
      </c>
      <c r="I43" s="50">
        <v>0.21690000000000001</v>
      </c>
      <c r="J43" s="50">
        <v>0.21690000000000001</v>
      </c>
      <c r="K43" s="44">
        <v>3994108801.23</v>
      </c>
      <c r="L43" s="30">
        <f t="shared" si="19"/>
        <v>1.5625605187932694E-3</v>
      </c>
      <c r="M43" s="31">
        <v>1</v>
      </c>
      <c r="N43" s="31">
        <v>1</v>
      </c>
      <c r="O43" s="32">
        <v>874</v>
      </c>
      <c r="P43" s="50">
        <v>0.224</v>
      </c>
      <c r="Q43" s="50">
        <v>0.224</v>
      </c>
      <c r="R43" s="56">
        <f t="shared" si="21"/>
        <v>2.5054488933710793E-3</v>
      </c>
      <c r="S43" s="56">
        <f t="shared" si="22"/>
        <v>0</v>
      </c>
      <c r="T43" s="56">
        <f t="shared" si="23"/>
        <v>-1.1428571428571429E-3</v>
      </c>
      <c r="U43" s="57">
        <f t="shared" si="24"/>
        <v>7.0999999999999952E-3</v>
      </c>
      <c r="V43" s="58">
        <f t="shared" si="25"/>
        <v>7.0999999999999952E-3</v>
      </c>
    </row>
    <row r="44" spans="1:22">
      <c r="A44" s="135">
        <v>36</v>
      </c>
      <c r="B44" s="133" t="s">
        <v>76</v>
      </c>
      <c r="C44" s="134" t="s">
        <v>31</v>
      </c>
      <c r="D44" s="44">
        <v>452117748149.90002</v>
      </c>
      <c r="E44" s="30">
        <f t="shared" si="20"/>
        <v>0.17687583845667779</v>
      </c>
      <c r="F44" s="31">
        <v>100</v>
      </c>
      <c r="G44" s="31">
        <v>100</v>
      </c>
      <c r="H44" s="32">
        <v>16817</v>
      </c>
      <c r="I44" s="50">
        <v>0.2205</v>
      </c>
      <c r="J44" s="50">
        <v>0.2205</v>
      </c>
      <c r="K44" s="44">
        <v>473376060225.76001</v>
      </c>
      <c r="L44" s="30">
        <f t="shared" si="19"/>
        <v>0.18519243692682852</v>
      </c>
      <c r="M44" s="31">
        <v>100</v>
      </c>
      <c r="N44" s="31">
        <v>100</v>
      </c>
      <c r="O44" s="32">
        <v>15319</v>
      </c>
      <c r="P44" s="50">
        <v>0.2077</v>
      </c>
      <c r="Q44" s="50">
        <v>0.2077</v>
      </c>
      <c r="R44" s="56">
        <f t="shared" si="21"/>
        <v>4.7019415103367664E-2</v>
      </c>
      <c r="S44" s="56">
        <f t="shared" si="22"/>
        <v>0</v>
      </c>
      <c r="T44" s="56">
        <f t="shared" si="23"/>
        <v>-8.9076529702087168E-2</v>
      </c>
      <c r="U44" s="57">
        <f t="shared" si="24"/>
        <v>-1.2800000000000006E-2</v>
      </c>
      <c r="V44" s="58">
        <f t="shared" si="25"/>
        <v>-1.2800000000000006E-2</v>
      </c>
    </row>
    <row r="45" spans="1:22">
      <c r="A45" s="135">
        <v>37</v>
      </c>
      <c r="B45" s="133" t="s">
        <v>77</v>
      </c>
      <c r="C45" s="134" t="s">
        <v>78</v>
      </c>
      <c r="D45" s="44">
        <v>1664102372.98</v>
      </c>
      <c r="E45" s="30">
        <f t="shared" si="20"/>
        <v>6.5102399475146493E-4</v>
      </c>
      <c r="F45" s="31">
        <v>1</v>
      </c>
      <c r="G45" s="31">
        <v>1</v>
      </c>
      <c r="H45" s="46">
        <v>1121</v>
      </c>
      <c r="I45" s="53">
        <v>0.21049999999999999</v>
      </c>
      <c r="J45" s="53">
        <v>0.21049999999999999</v>
      </c>
      <c r="K45" s="44">
        <v>1700804375.48</v>
      </c>
      <c r="L45" s="30">
        <f t="shared" si="19"/>
        <v>6.6538241684790131E-4</v>
      </c>
      <c r="M45" s="31">
        <v>1</v>
      </c>
      <c r="N45" s="31">
        <v>1</v>
      </c>
      <c r="O45" s="46">
        <v>1132</v>
      </c>
      <c r="P45" s="53">
        <v>0.20399999999999999</v>
      </c>
      <c r="Q45" s="53">
        <v>0.20399999999999999</v>
      </c>
      <c r="R45" s="56">
        <f t="shared" si="21"/>
        <v>2.2055135006072792E-2</v>
      </c>
      <c r="S45" s="56">
        <f t="shared" si="22"/>
        <v>0</v>
      </c>
      <c r="T45" s="56">
        <f t="shared" si="23"/>
        <v>9.8126672613737739E-3</v>
      </c>
      <c r="U45" s="57">
        <f t="shared" si="24"/>
        <v>-6.5000000000000058E-3</v>
      </c>
      <c r="V45" s="58">
        <f t="shared" si="25"/>
        <v>-6.5000000000000058E-3</v>
      </c>
    </row>
    <row r="46" spans="1:22">
      <c r="A46" s="135">
        <v>38</v>
      </c>
      <c r="B46" s="133" t="s">
        <v>303</v>
      </c>
      <c r="C46" s="134" t="s">
        <v>304</v>
      </c>
      <c r="D46" s="44">
        <v>885752869</v>
      </c>
      <c r="E46" s="30">
        <f t="shared" si="20"/>
        <v>3.4652097160724465E-4</v>
      </c>
      <c r="F46" s="31">
        <v>1</v>
      </c>
      <c r="G46" s="31">
        <v>1</v>
      </c>
      <c r="H46" s="46">
        <v>140</v>
      </c>
      <c r="I46" s="53">
        <v>0.21779999999999999</v>
      </c>
      <c r="J46" s="53">
        <v>0.21779999999999999</v>
      </c>
      <c r="K46" s="44">
        <v>935061488.21000004</v>
      </c>
      <c r="L46" s="30">
        <f t="shared" si="19"/>
        <v>3.6581130781191442E-4</v>
      </c>
      <c r="M46" s="31">
        <v>1</v>
      </c>
      <c r="N46" s="31">
        <v>1</v>
      </c>
      <c r="O46" s="46">
        <v>153</v>
      </c>
      <c r="P46" s="53">
        <v>0.2112</v>
      </c>
      <c r="Q46" s="53">
        <v>0.2112</v>
      </c>
      <c r="R46" s="56">
        <f t="shared" si="21"/>
        <v>5.5668596665872087E-2</v>
      </c>
      <c r="S46" s="56">
        <f t="shared" si="22"/>
        <v>0</v>
      </c>
      <c r="T46" s="56">
        <f t="shared" si="23"/>
        <v>9.285714285714286E-2</v>
      </c>
      <c r="U46" s="57">
        <f t="shared" si="24"/>
        <v>-6.5999999999999948E-3</v>
      </c>
      <c r="V46" s="58">
        <f t="shared" si="25"/>
        <v>-6.5999999999999948E-3</v>
      </c>
    </row>
    <row r="47" spans="1:22">
      <c r="A47" s="135">
        <v>39</v>
      </c>
      <c r="B47" s="133" t="s">
        <v>79</v>
      </c>
      <c r="C47" s="134" t="s">
        <v>80</v>
      </c>
      <c r="D47" s="44">
        <v>918835003.64999998</v>
      </c>
      <c r="E47" s="30">
        <f t="shared" si="20"/>
        <v>3.5946324234998798E-4</v>
      </c>
      <c r="F47" s="31">
        <v>10</v>
      </c>
      <c r="G47" s="31">
        <v>10</v>
      </c>
      <c r="H47" s="32">
        <v>439</v>
      </c>
      <c r="I47" s="50">
        <v>0.17050000000000001</v>
      </c>
      <c r="J47" s="50">
        <v>0.17050000000000001</v>
      </c>
      <c r="K47" s="44">
        <v>946388562.69000006</v>
      </c>
      <c r="L47" s="30">
        <f t="shared" si="19"/>
        <v>3.7024264412664586E-4</v>
      </c>
      <c r="M47" s="31">
        <v>10</v>
      </c>
      <c r="N47" s="31">
        <v>10</v>
      </c>
      <c r="O47" s="32">
        <v>442</v>
      </c>
      <c r="P47" s="50">
        <v>0.17499999999999999</v>
      </c>
      <c r="Q47" s="50">
        <v>0.17499999999999999</v>
      </c>
      <c r="R47" s="56">
        <f t="shared" si="21"/>
        <v>2.9987493870548824E-2</v>
      </c>
      <c r="S47" s="56">
        <f t="shared" si="22"/>
        <v>0</v>
      </c>
      <c r="T47" s="56">
        <f t="shared" si="23"/>
        <v>6.8337129840546698E-3</v>
      </c>
      <c r="U47" s="57">
        <f t="shared" si="24"/>
        <v>4.4999999999999762E-3</v>
      </c>
      <c r="V47" s="58">
        <f t="shared" si="25"/>
        <v>4.4999999999999762E-3</v>
      </c>
    </row>
    <row r="48" spans="1:22">
      <c r="A48" s="135">
        <v>40</v>
      </c>
      <c r="B48" s="133" t="s">
        <v>81</v>
      </c>
      <c r="C48" s="134" t="s">
        <v>82</v>
      </c>
      <c r="D48" s="44">
        <v>6662874723.6899996</v>
      </c>
      <c r="E48" s="30">
        <f t="shared" si="20"/>
        <v>2.6066252831413749E-3</v>
      </c>
      <c r="F48" s="31">
        <v>100</v>
      </c>
      <c r="G48" s="31">
        <v>100</v>
      </c>
      <c r="H48" s="32">
        <v>849</v>
      </c>
      <c r="I48" s="50">
        <v>0.19159999999999999</v>
      </c>
      <c r="J48" s="50">
        <v>0.19159999999999999</v>
      </c>
      <c r="K48" s="44">
        <v>6803463779.1400003</v>
      </c>
      <c r="L48" s="30">
        <f t="shared" si="19"/>
        <v>2.6616260150575809E-3</v>
      </c>
      <c r="M48" s="31">
        <v>100</v>
      </c>
      <c r="N48" s="31">
        <v>100</v>
      </c>
      <c r="O48" s="32">
        <v>879</v>
      </c>
      <c r="P48" s="50">
        <v>0.18709999999999999</v>
      </c>
      <c r="Q48" s="50">
        <v>0.18709999999999999</v>
      </c>
      <c r="R48" s="56">
        <f t="shared" si="21"/>
        <v>2.1100360021798586E-2</v>
      </c>
      <c r="S48" s="56">
        <f t="shared" si="22"/>
        <v>0</v>
      </c>
      <c r="T48" s="56">
        <f t="shared" si="23"/>
        <v>3.5335689045936397E-2</v>
      </c>
      <c r="U48" s="57">
        <f t="shared" si="24"/>
        <v>-4.500000000000004E-3</v>
      </c>
      <c r="V48" s="58">
        <f t="shared" si="25"/>
        <v>-4.500000000000004E-3</v>
      </c>
    </row>
    <row r="49" spans="1:22">
      <c r="A49" s="135">
        <v>41</v>
      </c>
      <c r="B49" s="133" t="s">
        <v>83</v>
      </c>
      <c r="C49" s="133" t="s">
        <v>84</v>
      </c>
      <c r="D49" s="136">
        <v>95181888.507918894</v>
      </c>
      <c r="E49" s="30">
        <f>(D49/$D$185)</f>
        <v>1.6680211569652947E-3</v>
      </c>
      <c r="F49" s="33">
        <v>1</v>
      </c>
      <c r="G49" s="33">
        <v>1</v>
      </c>
      <c r="H49" s="32">
        <v>68</v>
      </c>
      <c r="I49" s="50">
        <v>0.17680000000000001</v>
      </c>
      <c r="J49" s="50">
        <v>0.17680000000000001</v>
      </c>
      <c r="K49" s="136">
        <v>95749921.310503632</v>
      </c>
      <c r="L49" s="54">
        <f>(K49/$K$185)</f>
        <v>1.6749023124308033E-3</v>
      </c>
      <c r="M49" s="33">
        <v>1</v>
      </c>
      <c r="N49" s="33">
        <v>1</v>
      </c>
      <c r="O49" s="32">
        <v>71</v>
      </c>
      <c r="P49" s="50">
        <v>0.16450000000000001</v>
      </c>
      <c r="Q49" s="50">
        <v>0.16450000000000001</v>
      </c>
      <c r="R49" s="57">
        <f t="shared" si="21"/>
        <v>5.9678664868839902E-3</v>
      </c>
      <c r="S49" s="57">
        <f t="shared" si="22"/>
        <v>0</v>
      </c>
      <c r="T49" s="57">
        <f t="shared" si="23"/>
        <v>4.4117647058823532E-2</v>
      </c>
      <c r="U49" s="57">
        <f t="shared" si="24"/>
        <v>-1.2300000000000005E-2</v>
      </c>
      <c r="V49" s="58">
        <f t="shared" si="25"/>
        <v>-1.2300000000000005E-2</v>
      </c>
    </row>
    <row r="50" spans="1:22">
      <c r="A50" s="135">
        <v>42</v>
      </c>
      <c r="B50" s="133" t="s">
        <v>290</v>
      </c>
      <c r="C50" s="134" t="s">
        <v>37</v>
      </c>
      <c r="D50" s="44">
        <v>349563500.19999999</v>
      </c>
      <c r="E50" s="30">
        <f t="shared" ref="E50" si="28">(D50/$K$68)</f>
        <v>1.3675494369494754E-4</v>
      </c>
      <c r="F50" s="31">
        <v>100</v>
      </c>
      <c r="G50" s="31">
        <v>100</v>
      </c>
      <c r="H50" s="32">
        <v>1659</v>
      </c>
      <c r="I50" s="50">
        <v>0.19458068000000001</v>
      </c>
      <c r="J50" s="50">
        <v>0.19458068000000001</v>
      </c>
      <c r="K50" s="44">
        <v>356419569.95999998</v>
      </c>
      <c r="L50" s="30">
        <f t="shared" ref="L50" si="29">(K50/$K$68)</f>
        <v>1.3943715002787702E-4</v>
      </c>
      <c r="M50" s="31">
        <v>100</v>
      </c>
      <c r="N50" s="31">
        <v>100</v>
      </c>
      <c r="O50" s="32">
        <v>1756</v>
      </c>
      <c r="P50" s="50">
        <v>0.12939999999999999</v>
      </c>
      <c r="Q50" s="50">
        <v>0.12939999999999999</v>
      </c>
      <c r="R50" s="56">
        <f t="shared" ref="R50" si="30">((K50-D50)/D50)</f>
        <v>1.9613231232887142E-2</v>
      </c>
      <c r="S50" s="56">
        <f t="shared" ref="S50" si="31">((N50-G50)/G50)</f>
        <v>0</v>
      </c>
      <c r="T50" s="56">
        <f t="shared" ref="T50" si="32">((O50-H50)/H50)</f>
        <v>5.8468957203134421E-2</v>
      </c>
      <c r="U50" s="57">
        <f t="shared" ref="U50" si="33">P50-I50</f>
        <v>-6.5180680000000019E-2</v>
      </c>
      <c r="V50" s="58">
        <f t="shared" ref="V50" si="34">Q50-J50</f>
        <v>-6.5180680000000019E-2</v>
      </c>
    </row>
    <row r="51" spans="1:22">
      <c r="A51" s="135">
        <v>43</v>
      </c>
      <c r="B51" s="133" t="s">
        <v>85</v>
      </c>
      <c r="C51" s="134" t="s">
        <v>37</v>
      </c>
      <c r="D51" s="44">
        <v>68833720685.970001</v>
      </c>
      <c r="E51" s="30">
        <f t="shared" si="20"/>
        <v>2.6928874414341882E-2</v>
      </c>
      <c r="F51" s="31">
        <v>100</v>
      </c>
      <c r="G51" s="31">
        <v>100</v>
      </c>
      <c r="H51" s="32">
        <v>11104</v>
      </c>
      <c r="I51" s="50">
        <v>0.19626316999999999</v>
      </c>
      <c r="J51" s="50">
        <v>0.19626316999999999</v>
      </c>
      <c r="K51" s="44">
        <v>72605135325.080002</v>
      </c>
      <c r="L51" s="30">
        <f t="shared" si="19"/>
        <v>2.8404313344112014E-2</v>
      </c>
      <c r="M51" s="31">
        <v>100</v>
      </c>
      <c r="N51" s="31">
        <v>100</v>
      </c>
      <c r="O51" s="32">
        <v>11227</v>
      </c>
      <c r="P51" s="50">
        <v>0.18140000000000001</v>
      </c>
      <c r="Q51" s="50">
        <v>0.18140000000000001</v>
      </c>
      <c r="R51" s="56">
        <f t="shared" si="21"/>
        <v>5.4790219118268688E-2</v>
      </c>
      <c r="S51" s="56">
        <f t="shared" si="22"/>
        <v>0</v>
      </c>
      <c r="T51" s="56">
        <f t="shared" si="23"/>
        <v>1.1077089337175793E-2</v>
      </c>
      <c r="U51" s="57">
        <f t="shared" si="24"/>
        <v>-1.4863169999999981E-2</v>
      </c>
      <c r="V51" s="58">
        <f t="shared" si="25"/>
        <v>-1.4863169999999981E-2</v>
      </c>
    </row>
    <row r="52" spans="1:22">
      <c r="A52" s="135">
        <v>44</v>
      </c>
      <c r="B52" s="133" t="s">
        <v>86</v>
      </c>
      <c r="C52" s="134" t="s">
        <v>41</v>
      </c>
      <c r="D52" s="44">
        <v>14918570120.959999</v>
      </c>
      <c r="E52" s="30">
        <f t="shared" si="20"/>
        <v>5.8363879974131566E-3</v>
      </c>
      <c r="F52" s="31">
        <v>1</v>
      </c>
      <c r="G52" s="31">
        <v>1</v>
      </c>
      <c r="H52" s="32">
        <v>1550</v>
      </c>
      <c r="I52" s="50">
        <v>0.20380000000000001</v>
      </c>
      <c r="J52" s="50">
        <v>0.20380000000000001</v>
      </c>
      <c r="K52" s="44">
        <v>15336217439.290001</v>
      </c>
      <c r="L52" s="30">
        <f t="shared" si="19"/>
        <v>5.9997784414094176E-3</v>
      </c>
      <c r="M52" s="31">
        <v>1</v>
      </c>
      <c r="N52" s="31">
        <v>1</v>
      </c>
      <c r="O52" s="32">
        <v>1521</v>
      </c>
      <c r="P52" s="50">
        <v>0.19850000000000001</v>
      </c>
      <c r="Q52" s="50">
        <v>0.19850000000000001</v>
      </c>
      <c r="R52" s="56">
        <f t="shared" si="21"/>
        <v>2.7995130561689952E-2</v>
      </c>
      <c r="S52" s="56">
        <f t="shared" si="22"/>
        <v>0</v>
      </c>
      <c r="T52" s="56">
        <f t="shared" si="23"/>
        <v>-1.870967741935484E-2</v>
      </c>
      <c r="U52" s="57">
        <f t="shared" si="24"/>
        <v>-5.2999999999999992E-3</v>
      </c>
      <c r="V52" s="58">
        <f t="shared" si="25"/>
        <v>-5.2999999999999992E-3</v>
      </c>
    </row>
    <row r="53" spans="1:22">
      <c r="A53" s="135">
        <v>45</v>
      </c>
      <c r="B53" s="133" t="s">
        <v>87</v>
      </c>
      <c r="C53" s="134" t="s">
        <v>43</v>
      </c>
      <c r="D53" s="47">
        <v>34330326699.140003</v>
      </c>
      <c r="E53" s="30">
        <f t="shared" si="20"/>
        <v>1.3430583834078583E-2</v>
      </c>
      <c r="F53" s="31">
        <v>10</v>
      </c>
      <c r="G53" s="31">
        <v>10</v>
      </c>
      <c r="H53" s="32">
        <v>4181</v>
      </c>
      <c r="I53" s="50">
        <v>0.21970000000000001</v>
      </c>
      <c r="J53" s="50">
        <v>0.21970000000000001</v>
      </c>
      <c r="K53" s="47">
        <v>34527080987.040001</v>
      </c>
      <c r="L53" s="30">
        <f t="shared" si="19"/>
        <v>1.3507557321150629E-2</v>
      </c>
      <c r="M53" s="31">
        <v>10</v>
      </c>
      <c r="N53" s="31">
        <v>10</v>
      </c>
      <c r="O53" s="32">
        <v>4314</v>
      </c>
      <c r="P53" s="50">
        <v>0.2172</v>
      </c>
      <c r="Q53" s="50">
        <v>0.2172</v>
      </c>
      <c r="R53" s="56">
        <f t="shared" si="21"/>
        <v>5.7312093072777702E-3</v>
      </c>
      <c r="S53" s="56">
        <f t="shared" si="22"/>
        <v>0</v>
      </c>
      <c r="T53" s="56">
        <f t="shared" si="23"/>
        <v>3.1810571633580483E-2</v>
      </c>
      <c r="U53" s="57">
        <f t="shared" si="24"/>
        <v>-2.5000000000000022E-3</v>
      </c>
      <c r="V53" s="58">
        <f t="shared" si="25"/>
        <v>-2.5000000000000022E-3</v>
      </c>
    </row>
    <row r="54" spans="1:22">
      <c r="A54" s="135">
        <v>46</v>
      </c>
      <c r="B54" s="133" t="s">
        <v>88</v>
      </c>
      <c r="C54" s="134" t="s">
        <v>89</v>
      </c>
      <c r="D54" s="44">
        <v>16819663003</v>
      </c>
      <c r="E54" s="30">
        <f t="shared" si="20"/>
        <v>6.5801265453264771E-3</v>
      </c>
      <c r="F54" s="31">
        <v>100</v>
      </c>
      <c r="G54" s="31">
        <v>100</v>
      </c>
      <c r="H54" s="32">
        <v>3796</v>
      </c>
      <c r="I54" s="50">
        <v>0.22639999999999999</v>
      </c>
      <c r="J54" s="50">
        <v>0.22639999999999999</v>
      </c>
      <c r="K54" s="44">
        <v>17667795653</v>
      </c>
      <c r="L54" s="30">
        <f t="shared" si="19"/>
        <v>6.9119298735636535E-3</v>
      </c>
      <c r="M54" s="31">
        <v>100</v>
      </c>
      <c r="N54" s="31">
        <v>100</v>
      </c>
      <c r="O54" s="32">
        <v>3824</v>
      </c>
      <c r="P54" s="50">
        <v>0.21379999999999999</v>
      </c>
      <c r="Q54" s="50">
        <v>0.21379999999999999</v>
      </c>
      <c r="R54" s="56">
        <f t="shared" si="21"/>
        <v>5.0425067960560496E-2</v>
      </c>
      <c r="S54" s="56">
        <f t="shared" si="22"/>
        <v>0</v>
      </c>
      <c r="T54" s="56">
        <f t="shared" si="23"/>
        <v>7.3761854583772393E-3</v>
      </c>
      <c r="U54" s="57">
        <f t="shared" si="24"/>
        <v>-1.26E-2</v>
      </c>
      <c r="V54" s="58">
        <f t="shared" si="25"/>
        <v>-1.26E-2</v>
      </c>
    </row>
    <row r="55" spans="1:22">
      <c r="A55" s="135">
        <v>47</v>
      </c>
      <c r="B55" s="133" t="s">
        <v>90</v>
      </c>
      <c r="C55" s="134" t="s">
        <v>91</v>
      </c>
      <c r="D55" s="44">
        <v>235089768</v>
      </c>
      <c r="E55" s="30">
        <f t="shared" si="20"/>
        <v>9.1970952252463692E-5</v>
      </c>
      <c r="F55" s="31">
        <v>1</v>
      </c>
      <c r="G55" s="31">
        <v>1</v>
      </c>
      <c r="H55" s="32">
        <v>86</v>
      </c>
      <c r="I55" s="50">
        <v>0.1578</v>
      </c>
      <c r="J55" s="50">
        <v>0.1578</v>
      </c>
      <c r="K55" s="44">
        <v>237543273.34999999</v>
      </c>
      <c r="L55" s="30">
        <f t="shared" si="19"/>
        <v>9.2930803569327527E-5</v>
      </c>
      <c r="M55" s="31">
        <v>1</v>
      </c>
      <c r="N55" s="31">
        <v>1</v>
      </c>
      <c r="O55" s="32">
        <v>88</v>
      </c>
      <c r="P55" s="50">
        <v>0.17499999999999999</v>
      </c>
      <c r="Q55" s="50">
        <v>0.17499999999999999</v>
      </c>
      <c r="R55" s="56">
        <f t="shared" si="21"/>
        <v>1.043646165833978E-2</v>
      </c>
      <c r="S55" s="56">
        <f t="shared" si="22"/>
        <v>0</v>
      </c>
      <c r="T55" s="56">
        <f t="shared" si="23"/>
        <v>2.3255813953488372E-2</v>
      </c>
      <c r="U55" s="57">
        <f t="shared" si="24"/>
        <v>1.7199999999999993E-2</v>
      </c>
      <c r="V55" s="58">
        <f t="shared" si="25"/>
        <v>1.7199999999999993E-2</v>
      </c>
    </row>
    <row r="56" spans="1:22">
      <c r="A56" s="135">
        <v>48</v>
      </c>
      <c r="B56" s="133" t="s">
        <v>92</v>
      </c>
      <c r="C56" s="134" t="s">
        <v>45</v>
      </c>
      <c r="D56" s="47">
        <v>1115996778.6600001</v>
      </c>
      <c r="E56" s="30">
        <f t="shared" si="20"/>
        <v>4.365961450267889E-4</v>
      </c>
      <c r="F56" s="31">
        <v>10</v>
      </c>
      <c r="G56" s="31">
        <v>10</v>
      </c>
      <c r="H56" s="32">
        <v>770</v>
      </c>
      <c r="I56" s="50">
        <v>0.187</v>
      </c>
      <c r="J56" s="50">
        <v>0.187</v>
      </c>
      <c r="K56" s="47">
        <v>1129985614.54</v>
      </c>
      <c r="L56" s="30">
        <f t="shared" si="19"/>
        <v>4.4206880582241747E-4</v>
      </c>
      <c r="M56" s="31">
        <v>10</v>
      </c>
      <c r="N56" s="31">
        <v>10</v>
      </c>
      <c r="O56" s="32">
        <v>778</v>
      </c>
      <c r="P56" s="50">
        <v>0.17910000000000001</v>
      </c>
      <c r="Q56" s="50">
        <v>0.17910000000000001</v>
      </c>
      <c r="R56" s="56">
        <f t="shared" si="21"/>
        <v>1.253483535749678E-2</v>
      </c>
      <c r="S56" s="56">
        <f t="shared" si="22"/>
        <v>0</v>
      </c>
      <c r="T56" s="56">
        <f t="shared" si="23"/>
        <v>1.038961038961039E-2</v>
      </c>
      <c r="U56" s="57">
        <f t="shared" si="24"/>
        <v>-7.8999999999999904E-3</v>
      </c>
      <c r="V56" s="58">
        <f t="shared" si="25"/>
        <v>-7.8999999999999904E-3</v>
      </c>
    </row>
    <row r="57" spans="1:22">
      <c r="A57" s="135">
        <v>49</v>
      </c>
      <c r="B57" s="133" t="s">
        <v>93</v>
      </c>
      <c r="C57" s="134" t="s">
        <v>94</v>
      </c>
      <c r="D57" s="47">
        <v>780391272.79999995</v>
      </c>
      <c r="E57" s="30">
        <f t="shared" si="20"/>
        <v>3.0530179641390499E-4</v>
      </c>
      <c r="F57" s="31">
        <v>1</v>
      </c>
      <c r="G57" s="31">
        <v>1</v>
      </c>
      <c r="H57" s="32">
        <v>75</v>
      </c>
      <c r="I57" s="50">
        <v>0.2228</v>
      </c>
      <c r="J57" s="50">
        <v>0.2228</v>
      </c>
      <c r="K57" s="47">
        <v>824358930.96000004</v>
      </c>
      <c r="L57" s="30">
        <f t="shared" si="19"/>
        <v>3.2250266152891087E-4</v>
      </c>
      <c r="M57" s="31">
        <v>1</v>
      </c>
      <c r="N57" s="31">
        <v>1</v>
      </c>
      <c r="O57" s="32">
        <v>75</v>
      </c>
      <c r="P57" s="50">
        <v>0.22670000000000001</v>
      </c>
      <c r="Q57" s="50">
        <v>0.22670000000000001</v>
      </c>
      <c r="R57" s="56">
        <f t="shared" si="21"/>
        <v>5.6340530311476449E-2</v>
      </c>
      <c r="S57" s="56">
        <f t="shared" si="22"/>
        <v>0</v>
      </c>
      <c r="T57" s="56">
        <f t="shared" si="23"/>
        <v>0</v>
      </c>
      <c r="U57" s="57">
        <f t="shared" si="24"/>
        <v>3.9000000000000146E-3</v>
      </c>
      <c r="V57" s="58">
        <f t="shared" si="25"/>
        <v>3.9000000000000146E-3</v>
      </c>
    </row>
    <row r="58" spans="1:22">
      <c r="A58" s="135">
        <v>50</v>
      </c>
      <c r="B58" s="133" t="s">
        <v>95</v>
      </c>
      <c r="C58" s="134" t="s">
        <v>96</v>
      </c>
      <c r="D58" s="47">
        <v>8809742777.8565998</v>
      </c>
      <c r="E58" s="30">
        <f t="shared" si="20"/>
        <v>3.4465150877120957E-3</v>
      </c>
      <c r="F58" s="31">
        <v>100</v>
      </c>
      <c r="G58" s="31">
        <v>100</v>
      </c>
      <c r="H58" s="32">
        <v>107</v>
      </c>
      <c r="I58" s="50">
        <v>0.222</v>
      </c>
      <c r="J58" s="50">
        <v>0.222</v>
      </c>
      <c r="K58" s="47">
        <v>10987270054.8873</v>
      </c>
      <c r="L58" s="30">
        <f t="shared" si="19"/>
        <v>4.2983992804100429E-3</v>
      </c>
      <c r="M58" s="31">
        <v>100</v>
      </c>
      <c r="N58" s="31">
        <v>100</v>
      </c>
      <c r="O58" s="32">
        <v>110</v>
      </c>
      <c r="P58" s="50">
        <v>0.21060000000000001</v>
      </c>
      <c r="Q58" s="50">
        <v>0.21060000000000001</v>
      </c>
      <c r="R58" s="56">
        <f t="shared" si="21"/>
        <v>0.24717262829783671</v>
      </c>
      <c r="S58" s="56">
        <f t="shared" si="22"/>
        <v>0</v>
      </c>
      <c r="T58" s="56">
        <f t="shared" si="23"/>
        <v>2.8037383177570093E-2</v>
      </c>
      <c r="U58" s="57">
        <f t="shared" si="24"/>
        <v>-1.1399999999999993E-2</v>
      </c>
      <c r="V58" s="58">
        <f t="shared" si="25"/>
        <v>-1.1399999999999993E-2</v>
      </c>
    </row>
    <row r="59" spans="1:22">
      <c r="A59" s="135">
        <v>51</v>
      </c>
      <c r="B59" s="133" t="s">
        <v>97</v>
      </c>
      <c r="C59" s="134" t="s">
        <v>98</v>
      </c>
      <c r="D59" s="47">
        <v>51723000</v>
      </c>
      <c r="E59" s="30">
        <f t="shared" si="20"/>
        <v>2.0234881355424111E-5</v>
      </c>
      <c r="F59" s="31">
        <v>1000</v>
      </c>
      <c r="G59" s="31">
        <v>1000</v>
      </c>
      <c r="H59" s="32">
        <v>23</v>
      </c>
      <c r="I59" s="50">
        <v>9.4000000000000004E-3</v>
      </c>
      <c r="J59" s="50">
        <v>0.1835</v>
      </c>
      <c r="K59" s="47">
        <v>51723000</v>
      </c>
      <c r="L59" s="30">
        <f t="shared" si="19"/>
        <v>2.0234881355424111E-5</v>
      </c>
      <c r="M59" s="31">
        <v>1000</v>
      </c>
      <c r="N59" s="31">
        <v>1000</v>
      </c>
      <c r="O59" s="32">
        <v>23</v>
      </c>
      <c r="P59" s="50">
        <v>0.18099999999999999</v>
      </c>
      <c r="Q59" s="50">
        <v>0.18099999999999999</v>
      </c>
      <c r="R59" s="56">
        <f t="shared" si="21"/>
        <v>0</v>
      </c>
      <c r="S59" s="56">
        <f t="shared" si="22"/>
        <v>0</v>
      </c>
      <c r="T59" s="56">
        <f t="shared" si="23"/>
        <v>0</v>
      </c>
      <c r="U59" s="57">
        <f t="shared" si="24"/>
        <v>0.1716</v>
      </c>
      <c r="V59" s="58">
        <f t="shared" si="25"/>
        <v>-2.5000000000000022E-3</v>
      </c>
    </row>
    <row r="60" spans="1:22">
      <c r="A60" s="135">
        <v>52</v>
      </c>
      <c r="B60" s="133" t="s">
        <v>99</v>
      </c>
      <c r="C60" s="134" t="s">
        <v>49</v>
      </c>
      <c r="D60" s="44">
        <v>1187782468603.3899</v>
      </c>
      <c r="E60" s="30">
        <f t="shared" si="20"/>
        <v>0.46467987797000093</v>
      </c>
      <c r="F60" s="31">
        <v>100</v>
      </c>
      <c r="G60" s="31">
        <v>100</v>
      </c>
      <c r="H60" s="32">
        <v>169008</v>
      </c>
      <c r="I60" s="50">
        <v>0.22270000000000001</v>
      </c>
      <c r="J60" s="50">
        <v>0.22270000000000001</v>
      </c>
      <c r="K60" s="44">
        <v>1208705178140.5801</v>
      </c>
      <c r="L60" s="30">
        <f t="shared" si="19"/>
        <v>0.47286518325235199</v>
      </c>
      <c r="M60" s="31">
        <v>100</v>
      </c>
      <c r="N60" s="31">
        <v>100</v>
      </c>
      <c r="O60" s="32">
        <v>170082</v>
      </c>
      <c r="P60" s="50">
        <v>0.20830000000000001</v>
      </c>
      <c r="Q60" s="50">
        <v>0.20830000000000001</v>
      </c>
      <c r="R60" s="56">
        <f t="shared" si="21"/>
        <v>1.7614933786479759E-2</v>
      </c>
      <c r="S60" s="56">
        <f t="shared" si="22"/>
        <v>0</v>
      </c>
      <c r="T60" s="56">
        <f t="shared" si="23"/>
        <v>6.3547287702357281E-3</v>
      </c>
      <c r="U60" s="57">
        <f t="shared" si="24"/>
        <v>-1.4399999999999996E-2</v>
      </c>
      <c r="V60" s="58">
        <f t="shared" si="25"/>
        <v>-1.4399999999999996E-2</v>
      </c>
    </row>
    <row r="61" spans="1:22">
      <c r="A61" s="135">
        <v>53</v>
      </c>
      <c r="B61" s="133" t="s">
        <v>100</v>
      </c>
      <c r="C61" s="133" t="s">
        <v>101</v>
      </c>
      <c r="D61" s="44">
        <v>2751456044.7800002</v>
      </c>
      <c r="E61" s="30">
        <f t="shared" si="20"/>
        <v>1.076414489120658E-3</v>
      </c>
      <c r="F61" s="31">
        <v>100</v>
      </c>
      <c r="G61" s="31">
        <v>100</v>
      </c>
      <c r="H61" s="32">
        <v>490</v>
      </c>
      <c r="I61" s="50">
        <v>0.2135</v>
      </c>
      <c r="J61" s="50">
        <v>0.2135</v>
      </c>
      <c r="K61" s="44">
        <v>2986577158.98</v>
      </c>
      <c r="L61" s="30">
        <f t="shared" si="19"/>
        <v>1.1683977045179111E-3</v>
      </c>
      <c r="M61" s="31">
        <v>100</v>
      </c>
      <c r="N61" s="31">
        <v>100</v>
      </c>
      <c r="O61" s="32">
        <v>510</v>
      </c>
      <c r="P61" s="50">
        <v>0.2087</v>
      </c>
      <c r="Q61" s="50">
        <v>0.2087</v>
      </c>
      <c r="R61" s="56">
        <f t="shared" si="21"/>
        <v>8.5453341930017829E-2</v>
      </c>
      <c r="S61" s="56">
        <f t="shared" si="22"/>
        <v>0</v>
      </c>
      <c r="T61" s="56">
        <f t="shared" si="23"/>
        <v>4.0816326530612242E-2</v>
      </c>
      <c r="U61" s="57">
        <f t="shared" si="24"/>
        <v>-4.7999999999999987E-3</v>
      </c>
      <c r="V61" s="58">
        <f t="shared" si="25"/>
        <v>-4.7999999999999987E-3</v>
      </c>
    </row>
    <row r="62" spans="1:22">
      <c r="A62" s="135">
        <v>54</v>
      </c>
      <c r="B62" s="133" t="s">
        <v>102</v>
      </c>
      <c r="C62" s="134" t="s">
        <v>103</v>
      </c>
      <c r="D62" s="44">
        <v>4503664484.0200005</v>
      </c>
      <c r="E62" s="30">
        <f t="shared" si="20"/>
        <v>1.7619070142641002E-3</v>
      </c>
      <c r="F62" s="31">
        <v>1</v>
      </c>
      <c r="G62" s="31">
        <v>1</v>
      </c>
      <c r="H62" s="32">
        <v>447</v>
      </c>
      <c r="I62" s="50">
        <v>0.22196565570000001</v>
      </c>
      <c r="J62" s="50">
        <v>0.22196565570000001</v>
      </c>
      <c r="K62" s="44">
        <v>4407304460.6381712</v>
      </c>
      <c r="L62" s="30">
        <f t="shared" si="19"/>
        <v>1.7242094011995601E-3</v>
      </c>
      <c r="M62" s="31">
        <v>1</v>
      </c>
      <c r="N62" s="31">
        <v>1</v>
      </c>
      <c r="O62" s="32">
        <v>449</v>
      </c>
      <c r="P62" s="50">
        <v>0.2203550300896451</v>
      </c>
      <c r="Q62" s="50">
        <v>0.2203550300896451</v>
      </c>
      <c r="R62" s="56">
        <f t="shared" si="21"/>
        <v>-2.1395915198331488E-2</v>
      </c>
      <c r="S62" s="56">
        <f t="shared" si="22"/>
        <v>0</v>
      </c>
      <c r="T62" s="56">
        <f t="shared" si="23"/>
        <v>4.4742729306487695E-3</v>
      </c>
      <c r="U62" s="57">
        <f t="shared" si="24"/>
        <v>-1.6106256103549099E-3</v>
      </c>
      <c r="V62" s="58">
        <f t="shared" si="25"/>
        <v>-1.6106256103549099E-3</v>
      </c>
    </row>
    <row r="63" spans="1:22">
      <c r="A63" s="135">
        <v>55</v>
      </c>
      <c r="B63" s="133" t="s">
        <v>104</v>
      </c>
      <c r="C63" s="134" t="s">
        <v>52</v>
      </c>
      <c r="D63" s="44">
        <v>111714571925.10001</v>
      </c>
      <c r="E63" s="30">
        <f t="shared" si="20"/>
        <v>4.3704562932861429E-2</v>
      </c>
      <c r="F63" s="31">
        <v>1</v>
      </c>
      <c r="G63" s="31">
        <v>1</v>
      </c>
      <c r="H63" s="32">
        <v>50180</v>
      </c>
      <c r="I63" s="50">
        <v>0.2029</v>
      </c>
      <c r="J63" s="50">
        <v>0.2029</v>
      </c>
      <c r="K63" s="44">
        <v>117867690175.13</v>
      </c>
      <c r="L63" s="30">
        <f t="shared" si="19"/>
        <v>4.6111763167868136E-2</v>
      </c>
      <c r="M63" s="31">
        <v>1</v>
      </c>
      <c r="N63" s="31">
        <v>1</v>
      </c>
      <c r="O63" s="32">
        <v>50494</v>
      </c>
      <c r="P63" s="50">
        <v>0.21920000000000001</v>
      </c>
      <c r="Q63" s="50">
        <v>0.21920000000000001</v>
      </c>
      <c r="R63" s="56">
        <f t="shared" si="21"/>
        <v>5.5078922507579495E-2</v>
      </c>
      <c r="S63" s="56">
        <f t="shared" si="22"/>
        <v>0</v>
      </c>
      <c r="T63" s="56">
        <f t="shared" si="23"/>
        <v>6.2574730968513355E-3</v>
      </c>
      <c r="U63" s="57">
        <f t="shared" si="24"/>
        <v>1.6300000000000009E-2</v>
      </c>
      <c r="V63" s="58">
        <f t="shared" si="25"/>
        <v>1.6300000000000009E-2</v>
      </c>
    </row>
    <row r="64" spans="1:22">
      <c r="A64" s="135">
        <v>56</v>
      </c>
      <c r="B64" s="133" t="s">
        <v>105</v>
      </c>
      <c r="C64" s="134" t="s">
        <v>106</v>
      </c>
      <c r="D64" s="44">
        <v>1442653545.0799999</v>
      </c>
      <c r="E64" s="30">
        <f t="shared" si="20"/>
        <v>5.6438960079028253E-4</v>
      </c>
      <c r="F64" s="31">
        <v>1</v>
      </c>
      <c r="G64" s="31">
        <v>1</v>
      </c>
      <c r="H64" s="32">
        <v>151</v>
      </c>
      <c r="I64" s="50">
        <v>0.20169999999999999</v>
      </c>
      <c r="J64" s="50">
        <v>0.20169999999999999</v>
      </c>
      <c r="K64" s="44">
        <v>1456375209.26</v>
      </c>
      <c r="L64" s="30">
        <f t="shared" si="19"/>
        <v>5.6975773965850897E-4</v>
      </c>
      <c r="M64" s="31">
        <v>1</v>
      </c>
      <c r="N64" s="31">
        <v>1</v>
      </c>
      <c r="O64" s="32">
        <v>157</v>
      </c>
      <c r="P64" s="50">
        <v>0.19639999999999999</v>
      </c>
      <c r="Q64" s="50">
        <v>0.19639999999999999</v>
      </c>
      <c r="R64" s="56">
        <f t="shared" si="21"/>
        <v>9.5114064127150878E-3</v>
      </c>
      <c r="S64" s="56">
        <f t="shared" si="22"/>
        <v>0</v>
      </c>
      <c r="T64" s="56">
        <f t="shared" si="23"/>
        <v>3.9735099337748346E-2</v>
      </c>
      <c r="U64" s="57">
        <f t="shared" si="24"/>
        <v>-5.2999999999999992E-3</v>
      </c>
      <c r="V64" s="58">
        <f t="shared" si="25"/>
        <v>-5.2999999999999992E-3</v>
      </c>
    </row>
    <row r="65" spans="1:22">
      <c r="A65" s="135">
        <v>57</v>
      </c>
      <c r="B65" s="133" t="s">
        <v>107</v>
      </c>
      <c r="C65" s="134" t="s">
        <v>108</v>
      </c>
      <c r="D65" s="44">
        <v>4131257425.7800002</v>
      </c>
      <c r="E65" s="30">
        <f t="shared" si="20"/>
        <v>1.6162152980177702E-3</v>
      </c>
      <c r="F65" s="31">
        <v>1</v>
      </c>
      <c r="G65" s="31">
        <v>1</v>
      </c>
      <c r="H65" s="32">
        <v>337</v>
      </c>
      <c r="I65" s="50">
        <v>0.2089</v>
      </c>
      <c r="J65" s="50">
        <v>0.2089</v>
      </c>
      <c r="K65" s="44">
        <v>4146703468.8200002</v>
      </c>
      <c r="L65" s="30">
        <f t="shared" si="19"/>
        <v>1.6222580420257584E-3</v>
      </c>
      <c r="M65" s="31">
        <v>1</v>
      </c>
      <c r="N65" s="31">
        <v>1</v>
      </c>
      <c r="O65" s="32">
        <v>337</v>
      </c>
      <c r="P65" s="50">
        <v>0.2099</v>
      </c>
      <c r="Q65" s="50">
        <v>0.2099</v>
      </c>
      <c r="R65" s="56">
        <f t="shared" si="21"/>
        <v>3.7388236674899722E-3</v>
      </c>
      <c r="S65" s="56">
        <f t="shared" si="22"/>
        <v>0</v>
      </c>
      <c r="T65" s="56">
        <f t="shared" si="23"/>
        <v>0</v>
      </c>
      <c r="U65" s="57">
        <f t="shared" si="24"/>
        <v>1.0000000000000009E-3</v>
      </c>
      <c r="V65" s="58">
        <f t="shared" si="25"/>
        <v>1.0000000000000009E-3</v>
      </c>
    </row>
    <row r="66" spans="1:22">
      <c r="A66" s="135">
        <v>58</v>
      </c>
      <c r="B66" s="133" t="s">
        <v>109</v>
      </c>
      <c r="C66" s="134" t="s">
        <v>110</v>
      </c>
      <c r="D66" s="44">
        <v>5498901369.5100002</v>
      </c>
      <c r="E66" s="30">
        <f t="shared" si="20"/>
        <v>2.1512599191310252E-3</v>
      </c>
      <c r="F66" s="31">
        <v>1</v>
      </c>
      <c r="G66" s="31">
        <v>1</v>
      </c>
      <c r="H66" s="32">
        <v>3019</v>
      </c>
      <c r="I66" s="50">
        <v>0.24510000000000001</v>
      </c>
      <c r="J66" s="50">
        <v>0.24510000000000001</v>
      </c>
      <c r="K66" s="44">
        <v>5665081048.1300001</v>
      </c>
      <c r="L66" s="30">
        <f t="shared" si="19"/>
        <v>2.2162721202902426E-3</v>
      </c>
      <c r="M66" s="31">
        <v>1</v>
      </c>
      <c r="N66" s="31">
        <v>1</v>
      </c>
      <c r="O66" s="32">
        <v>3112</v>
      </c>
      <c r="P66" s="50">
        <v>0.24560000000000001</v>
      </c>
      <c r="Q66" s="50">
        <v>0.24560000000000001</v>
      </c>
      <c r="R66" s="56">
        <f t="shared" si="21"/>
        <v>3.0220523601573152E-2</v>
      </c>
      <c r="S66" s="56">
        <f t="shared" si="22"/>
        <v>0</v>
      </c>
      <c r="T66" s="56">
        <f t="shared" si="23"/>
        <v>3.0804902285525008E-2</v>
      </c>
      <c r="U66" s="57">
        <f t="shared" si="24"/>
        <v>5.0000000000000044E-4</v>
      </c>
      <c r="V66" s="58">
        <f t="shared" si="25"/>
        <v>5.0000000000000044E-4</v>
      </c>
    </row>
    <row r="67" spans="1:22">
      <c r="A67" s="135">
        <v>59</v>
      </c>
      <c r="B67" s="133" t="s">
        <v>111</v>
      </c>
      <c r="C67" s="134" t="s">
        <v>112</v>
      </c>
      <c r="D67" s="44">
        <v>82404742291.039993</v>
      </c>
      <c r="E67" s="30">
        <f t="shared" si="20"/>
        <v>3.2238079449828774E-2</v>
      </c>
      <c r="F67" s="31">
        <v>1</v>
      </c>
      <c r="G67" s="31">
        <v>1</v>
      </c>
      <c r="H67" s="32">
        <v>4940</v>
      </c>
      <c r="I67" s="50">
        <v>0.21160000000000001</v>
      </c>
      <c r="J67" s="50">
        <v>0.21160000000000001</v>
      </c>
      <c r="K67" s="44">
        <v>83914729395.070007</v>
      </c>
      <c r="L67" s="30">
        <f t="shared" si="19"/>
        <v>3.2828811037290212E-2</v>
      </c>
      <c r="M67" s="31">
        <v>1</v>
      </c>
      <c r="N67" s="31">
        <v>1</v>
      </c>
      <c r="O67" s="32">
        <v>5083</v>
      </c>
      <c r="P67" s="50">
        <v>0.20169999999999999</v>
      </c>
      <c r="Q67" s="50">
        <v>0.20169999999999999</v>
      </c>
      <c r="R67" s="56">
        <f t="shared" si="21"/>
        <v>1.832403162790059E-2</v>
      </c>
      <c r="S67" s="56">
        <f t="shared" si="22"/>
        <v>0</v>
      </c>
      <c r="T67" s="56">
        <f t="shared" si="23"/>
        <v>2.8947368421052631E-2</v>
      </c>
      <c r="U67" s="57">
        <f t="shared" si="24"/>
        <v>-9.9000000000000199E-3</v>
      </c>
      <c r="V67" s="58">
        <f t="shared" si="25"/>
        <v>-9.9000000000000199E-3</v>
      </c>
    </row>
    <row r="68" spans="1:22">
      <c r="A68" s="36"/>
      <c r="B68" s="37"/>
      <c r="C68" s="38" t="s">
        <v>53</v>
      </c>
      <c r="D68" s="48">
        <f>SUM(D28:D67)</f>
        <v>2481105692224.7939</v>
      </c>
      <c r="E68" s="40">
        <f>(D68/$D$217)</f>
        <v>0.5186850100178928</v>
      </c>
      <c r="F68" s="41"/>
      <c r="G68" s="45"/>
      <c r="H68" s="43">
        <f>SUM(H28:H67)</f>
        <v>400556</v>
      </c>
      <c r="I68" s="55"/>
      <c r="J68" s="55"/>
      <c r="K68" s="48">
        <f>SUM(K28:K67)</f>
        <v>2556130628664.9053</v>
      </c>
      <c r="L68" s="40">
        <f>(K68/$K$217)</f>
        <v>0.51943545731729768</v>
      </c>
      <c r="M68" s="41"/>
      <c r="N68" s="45"/>
      <c r="O68" s="43">
        <f>SUM(O28:O67)</f>
        <v>401944</v>
      </c>
      <c r="P68" s="55"/>
      <c r="Q68" s="55"/>
      <c r="R68" s="56">
        <f t="shared" si="21"/>
        <v>3.0238508853218937E-2</v>
      </c>
      <c r="S68" s="56" t="e">
        <f t="shared" si="22"/>
        <v>#DIV/0!</v>
      </c>
      <c r="T68" s="56">
        <f t="shared" si="23"/>
        <v>3.4651833950808376E-3</v>
      </c>
      <c r="U68" s="57">
        <f t="shared" si="24"/>
        <v>0</v>
      </c>
      <c r="V68" s="58">
        <f t="shared" si="25"/>
        <v>0</v>
      </c>
    </row>
    <row r="69" spans="1:22" ht="3" customHeight="1">
      <c r="A69" s="36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</row>
    <row r="70" spans="1:22" ht="15" customHeight="1">
      <c r="A70" s="152" t="s">
        <v>113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</row>
    <row r="71" spans="1:22">
      <c r="A71" s="135">
        <v>60</v>
      </c>
      <c r="B71" s="133" t="s">
        <v>114</v>
      </c>
      <c r="C71" s="134" t="s">
        <v>21</v>
      </c>
      <c r="D71" s="29">
        <v>547784514.25</v>
      </c>
      <c r="E71" s="30">
        <f>(D71/$D$108)</f>
        <v>2.7619183294517939E-3</v>
      </c>
      <c r="F71" s="60">
        <v>1.4342999999999999</v>
      </c>
      <c r="G71" s="60">
        <v>1.4342999999999999</v>
      </c>
      <c r="H71" s="32">
        <v>472</v>
      </c>
      <c r="I71" s="50">
        <v>4.8799999999999999E-4</v>
      </c>
      <c r="J71" s="50">
        <v>0.1002</v>
      </c>
      <c r="K71" s="29">
        <v>548617586.55999994</v>
      </c>
      <c r="L71" s="30">
        <f t="shared" ref="L71:L93" si="35">(K71/$K$108)</f>
        <v>2.7340362416954631E-3</v>
      </c>
      <c r="M71" s="60">
        <v>1.4363999999999999</v>
      </c>
      <c r="N71" s="60">
        <v>1.4363999999999999</v>
      </c>
      <c r="O71" s="32">
        <v>474</v>
      </c>
      <c r="P71" s="50">
        <v>1.3899999999999999E-4</v>
      </c>
      <c r="Q71" s="50">
        <v>0.1018</v>
      </c>
      <c r="R71" s="56">
        <f>((K71-D71)/D71)</f>
        <v>1.5208029586972626E-3</v>
      </c>
      <c r="S71" s="56">
        <f>((N71-G71)/G71)</f>
        <v>1.4641288433382075E-3</v>
      </c>
      <c r="T71" s="56">
        <f>((O71-H71)/H71)</f>
        <v>4.2372881355932203E-3</v>
      </c>
      <c r="U71" s="57">
        <f>P71-I71</f>
        <v>-3.4900000000000003E-4</v>
      </c>
      <c r="V71" s="58">
        <f>Q71-J71</f>
        <v>1.6000000000000042E-3</v>
      </c>
    </row>
    <row r="72" spans="1:22">
      <c r="A72" s="135">
        <v>61</v>
      </c>
      <c r="B72" s="133" t="s">
        <v>115</v>
      </c>
      <c r="C72" s="134" t="s">
        <v>23</v>
      </c>
      <c r="D72" s="29">
        <v>1295223365.95</v>
      </c>
      <c r="E72" s="30">
        <f>(D72/$D$108)</f>
        <v>6.5304897493303924E-3</v>
      </c>
      <c r="F72" s="60">
        <v>1.2284999999999999</v>
      </c>
      <c r="G72" s="60">
        <v>1.2284999999999999</v>
      </c>
      <c r="H72" s="32">
        <v>896</v>
      </c>
      <c r="I72" s="50">
        <v>7.2300000000000003E-2</v>
      </c>
      <c r="J72" s="50">
        <v>0.16800000000000001</v>
      </c>
      <c r="K72" s="29">
        <v>1298606312.3299999</v>
      </c>
      <c r="L72" s="30">
        <f t="shared" si="35"/>
        <v>6.4716057388299227E-3</v>
      </c>
      <c r="M72" s="60">
        <v>1.232</v>
      </c>
      <c r="N72" s="60">
        <v>1.232</v>
      </c>
      <c r="O72" s="32">
        <v>905</v>
      </c>
      <c r="P72" s="50">
        <v>0.14860000000000001</v>
      </c>
      <c r="Q72" s="50">
        <v>0.16700000000000001</v>
      </c>
      <c r="R72" s="56">
        <f t="shared" ref="R72:R108" si="36">((K72-D72)/D72)</f>
        <v>2.6118633039935979E-3</v>
      </c>
      <c r="S72" s="56">
        <f t="shared" ref="S72:S108" si="37">((N72-G72)/G72)</f>
        <v>2.8490028490028968E-3</v>
      </c>
      <c r="T72" s="56">
        <f t="shared" ref="T72:T108" si="38">((O72-H72)/H72)</f>
        <v>1.0044642857142858E-2</v>
      </c>
      <c r="U72" s="57">
        <f t="shared" ref="U72:U108" si="39">P72-I72</f>
        <v>7.6300000000000007E-2</v>
      </c>
      <c r="V72" s="58">
        <f t="shared" ref="V72:V108" si="40">Q72-J72</f>
        <v>-1.0000000000000009E-3</v>
      </c>
    </row>
    <row r="73" spans="1:22">
      <c r="A73" s="135">
        <v>62</v>
      </c>
      <c r="B73" s="133" t="s">
        <v>116</v>
      </c>
      <c r="C73" s="134" t="s">
        <v>23</v>
      </c>
      <c r="D73" s="29">
        <v>791622046.48000002</v>
      </c>
      <c r="E73" s="30">
        <f>(D73/$D$108)</f>
        <v>3.9913421852838587E-3</v>
      </c>
      <c r="F73" s="60">
        <v>1.1033999999999999</v>
      </c>
      <c r="G73" s="60">
        <v>1.1033999999999999</v>
      </c>
      <c r="H73" s="32">
        <v>538</v>
      </c>
      <c r="I73" s="50">
        <v>9.4700000000000006E-2</v>
      </c>
      <c r="J73" s="50">
        <v>0.1181</v>
      </c>
      <c r="K73" s="29">
        <v>794304214.51999998</v>
      </c>
      <c r="L73" s="30">
        <f t="shared" si="35"/>
        <v>3.958415775633585E-3</v>
      </c>
      <c r="M73" s="60">
        <v>1.1062000000000001</v>
      </c>
      <c r="N73" s="60">
        <v>1.1062000000000001</v>
      </c>
      <c r="O73" s="32">
        <v>242</v>
      </c>
      <c r="P73" s="50">
        <v>0.1323</v>
      </c>
      <c r="Q73" s="50">
        <v>0.11940000000000001</v>
      </c>
      <c r="R73" s="56">
        <f t="shared" si="36"/>
        <v>3.3881927012093713E-3</v>
      </c>
      <c r="S73" s="56">
        <f t="shared" si="37"/>
        <v>2.537611020482269E-3</v>
      </c>
      <c r="T73" s="56">
        <f t="shared" si="38"/>
        <v>-0.55018587360594795</v>
      </c>
      <c r="U73" s="57">
        <f t="shared" si="39"/>
        <v>3.7599999999999995E-2</v>
      </c>
      <c r="V73" s="58">
        <f t="shared" si="40"/>
        <v>1.3000000000000095E-3</v>
      </c>
    </row>
    <row r="74" spans="1:22">
      <c r="A74" s="135">
        <v>63</v>
      </c>
      <c r="B74" s="133" t="s">
        <v>117</v>
      </c>
      <c r="C74" s="134" t="s">
        <v>118</v>
      </c>
      <c r="D74" s="29">
        <v>285030534.85000002</v>
      </c>
      <c r="E74" s="30">
        <f>(D74/$D$108)</f>
        <v>1.4371181334570985E-3</v>
      </c>
      <c r="F74" s="35">
        <v>1137.53</v>
      </c>
      <c r="G74" s="35">
        <v>1137.53</v>
      </c>
      <c r="H74" s="32">
        <v>110</v>
      </c>
      <c r="I74" s="50">
        <v>2.4940000000000001E-3</v>
      </c>
      <c r="J74" s="50">
        <v>2.2186000000000001E-2</v>
      </c>
      <c r="K74" s="29">
        <v>285363793.75</v>
      </c>
      <c r="L74" s="30">
        <f t="shared" si="35"/>
        <v>1.4221107257466358E-3</v>
      </c>
      <c r="M74" s="35">
        <v>1138.8599999999999</v>
      </c>
      <c r="N74" s="35">
        <v>1138.8599999999999</v>
      </c>
      <c r="O74" s="32">
        <v>110</v>
      </c>
      <c r="P74" s="50">
        <v>1.2300000000000001E-4</v>
      </c>
      <c r="Q74" s="50">
        <v>2.3040000000000001E-2</v>
      </c>
      <c r="R74" s="56">
        <f t="shared" si="36"/>
        <v>1.169204205350689E-3</v>
      </c>
      <c r="S74" s="56">
        <f t="shared" si="37"/>
        <v>1.1691999331885114E-3</v>
      </c>
      <c r="T74" s="56">
        <f t="shared" si="38"/>
        <v>0</v>
      </c>
      <c r="U74" s="57">
        <f t="shared" si="39"/>
        <v>-2.3710000000000003E-3</v>
      </c>
      <c r="V74" s="58">
        <f t="shared" si="40"/>
        <v>8.5400000000000059E-4</v>
      </c>
    </row>
    <row r="75" spans="1:22" ht="15" customHeight="1">
      <c r="A75" s="135">
        <v>64</v>
      </c>
      <c r="B75" s="133" t="s">
        <v>119</v>
      </c>
      <c r="C75" s="134" t="s">
        <v>27</v>
      </c>
      <c r="D75" s="29">
        <v>1648565916.6300001</v>
      </c>
      <c r="E75" s="30">
        <f>(D75/$K$108)</f>
        <v>8.2156297452148554E-3</v>
      </c>
      <c r="F75" s="35">
        <v>1.0768</v>
      </c>
      <c r="G75" s="35">
        <v>1.0768</v>
      </c>
      <c r="H75" s="32">
        <v>903</v>
      </c>
      <c r="I75" s="50">
        <v>3.3E-3</v>
      </c>
      <c r="J75" s="50">
        <v>3.0200000000000001E-2</v>
      </c>
      <c r="K75" s="29">
        <v>1717402986.4200001</v>
      </c>
      <c r="L75" s="30">
        <f t="shared" si="35"/>
        <v>8.5586793451339366E-3</v>
      </c>
      <c r="M75" s="35">
        <v>1.0805</v>
      </c>
      <c r="N75" s="35">
        <v>1.0805</v>
      </c>
      <c r="O75" s="32">
        <v>903</v>
      </c>
      <c r="P75" s="50">
        <v>3.3999999999999998E-3</v>
      </c>
      <c r="Q75" s="50">
        <v>3.3599999999999998E-2</v>
      </c>
      <c r="R75" s="56">
        <f t="shared" si="36"/>
        <v>4.1755727869660655E-2</v>
      </c>
      <c r="S75" s="56">
        <f t="shared" si="37"/>
        <v>3.4361069836553091E-3</v>
      </c>
      <c r="T75" s="56">
        <f t="shared" si="38"/>
        <v>0</v>
      </c>
      <c r="U75" s="57">
        <f t="shared" si="39"/>
        <v>9.9999999999999829E-5</v>
      </c>
      <c r="V75" s="58">
        <f t="shared" si="40"/>
        <v>3.3999999999999968E-3</v>
      </c>
    </row>
    <row r="76" spans="1:22">
      <c r="A76" s="135">
        <v>65</v>
      </c>
      <c r="B76" s="133" t="s">
        <v>120</v>
      </c>
      <c r="C76" s="134" t="s">
        <v>121</v>
      </c>
      <c r="D76" s="29">
        <v>442897769.44083607</v>
      </c>
      <c r="E76" s="30">
        <f t="shared" ref="E76:E93" si="41">(D76/$D$108)</f>
        <v>2.2330815049906453E-3</v>
      </c>
      <c r="F76" s="35">
        <v>2.5436000000000001</v>
      </c>
      <c r="G76" s="35">
        <v>2.5436000000000001</v>
      </c>
      <c r="H76" s="32">
        <v>1390</v>
      </c>
      <c r="I76" s="50">
        <v>0.14180000000000001</v>
      </c>
      <c r="J76" s="50">
        <v>0.13750000000000001</v>
      </c>
      <c r="K76" s="29">
        <v>444106241.89689714</v>
      </c>
      <c r="L76" s="30">
        <f t="shared" si="35"/>
        <v>2.2132038604936277E-3</v>
      </c>
      <c r="M76" s="35">
        <v>2.5505</v>
      </c>
      <c r="N76" s="35">
        <v>2.5505</v>
      </c>
      <c r="O76" s="32">
        <v>1390</v>
      </c>
      <c r="P76" s="50">
        <v>0.1414</v>
      </c>
      <c r="Q76" s="50">
        <v>0.1381</v>
      </c>
      <c r="R76" s="56">
        <f t="shared" si="36"/>
        <v>2.7285584607634776E-3</v>
      </c>
      <c r="S76" s="56">
        <f t="shared" si="37"/>
        <v>2.7126906746343395E-3</v>
      </c>
      <c r="T76" s="56">
        <f t="shared" si="38"/>
        <v>0</v>
      </c>
      <c r="U76" s="57">
        <f t="shared" si="39"/>
        <v>-4.0000000000001146E-4</v>
      </c>
      <c r="V76" s="58">
        <f t="shared" si="40"/>
        <v>5.9999999999998943E-4</v>
      </c>
    </row>
    <row r="77" spans="1:22">
      <c r="A77" s="135">
        <v>66</v>
      </c>
      <c r="B77" s="133" t="s">
        <v>122</v>
      </c>
      <c r="C77" s="134" t="s">
        <v>63</v>
      </c>
      <c r="D77" s="29">
        <v>154541625.37</v>
      </c>
      <c r="E77" s="30">
        <f t="shared" si="41"/>
        <v>7.7919571778525386E-4</v>
      </c>
      <c r="F77" s="35">
        <v>11.4</v>
      </c>
      <c r="G77" s="35">
        <v>11.45</v>
      </c>
      <c r="H77" s="32">
        <v>30</v>
      </c>
      <c r="I77" s="50">
        <v>0.30399999999999999</v>
      </c>
      <c r="J77" s="50">
        <v>0.39600000000000002</v>
      </c>
      <c r="K77" s="29">
        <v>153690443.99000001</v>
      </c>
      <c r="L77" s="30">
        <f t="shared" si="35"/>
        <v>7.6591646743532119E-4</v>
      </c>
      <c r="M77" s="35">
        <v>11.4</v>
      </c>
      <c r="N77" s="35">
        <v>11.45</v>
      </c>
      <c r="O77" s="32">
        <v>29</v>
      </c>
      <c r="P77" s="50">
        <v>0.189</v>
      </c>
      <c r="Q77" s="50">
        <v>0.35699999999999998</v>
      </c>
      <c r="R77" s="56">
        <f t="shared" si="36"/>
        <v>-5.5077806899087312E-3</v>
      </c>
      <c r="S77" s="56">
        <f t="shared" si="37"/>
        <v>0</v>
      </c>
      <c r="T77" s="56">
        <f t="shared" si="38"/>
        <v>-3.3333333333333333E-2</v>
      </c>
      <c r="U77" s="57">
        <f t="shared" si="39"/>
        <v>-0.11499999999999999</v>
      </c>
      <c r="V77" s="58">
        <f t="shared" si="40"/>
        <v>-3.9000000000000035E-2</v>
      </c>
    </row>
    <row r="78" spans="1:22">
      <c r="A78" s="135">
        <v>67</v>
      </c>
      <c r="B78" s="133" t="s">
        <v>123</v>
      </c>
      <c r="C78" s="134" t="s">
        <v>65</v>
      </c>
      <c r="D78" s="29">
        <v>2044334658.4753799</v>
      </c>
      <c r="E78" s="30">
        <f t="shared" si="41"/>
        <v>1.0307493581682104E-2</v>
      </c>
      <c r="F78" s="29">
        <v>4514.3426618968197</v>
      </c>
      <c r="G78" s="29">
        <v>4514.3426618968197</v>
      </c>
      <c r="H78" s="32">
        <v>1080</v>
      </c>
      <c r="I78" s="50">
        <v>0.13401480962201223</v>
      </c>
      <c r="J78" s="50">
        <v>0.12445847838197983</v>
      </c>
      <c r="K78" s="29">
        <v>2049643300.84286</v>
      </c>
      <c r="L78" s="30">
        <f t="shared" si="35"/>
        <v>1.0214399254297023E-2</v>
      </c>
      <c r="M78" s="29">
        <v>4523.6701566694001</v>
      </c>
      <c r="N78" s="29">
        <v>4523.6701566694001</v>
      </c>
      <c r="O78" s="32">
        <v>1094</v>
      </c>
      <c r="P78" s="50">
        <v>0.10773710899984018</v>
      </c>
      <c r="Q78" s="50">
        <v>0.12345127518726494</v>
      </c>
      <c r="R78" s="56">
        <f t="shared" si="36"/>
        <v>2.5967579943291228E-3</v>
      </c>
      <c r="S78" s="56">
        <f t="shared" si="37"/>
        <v>2.0661911315037842E-3</v>
      </c>
      <c r="T78" s="56">
        <f t="shared" si="38"/>
        <v>1.2962962962962963E-2</v>
      </c>
      <c r="U78" s="57">
        <f t="shared" si="39"/>
        <v>-2.6277700622172051E-2</v>
      </c>
      <c r="V78" s="58">
        <f t="shared" si="40"/>
        <v>-1.0072031947148952E-3</v>
      </c>
    </row>
    <row r="79" spans="1:22">
      <c r="A79" s="135">
        <v>68</v>
      </c>
      <c r="B79" s="133" t="s">
        <v>124</v>
      </c>
      <c r="C79" s="134" t="s">
        <v>67</v>
      </c>
      <c r="D79" s="29">
        <v>342098091.27999997</v>
      </c>
      <c r="E79" s="30">
        <f t="shared" si="41"/>
        <v>1.7248515870704076E-3</v>
      </c>
      <c r="F79" s="60">
        <v>113.47</v>
      </c>
      <c r="G79" s="60">
        <v>113.47</v>
      </c>
      <c r="H79" s="32">
        <v>136</v>
      </c>
      <c r="I79" s="50">
        <v>4.5999999999999999E-3</v>
      </c>
      <c r="J79" s="50">
        <v>0.12740000000000001</v>
      </c>
      <c r="K79" s="29">
        <v>343048837.06</v>
      </c>
      <c r="L79" s="30">
        <f t="shared" si="35"/>
        <v>1.709584191557714E-3</v>
      </c>
      <c r="M79" s="60">
        <v>113.74</v>
      </c>
      <c r="N79" s="60">
        <v>113.74</v>
      </c>
      <c r="O79" s="32">
        <v>136</v>
      </c>
      <c r="P79" s="50">
        <v>2.3999999999999998E-3</v>
      </c>
      <c r="Q79" s="50">
        <v>0.12740000000000001</v>
      </c>
      <c r="R79" s="56">
        <f t="shared" si="36"/>
        <v>2.7791613114317728E-3</v>
      </c>
      <c r="S79" s="56">
        <f t="shared" si="37"/>
        <v>2.3794835639375698E-3</v>
      </c>
      <c r="T79" s="56">
        <f t="shared" si="38"/>
        <v>0</v>
      </c>
      <c r="U79" s="57">
        <f t="shared" si="39"/>
        <v>-2.2000000000000001E-3</v>
      </c>
      <c r="V79" s="58">
        <f t="shared" si="40"/>
        <v>0</v>
      </c>
    </row>
    <row r="80" spans="1:22" ht="13.5" customHeight="1">
      <c r="A80" s="135">
        <v>69</v>
      </c>
      <c r="B80" s="133" t="s">
        <v>125</v>
      </c>
      <c r="C80" s="134" t="s">
        <v>301</v>
      </c>
      <c r="D80" s="29">
        <v>366436838.22000003</v>
      </c>
      <c r="E80" s="30">
        <f t="shared" si="41"/>
        <v>1.8475670518942197E-3</v>
      </c>
      <c r="F80" s="60">
        <v>1.3966000000000001</v>
      </c>
      <c r="G80" s="60">
        <v>1.3966000000000001</v>
      </c>
      <c r="H80" s="32">
        <v>398</v>
      </c>
      <c r="I80" s="50">
        <v>-9.8546614675647515E-3</v>
      </c>
      <c r="J80" s="50">
        <v>6.4044506633813003E-2</v>
      </c>
      <c r="K80" s="29">
        <v>367840223.13999999</v>
      </c>
      <c r="L80" s="30">
        <f t="shared" si="35"/>
        <v>1.8331320866399499E-3</v>
      </c>
      <c r="M80" s="60">
        <v>1.4012</v>
      </c>
      <c r="N80" s="60">
        <v>1.4012</v>
      </c>
      <c r="O80" s="32">
        <v>403</v>
      </c>
      <c r="P80" s="50">
        <v>3.2937133037376221E-3</v>
      </c>
      <c r="Q80" s="50">
        <v>6.740339673969109E-2</v>
      </c>
      <c r="R80" s="56">
        <f t="shared" si="36"/>
        <v>3.8298139641664464E-3</v>
      </c>
      <c r="S80" s="56">
        <f t="shared" si="37"/>
        <v>3.2937133037376038E-3</v>
      </c>
      <c r="T80" s="56">
        <f t="shared" si="38"/>
        <v>1.2562814070351759E-2</v>
      </c>
      <c r="U80" s="57">
        <f t="shared" si="39"/>
        <v>1.3148374771302374E-2</v>
      </c>
      <c r="V80" s="58">
        <f t="shared" si="40"/>
        <v>3.3588901058780873E-3</v>
      </c>
    </row>
    <row r="81" spans="1:22" ht="13.5" customHeight="1">
      <c r="A81" s="135">
        <v>70</v>
      </c>
      <c r="B81" s="133" t="s">
        <v>299</v>
      </c>
      <c r="C81" s="134" t="s">
        <v>301</v>
      </c>
      <c r="D81" s="29">
        <v>25349809.469999999</v>
      </c>
      <c r="E81" s="30">
        <f t="shared" ref="E81" si="42">(D81/$D$108)</f>
        <v>1.2781322144377077E-4</v>
      </c>
      <c r="F81" s="60">
        <v>0.88870000000000005</v>
      </c>
      <c r="G81" s="60">
        <v>0.88870000000000005</v>
      </c>
      <c r="H81" s="32">
        <v>1</v>
      </c>
      <c r="I81" s="50">
        <v>-1.4606741573033322E-3</v>
      </c>
      <c r="J81" s="50">
        <v>-8.9912954429083425E-2</v>
      </c>
      <c r="K81" s="29">
        <v>25428990.530000001</v>
      </c>
      <c r="L81" s="30">
        <f t="shared" ref="L81" si="43">(K81/$K$108)</f>
        <v>1.2672539743883548E-4</v>
      </c>
      <c r="M81" s="60">
        <v>0.88849999999999996</v>
      </c>
      <c r="N81" s="60">
        <v>0.88849999999999996</v>
      </c>
      <c r="O81" s="32">
        <v>1</v>
      </c>
      <c r="P81" s="50">
        <v>-1.6853932584269815E-3</v>
      </c>
      <c r="Q81" s="50">
        <v>-9.0117767537122417E-2</v>
      </c>
      <c r="R81" s="56">
        <f t="shared" ref="R81" si="44">((K81-D81)/D81)</f>
        <v>3.1235366914180752E-3</v>
      </c>
      <c r="S81" s="56">
        <f t="shared" ref="S81" si="45">((N81-G81)/G81)</f>
        <v>-2.2504782266241587E-4</v>
      </c>
      <c r="T81" s="56">
        <f t="shared" ref="T81" si="46">((O81-H81)/H81)</f>
        <v>0</v>
      </c>
      <c r="U81" s="57">
        <f t="shared" ref="U81" si="47">P81-I81</f>
        <v>-2.2471910112364935E-4</v>
      </c>
      <c r="V81" s="58">
        <f t="shared" ref="V81" si="48">Q81-J81</f>
        <v>-2.0481310803899255E-4</v>
      </c>
    </row>
    <row r="82" spans="1:22">
      <c r="A82" s="135">
        <v>71</v>
      </c>
      <c r="B82" s="133" t="s">
        <v>127</v>
      </c>
      <c r="C82" s="134" t="s">
        <v>29</v>
      </c>
      <c r="D82" s="29">
        <v>133313261.26000001</v>
      </c>
      <c r="E82" s="30">
        <f t="shared" si="41"/>
        <v>6.7216273964427749E-4</v>
      </c>
      <c r="F82" s="60">
        <v>135.32069999999999</v>
      </c>
      <c r="G82" s="60">
        <v>135.32069999999999</v>
      </c>
      <c r="H82" s="32">
        <v>214</v>
      </c>
      <c r="I82" s="50">
        <v>1.536E-3</v>
      </c>
      <c r="J82" s="50">
        <v>3.4299999999999997E-2</v>
      </c>
      <c r="K82" s="29">
        <v>135489716.06</v>
      </c>
      <c r="L82" s="30">
        <f t="shared" si="35"/>
        <v>6.7521312323908715E-4</v>
      </c>
      <c r="M82" s="60">
        <v>135.59569999999999</v>
      </c>
      <c r="N82" s="60">
        <v>135.59569999999999</v>
      </c>
      <c r="O82" s="32">
        <v>219</v>
      </c>
      <c r="P82" s="50">
        <v>1.5250000000000001E-3</v>
      </c>
      <c r="Q82" s="50">
        <v>3.6999999999999998E-2</v>
      </c>
      <c r="R82" s="56">
        <f t="shared" si="36"/>
        <v>1.6325868705254095E-2</v>
      </c>
      <c r="S82" s="56">
        <f t="shared" si="37"/>
        <v>2.0322094106814828E-3</v>
      </c>
      <c r="T82" s="56">
        <f t="shared" si="38"/>
        <v>2.336448598130841E-2</v>
      </c>
      <c r="U82" s="57">
        <f t="shared" si="39"/>
        <v>-1.0999999999999942E-5</v>
      </c>
      <c r="V82" s="58">
        <f t="shared" si="40"/>
        <v>2.700000000000001E-3</v>
      </c>
    </row>
    <row r="83" spans="1:22">
      <c r="A83" s="135">
        <v>72</v>
      </c>
      <c r="B83" s="133" t="s">
        <v>128</v>
      </c>
      <c r="C83" s="134" t="s">
        <v>98</v>
      </c>
      <c r="D83" s="29">
        <v>1529845279.6300004</v>
      </c>
      <c r="E83" s="30">
        <f t="shared" si="41"/>
        <v>7.7134486447111216E-3</v>
      </c>
      <c r="F83" s="35">
        <v>1000</v>
      </c>
      <c r="G83" s="35">
        <v>1000</v>
      </c>
      <c r="H83" s="32">
        <v>339</v>
      </c>
      <c r="I83" s="50">
        <v>1.11E-2</v>
      </c>
      <c r="J83" s="50">
        <v>0.19539999999999999</v>
      </c>
      <c r="K83" s="29">
        <v>1528389937.0300002</v>
      </c>
      <c r="L83" s="30">
        <f t="shared" si="35"/>
        <v>7.6167326415549821E-3</v>
      </c>
      <c r="M83" s="35">
        <v>1000</v>
      </c>
      <c r="N83" s="35">
        <v>1000</v>
      </c>
      <c r="O83" s="32">
        <v>341</v>
      </c>
      <c r="P83" s="50">
        <v>1.14E-2</v>
      </c>
      <c r="Q83" s="50">
        <v>0.1991</v>
      </c>
      <c r="R83" s="56">
        <f t="shared" si="36"/>
        <v>-9.5130051344285212E-4</v>
      </c>
      <c r="S83" s="56">
        <f t="shared" si="37"/>
        <v>0</v>
      </c>
      <c r="T83" s="56">
        <f t="shared" si="38"/>
        <v>5.8997050147492625E-3</v>
      </c>
      <c r="U83" s="57">
        <f t="shared" si="39"/>
        <v>2.9999999999999992E-4</v>
      </c>
      <c r="V83" s="58">
        <f t="shared" si="40"/>
        <v>3.7000000000000088E-3</v>
      </c>
    </row>
    <row r="84" spans="1:22">
      <c r="A84" s="135">
        <v>73</v>
      </c>
      <c r="B84" s="133" t="s">
        <v>129</v>
      </c>
      <c r="C84" s="134" t="s">
        <v>72</v>
      </c>
      <c r="D84" s="29">
        <v>174398899.44</v>
      </c>
      <c r="E84" s="30">
        <f t="shared" si="41"/>
        <v>8.7931568795631787E-4</v>
      </c>
      <c r="F84" s="35">
        <v>1050.3800000000001</v>
      </c>
      <c r="G84" s="35">
        <v>1059.43</v>
      </c>
      <c r="H84" s="32">
        <v>71</v>
      </c>
      <c r="I84" s="50">
        <v>-5.0000000000000001E-4</v>
      </c>
      <c r="J84" s="50">
        <v>4.36E-2</v>
      </c>
      <c r="K84" s="29">
        <v>174812948.47999999</v>
      </c>
      <c r="L84" s="30">
        <f t="shared" si="35"/>
        <v>8.7118048777623535E-4</v>
      </c>
      <c r="M84" s="35">
        <v>1052.8800000000001</v>
      </c>
      <c r="N84" s="35">
        <v>1062.95</v>
      </c>
      <c r="O84" s="32">
        <v>71</v>
      </c>
      <c r="P84" s="50">
        <v>3.0000000000000001E-3</v>
      </c>
      <c r="Q84" s="50">
        <v>4.6600000000000003E-2</v>
      </c>
      <c r="R84" s="56">
        <f t="shared" si="36"/>
        <v>2.374149385859173E-3</v>
      </c>
      <c r="S84" s="56">
        <f t="shared" si="37"/>
        <v>3.3225413665839004E-3</v>
      </c>
      <c r="T84" s="56">
        <f t="shared" si="38"/>
        <v>0</v>
      </c>
      <c r="U84" s="57">
        <f t="shared" si="39"/>
        <v>3.5000000000000001E-3</v>
      </c>
      <c r="V84" s="58">
        <f t="shared" si="40"/>
        <v>3.0000000000000027E-3</v>
      </c>
    </row>
    <row r="85" spans="1:22">
      <c r="A85" s="135">
        <v>74</v>
      </c>
      <c r="B85" s="133" t="s">
        <v>130</v>
      </c>
      <c r="C85" s="134" t="s">
        <v>75</v>
      </c>
      <c r="D85" s="29">
        <v>653933800.38</v>
      </c>
      <c r="E85" s="30">
        <f t="shared" si="41"/>
        <v>3.2971208614585115E-3</v>
      </c>
      <c r="F85" s="61">
        <v>1.1771</v>
      </c>
      <c r="G85" s="61">
        <v>1.1771</v>
      </c>
      <c r="H85" s="32">
        <v>47</v>
      </c>
      <c r="I85" s="50">
        <v>1.4E-3</v>
      </c>
      <c r="J85" s="50">
        <v>0.12379999999999999</v>
      </c>
      <c r="K85" s="29">
        <v>655106356.96000004</v>
      </c>
      <c r="L85" s="30">
        <f t="shared" si="35"/>
        <v>3.2647231258559769E-3</v>
      </c>
      <c r="M85" s="61">
        <v>1.1796</v>
      </c>
      <c r="N85" s="61">
        <v>1.1796</v>
      </c>
      <c r="O85" s="32">
        <v>47</v>
      </c>
      <c r="P85" s="50">
        <v>1.4E-3</v>
      </c>
      <c r="Q85" s="50">
        <v>0.12379999999999999</v>
      </c>
      <c r="R85" s="56">
        <f t="shared" si="36"/>
        <v>1.7930814698959925E-3</v>
      </c>
      <c r="S85" s="56">
        <f t="shared" si="37"/>
        <v>2.1238637329028518E-3</v>
      </c>
      <c r="T85" s="56">
        <f t="shared" si="38"/>
        <v>0</v>
      </c>
      <c r="U85" s="57">
        <f t="shared" si="39"/>
        <v>0</v>
      </c>
      <c r="V85" s="58">
        <f t="shared" si="40"/>
        <v>0</v>
      </c>
    </row>
    <row r="86" spans="1:22">
      <c r="A86" s="135">
        <v>75</v>
      </c>
      <c r="B86" s="133" t="s">
        <v>131</v>
      </c>
      <c r="C86" s="134" t="s">
        <v>31</v>
      </c>
      <c r="D86" s="29">
        <v>12400586762.66</v>
      </c>
      <c r="E86" s="30">
        <f t="shared" si="41"/>
        <v>6.2523505109742944E-2</v>
      </c>
      <c r="F86" s="61">
        <v>1703.49</v>
      </c>
      <c r="G86" s="61">
        <v>1703.49</v>
      </c>
      <c r="H86" s="32">
        <v>2124</v>
      </c>
      <c r="I86" s="50">
        <v>5.0000000000000001E-4</v>
      </c>
      <c r="J86" s="50">
        <v>6.1999999999999998E-3</v>
      </c>
      <c r="K86" s="29">
        <v>12441378684.360001</v>
      </c>
      <c r="L86" s="30">
        <f t="shared" si="35"/>
        <v>6.2001621991345998E-2</v>
      </c>
      <c r="M86" s="61">
        <v>1704.83</v>
      </c>
      <c r="N86" s="61">
        <v>1704.83</v>
      </c>
      <c r="O86" s="32">
        <v>2125</v>
      </c>
      <c r="P86" s="50">
        <v>8.0000000000000004E-4</v>
      </c>
      <c r="Q86" s="50">
        <v>7.0000000000000001E-3</v>
      </c>
      <c r="R86" s="56">
        <f t="shared" si="36"/>
        <v>3.2895154463844622E-3</v>
      </c>
      <c r="S86" s="56">
        <f t="shared" si="37"/>
        <v>7.8662040869034635E-4</v>
      </c>
      <c r="T86" s="56">
        <f t="shared" si="38"/>
        <v>4.7080979284369113E-4</v>
      </c>
      <c r="U86" s="57">
        <f t="shared" si="39"/>
        <v>3.0000000000000003E-4</v>
      </c>
      <c r="V86" s="58">
        <f t="shared" si="40"/>
        <v>8.0000000000000036E-4</v>
      </c>
    </row>
    <row r="87" spans="1:22">
      <c r="A87" s="135">
        <v>76</v>
      </c>
      <c r="B87" s="133" t="s">
        <v>132</v>
      </c>
      <c r="C87" s="134" t="s">
        <v>80</v>
      </c>
      <c r="D87" s="29">
        <v>23842328.190000001</v>
      </c>
      <c r="E87" s="30">
        <f t="shared" si="41"/>
        <v>1.2021253162829112E-4</v>
      </c>
      <c r="F87" s="60">
        <v>0.72709999999999997</v>
      </c>
      <c r="G87" s="60">
        <v>0.72709999999999997</v>
      </c>
      <c r="H87" s="32">
        <v>746</v>
      </c>
      <c r="I87" s="50">
        <v>2.0999999999999999E-3</v>
      </c>
      <c r="J87" s="50">
        <v>1.4500000000000001E-2</v>
      </c>
      <c r="K87" s="29">
        <v>23247828.109999999</v>
      </c>
      <c r="L87" s="30">
        <f t="shared" si="35"/>
        <v>1.158555725345768E-4</v>
      </c>
      <c r="M87" s="60">
        <v>0.72709999999999997</v>
      </c>
      <c r="N87" s="60">
        <v>0.72709999999999997</v>
      </c>
      <c r="O87" s="32">
        <v>746</v>
      </c>
      <c r="P87" s="50">
        <v>-2.4899999999999999E-2</v>
      </c>
      <c r="Q87" s="50">
        <v>-1.0699999999999999E-2</v>
      </c>
      <c r="R87" s="56">
        <f t="shared" si="36"/>
        <v>-2.4934648800336051E-2</v>
      </c>
      <c r="S87" s="56">
        <f t="shared" si="37"/>
        <v>0</v>
      </c>
      <c r="T87" s="56">
        <f t="shared" si="38"/>
        <v>0</v>
      </c>
      <c r="U87" s="57">
        <f t="shared" si="39"/>
        <v>-2.7E-2</v>
      </c>
      <c r="V87" s="58">
        <f t="shared" si="40"/>
        <v>-2.52E-2</v>
      </c>
    </row>
    <row r="88" spans="1:22">
      <c r="A88" s="135">
        <v>77</v>
      </c>
      <c r="B88" s="133" t="s">
        <v>133</v>
      </c>
      <c r="C88" s="134" t="s">
        <v>37</v>
      </c>
      <c r="D88" s="29">
        <v>10942941756.200001</v>
      </c>
      <c r="E88" s="30">
        <f t="shared" si="41"/>
        <v>5.5174088767282421E-2</v>
      </c>
      <c r="F88" s="60">
        <v>1</v>
      </c>
      <c r="G88" s="60">
        <v>1</v>
      </c>
      <c r="H88" s="32">
        <v>4277</v>
      </c>
      <c r="I88" s="50">
        <v>0.06</v>
      </c>
      <c r="J88" s="50">
        <v>0.06</v>
      </c>
      <c r="K88" s="29">
        <v>10957365246.879999</v>
      </c>
      <c r="L88" s="30">
        <f t="shared" si="35"/>
        <v>5.4606039675667441E-2</v>
      </c>
      <c r="M88" s="60">
        <v>1</v>
      </c>
      <c r="N88" s="60">
        <v>1</v>
      </c>
      <c r="O88" s="32">
        <v>4278</v>
      </c>
      <c r="P88" s="50">
        <v>0.06</v>
      </c>
      <c r="Q88" s="50">
        <v>0.06</v>
      </c>
      <c r="R88" s="56">
        <f t="shared" si="36"/>
        <v>1.3180633691873946E-3</v>
      </c>
      <c r="S88" s="56">
        <f t="shared" si="37"/>
        <v>0</v>
      </c>
      <c r="T88" s="56">
        <f t="shared" si="38"/>
        <v>2.3380874444704232E-4</v>
      </c>
      <c r="U88" s="57">
        <f t="shared" si="39"/>
        <v>0</v>
      </c>
      <c r="V88" s="58">
        <f t="shared" si="40"/>
        <v>0</v>
      </c>
    </row>
    <row r="89" spans="1:22">
      <c r="A89" s="135">
        <v>78</v>
      </c>
      <c r="B89" s="133" t="s">
        <v>134</v>
      </c>
      <c r="C89" s="134" t="s">
        <v>135</v>
      </c>
      <c r="D89" s="29">
        <v>1584100161.21</v>
      </c>
      <c r="E89" s="30">
        <f t="shared" si="41"/>
        <v>7.9870006491944943E-3</v>
      </c>
      <c r="F89" s="29">
        <v>248.4</v>
      </c>
      <c r="G89" s="29">
        <v>250.56</v>
      </c>
      <c r="H89" s="32">
        <v>511</v>
      </c>
      <c r="I89" s="50">
        <v>3.0000000000000001E-3</v>
      </c>
      <c r="J89" s="50">
        <v>0.1865</v>
      </c>
      <c r="K89" s="29">
        <v>1569785170.24</v>
      </c>
      <c r="L89" s="30">
        <f t="shared" si="35"/>
        <v>7.8230258239139795E-3</v>
      </c>
      <c r="M89" s="29">
        <v>246.23</v>
      </c>
      <c r="N89" s="29">
        <v>248.2</v>
      </c>
      <c r="O89" s="32">
        <v>511</v>
      </c>
      <c r="P89" s="50">
        <v>3.0000000000000001E-3</v>
      </c>
      <c r="Q89" s="50">
        <v>0.1865</v>
      </c>
      <c r="R89" s="56">
        <f t="shared" si="36"/>
        <v>-9.0366703574259206E-3</v>
      </c>
      <c r="S89" s="56">
        <f t="shared" si="37"/>
        <v>-9.4189016602810247E-3</v>
      </c>
      <c r="T89" s="56">
        <f t="shared" si="38"/>
        <v>0</v>
      </c>
      <c r="U89" s="57">
        <f t="shared" si="39"/>
        <v>0</v>
      </c>
      <c r="V89" s="58">
        <f t="shared" si="40"/>
        <v>0</v>
      </c>
    </row>
    <row r="90" spans="1:22">
      <c r="A90" s="135">
        <v>79</v>
      </c>
      <c r="B90" s="133" t="s">
        <v>136</v>
      </c>
      <c r="C90" s="134" t="s">
        <v>41</v>
      </c>
      <c r="D90" s="29">
        <v>1113821515.0999999</v>
      </c>
      <c r="E90" s="30">
        <f t="shared" si="41"/>
        <v>5.6158653234371853E-3</v>
      </c>
      <c r="F90" s="60">
        <v>3.7</v>
      </c>
      <c r="G90" s="60">
        <v>3.7</v>
      </c>
      <c r="H90" s="46">
        <v>773</v>
      </c>
      <c r="I90" s="53">
        <v>3.8E-3</v>
      </c>
      <c r="J90" s="53">
        <v>9.4200000000000006E-2</v>
      </c>
      <c r="K90" s="29">
        <v>1115986486.5999999</v>
      </c>
      <c r="L90" s="30">
        <f t="shared" si="35"/>
        <v>5.5615196711764486E-3</v>
      </c>
      <c r="M90" s="60">
        <v>3.71</v>
      </c>
      <c r="N90" s="60">
        <v>3.71</v>
      </c>
      <c r="O90" s="46">
        <v>773</v>
      </c>
      <c r="P90" s="53">
        <v>1.9E-3</v>
      </c>
      <c r="Q90" s="53">
        <v>9.4899999999999998E-2</v>
      </c>
      <c r="R90" s="56">
        <f t="shared" si="36"/>
        <v>1.9437328787868017E-3</v>
      </c>
      <c r="S90" s="56">
        <f t="shared" si="37"/>
        <v>2.7027027027026452E-3</v>
      </c>
      <c r="T90" s="56">
        <f t="shared" si="38"/>
        <v>0</v>
      </c>
      <c r="U90" s="57">
        <f t="shared" si="39"/>
        <v>-1.9E-3</v>
      </c>
      <c r="V90" s="58">
        <f t="shared" si="40"/>
        <v>6.999999999999923E-4</v>
      </c>
    </row>
    <row r="91" spans="1:22">
      <c r="A91" s="135">
        <v>80</v>
      </c>
      <c r="B91" s="133" t="s">
        <v>137</v>
      </c>
      <c r="C91" s="134" t="s">
        <v>43</v>
      </c>
      <c r="D91" s="29">
        <v>577252892.40999997</v>
      </c>
      <c r="E91" s="30">
        <f t="shared" si="41"/>
        <v>2.9104972900869898E-3</v>
      </c>
      <c r="F91" s="60">
        <v>107.94289000000001</v>
      </c>
      <c r="G91" s="60">
        <v>107.94289000000001</v>
      </c>
      <c r="H91" s="46">
        <v>59</v>
      </c>
      <c r="I91" s="53">
        <v>0.14960000000000001</v>
      </c>
      <c r="J91" s="53">
        <v>0.1731</v>
      </c>
      <c r="K91" s="29">
        <v>578874988.45000005</v>
      </c>
      <c r="L91" s="30">
        <f t="shared" si="35"/>
        <v>2.884824031539232E-3</v>
      </c>
      <c r="M91" s="60">
        <v>108.24621999999999</v>
      </c>
      <c r="N91" s="60">
        <v>108.24621999999999</v>
      </c>
      <c r="O91" s="46">
        <v>59</v>
      </c>
      <c r="P91" s="53">
        <v>0.14960000000000001</v>
      </c>
      <c r="Q91" s="53">
        <v>0.17319999999999999</v>
      </c>
      <c r="R91" s="56">
        <f t="shared" si="36"/>
        <v>2.8100266994382944E-3</v>
      </c>
      <c r="S91" s="56">
        <f t="shared" si="37"/>
        <v>2.8100970800391607E-3</v>
      </c>
      <c r="T91" s="56">
        <f t="shared" si="38"/>
        <v>0</v>
      </c>
      <c r="U91" s="57">
        <f t="shared" si="39"/>
        <v>0</v>
      </c>
      <c r="V91" s="58">
        <f t="shared" si="40"/>
        <v>9.9999999999988987E-5</v>
      </c>
    </row>
    <row r="92" spans="1:22">
      <c r="A92" s="135">
        <v>81</v>
      </c>
      <c r="B92" s="134" t="s">
        <v>138</v>
      </c>
      <c r="C92" s="142" t="s">
        <v>47</v>
      </c>
      <c r="D92" s="29">
        <v>1438767155.0799999</v>
      </c>
      <c r="E92" s="30">
        <f t="shared" si="41"/>
        <v>7.2542346014825539E-3</v>
      </c>
      <c r="F92" s="60">
        <v>100.04</v>
      </c>
      <c r="G92" s="60">
        <v>100.04</v>
      </c>
      <c r="H92" s="32">
        <v>289</v>
      </c>
      <c r="I92" s="50">
        <v>1.9E-3</v>
      </c>
      <c r="J92" s="50">
        <v>2.4500000000000001E-2</v>
      </c>
      <c r="K92" s="29">
        <v>1441824525.6900001</v>
      </c>
      <c r="L92" s="30">
        <f t="shared" si="35"/>
        <v>7.1853338353941223E-3</v>
      </c>
      <c r="M92" s="60">
        <v>99.9</v>
      </c>
      <c r="N92" s="60">
        <v>99.9</v>
      </c>
      <c r="O92" s="32">
        <v>289</v>
      </c>
      <c r="P92" s="50">
        <v>1.4E-3</v>
      </c>
      <c r="Q92" s="50">
        <v>2.6599999999999999E-2</v>
      </c>
      <c r="R92" s="56">
        <f t="shared" si="36"/>
        <v>2.1249933314123606E-3</v>
      </c>
      <c r="S92" s="56">
        <f t="shared" si="37"/>
        <v>-1.3994402239104415E-3</v>
      </c>
      <c r="T92" s="56">
        <f t="shared" si="38"/>
        <v>0</v>
      </c>
      <c r="U92" s="57">
        <f t="shared" si="39"/>
        <v>-5.0000000000000001E-4</v>
      </c>
      <c r="V92" s="58">
        <f t="shared" si="40"/>
        <v>2.0999999999999977E-3</v>
      </c>
    </row>
    <row r="93" spans="1:22">
      <c r="A93" s="135">
        <v>82</v>
      </c>
      <c r="B93" s="133" t="s">
        <v>139</v>
      </c>
      <c r="C93" s="134" t="s">
        <v>19</v>
      </c>
      <c r="D93" s="29">
        <v>1404573050.1199999</v>
      </c>
      <c r="E93" s="30">
        <f t="shared" si="41"/>
        <v>7.0818286228697281E-3</v>
      </c>
      <c r="F93" s="60">
        <v>353.88170000000002</v>
      </c>
      <c r="G93" s="60">
        <v>353.88170000000002</v>
      </c>
      <c r="H93" s="32">
        <v>196</v>
      </c>
      <c r="I93" s="50">
        <v>2.5999999999999999E-3</v>
      </c>
      <c r="J93" s="50">
        <v>3.1899999999999998E-2</v>
      </c>
      <c r="K93" s="29">
        <v>1408205985.1600001</v>
      </c>
      <c r="L93" s="30">
        <f t="shared" si="35"/>
        <v>7.0177958080803087E-3</v>
      </c>
      <c r="M93" s="60">
        <v>354.79700000000003</v>
      </c>
      <c r="N93" s="60">
        <v>354.79700000000003</v>
      </c>
      <c r="O93" s="32">
        <v>196</v>
      </c>
      <c r="P93" s="50">
        <v>2.5999999999999999E-3</v>
      </c>
      <c r="Q93" s="50">
        <v>3.4500000000000003E-2</v>
      </c>
      <c r="R93" s="56">
        <f t="shared" si="36"/>
        <v>2.5865048739827524E-3</v>
      </c>
      <c r="S93" s="56">
        <f t="shared" si="37"/>
        <v>2.5864575647737702E-3</v>
      </c>
      <c r="T93" s="56">
        <f t="shared" si="38"/>
        <v>0</v>
      </c>
      <c r="U93" s="57">
        <f t="shared" si="39"/>
        <v>0</v>
      </c>
      <c r="V93" s="58">
        <f t="shared" si="40"/>
        <v>2.6000000000000051E-3</v>
      </c>
    </row>
    <row r="94" spans="1:22">
      <c r="A94" s="135">
        <v>83</v>
      </c>
      <c r="B94" s="133" t="s">
        <v>140</v>
      </c>
      <c r="C94" s="134" t="s">
        <v>89</v>
      </c>
      <c r="D94" s="44">
        <v>1521860847.6700001</v>
      </c>
      <c r="E94" s="30">
        <f>(D94/$K$68)</f>
        <v>5.9537678966934662E-4</v>
      </c>
      <c r="F94" s="60">
        <v>104.18</v>
      </c>
      <c r="G94" s="60">
        <v>104.18</v>
      </c>
      <c r="H94" s="32">
        <v>389</v>
      </c>
      <c r="I94" s="50">
        <v>2.8E-3</v>
      </c>
      <c r="J94" s="50">
        <v>0.14269999999999999</v>
      </c>
      <c r="K94" s="44">
        <v>1525717876</v>
      </c>
      <c r="L94" s="30">
        <f>(K94/$K$68)</f>
        <v>5.9688572207160597E-4</v>
      </c>
      <c r="M94" s="60">
        <v>101.52</v>
      </c>
      <c r="N94" s="60">
        <v>101.52</v>
      </c>
      <c r="O94" s="32">
        <v>389</v>
      </c>
      <c r="P94" s="50">
        <v>2.8999999999999998E-3</v>
      </c>
      <c r="Q94" s="50">
        <v>0.14360000000000001</v>
      </c>
      <c r="R94" s="56">
        <f t="shared" si="36"/>
        <v>2.5344159000509885E-3</v>
      </c>
      <c r="S94" s="56">
        <f t="shared" si="37"/>
        <v>-2.553273181032838E-2</v>
      </c>
      <c r="T94" s="56">
        <f t="shared" si="38"/>
        <v>0</v>
      </c>
      <c r="U94" s="57">
        <f t="shared" si="39"/>
        <v>9.9999999999999829E-5</v>
      </c>
      <c r="V94" s="58">
        <f t="shared" si="40"/>
        <v>9.000000000000119E-4</v>
      </c>
    </row>
    <row r="95" spans="1:22">
      <c r="A95" s="135">
        <v>84</v>
      </c>
      <c r="B95" s="133" t="s">
        <v>141</v>
      </c>
      <c r="C95" s="134" t="s">
        <v>45</v>
      </c>
      <c r="D95" s="29">
        <v>60004722.100000001</v>
      </c>
      <c r="E95" s="30">
        <f t="shared" ref="E95:E107" si="49">(D95/$D$108)</f>
        <v>3.0254258291430173E-4</v>
      </c>
      <c r="F95" s="29">
        <v>12.47</v>
      </c>
      <c r="G95" s="29">
        <v>12.85</v>
      </c>
      <c r="H95" s="32">
        <v>58</v>
      </c>
      <c r="I95" s="50">
        <v>-3.0000000000000001E-3</v>
      </c>
      <c r="J95" s="50">
        <v>2.2700000000000001E-2</v>
      </c>
      <c r="K95" s="29">
        <v>60133433.869999997</v>
      </c>
      <c r="L95" s="30">
        <f t="shared" ref="L95:L107" si="50">(K95/$K$108)</f>
        <v>2.9967502239412259E-4</v>
      </c>
      <c r="M95" s="29">
        <v>12.5</v>
      </c>
      <c r="N95" s="29">
        <v>12.89</v>
      </c>
      <c r="O95" s="32">
        <v>58</v>
      </c>
      <c r="P95" s="50">
        <v>4.3E-3</v>
      </c>
      <c r="Q95" s="50">
        <v>1.9699999999999999E-2</v>
      </c>
      <c r="R95" s="56">
        <f t="shared" si="36"/>
        <v>2.1450273494391507E-3</v>
      </c>
      <c r="S95" s="56">
        <f t="shared" si="37"/>
        <v>3.1128404669261418E-3</v>
      </c>
      <c r="T95" s="56">
        <f t="shared" si="38"/>
        <v>0</v>
      </c>
      <c r="U95" s="57">
        <f t="shared" si="39"/>
        <v>7.3000000000000001E-3</v>
      </c>
      <c r="V95" s="58">
        <f t="shared" si="40"/>
        <v>-3.0000000000000027E-3</v>
      </c>
    </row>
    <row r="96" spans="1:22">
      <c r="A96" s="135">
        <v>85</v>
      </c>
      <c r="B96" s="133" t="s">
        <v>142</v>
      </c>
      <c r="C96" s="134" t="s">
        <v>143</v>
      </c>
      <c r="D96" s="29">
        <v>509261397.81</v>
      </c>
      <c r="E96" s="30">
        <f t="shared" si="49"/>
        <v>2.5676855633997701E-3</v>
      </c>
      <c r="F96" s="29">
        <v>136.84</v>
      </c>
      <c r="G96" s="29">
        <v>136.84</v>
      </c>
      <c r="H96" s="32">
        <v>131</v>
      </c>
      <c r="I96" s="50">
        <v>0.2122</v>
      </c>
      <c r="J96" s="50">
        <v>0.1978</v>
      </c>
      <c r="K96" s="29">
        <v>510933201.04000002</v>
      </c>
      <c r="L96" s="30">
        <f t="shared" si="50"/>
        <v>2.5462360721753129E-3</v>
      </c>
      <c r="M96" s="29">
        <v>137.31</v>
      </c>
      <c r="N96" s="29">
        <v>137.31</v>
      </c>
      <c r="O96" s="32">
        <v>129</v>
      </c>
      <c r="P96" s="50">
        <v>0.19359999999999999</v>
      </c>
      <c r="Q96" s="50">
        <v>0.19739999999999999</v>
      </c>
      <c r="R96" s="56">
        <f t="shared" si="36"/>
        <v>3.2827998296932593E-3</v>
      </c>
      <c r="S96" s="56">
        <f t="shared" si="37"/>
        <v>3.434668225665002E-3</v>
      </c>
      <c r="T96" s="56">
        <f t="shared" si="38"/>
        <v>-1.5267175572519083E-2</v>
      </c>
      <c r="U96" s="57">
        <f t="shared" si="39"/>
        <v>-1.8600000000000005E-2</v>
      </c>
      <c r="V96" s="58">
        <f t="shared" si="40"/>
        <v>-4.0000000000001146E-4</v>
      </c>
    </row>
    <row r="97" spans="1:28">
      <c r="A97" s="135">
        <v>86</v>
      </c>
      <c r="B97" s="133" t="s">
        <v>144</v>
      </c>
      <c r="C97" s="134" t="s">
        <v>145</v>
      </c>
      <c r="D97" s="29">
        <v>8251624285.4695091</v>
      </c>
      <c r="E97" s="30">
        <f t="shared" si="49"/>
        <v>4.1604521064256786E-2</v>
      </c>
      <c r="F97" s="29">
        <v>1.0389202828155313</v>
      </c>
      <c r="G97" s="29">
        <v>1.0389202828155313</v>
      </c>
      <c r="H97" s="32">
        <v>4662</v>
      </c>
      <c r="I97" s="50">
        <v>0.1905</v>
      </c>
      <c r="J97" s="50">
        <v>0.1905</v>
      </c>
      <c r="K97" s="29">
        <v>8544732794.6516495</v>
      </c>
      <c r="L97" s="30">
        <f t="shared" si="50"/>
        <v>4.2582683655232052E-2</v>
      </c>
      <c r="M97" s="29">
        <v>1.05</v>
      </c>
      <c r="N97" s="29">
        <v>1.05</v>
      </c>
      <c r="O97" s="32">
        <v>4673</v>
      </c>
      <c r="P97" s="50">
        <v>0.19009999999999999</v>
      </c>
      <c r="Q97" s="50">
        <v>0.19009999999999999</v>
      </c>
      <c r="R97" s="56">
        <f t="shared" si="36"/>
        <v>3.5521310597997346E-2</v>
      </c>
      <c r="S97" s="56">
        <f t="shared" si="37"/>
        <v>1.0664646140550954E-2</v>
      </c>
      <c r="T97" s="56">
        <f t="shared" si="38"/>
        <v>2.3595023595023596E-3</v>
      </c>
      <c r="U97" s="57">
        <f t="shared" si="39"/>
        <v>-4.0000000000001146E-4</v>
      </c>
      <c r="V97" s="58">
        <f t="shared" si="40"/>
        <v>-4.0000000000001146E-4</v>
      </c>
    </row>
    <row r="98" spans="1:28" ht="14.25" customHeight="1">
      <c r="A98" s="135">
        <v>87</v>
      </c>
      <c r="B98" s="133" t="s">
        <v>146</v>
      </c>
      <c r="C98" s="134" t="s">
        <v>49</v>
      </c>
      <c r="D98" s="29">
        <v>4595195017.0200005</v>
      </c>
      <c r="E98" s="30">
        <f t="shared" si="49"/>
        <v>2.316887939464617E-2</v>
      </c>
      <c r="F98" s="29">
        <v>5171.0200000000004</v>
      </c>
      <c r="G98" s="29">
        <v>5171.0200000000004</v>
      </c>
      <c r="H98" s="32">
        <v>257</v>
      </c>
      <c r="I98" s="50">
        <v>1E-4</v>
      </c>
      <c r="J98" s="50">
        <v>6.9999999999999999E-4</v>
      </c>
      <c r="K98" s="29">
        <v>6536556868.54</v>
      </c>
      <c r="L98" s="30">
        <f t="shared" si="50"/>
        <v>3.2574937100630606E-2</v>
      </c>
      <c r="M98" s="29">
        <v>5171.41</v>
      </c>
      <c r="N98" s="29">
        <v>5171.41</v>
      </c>
      <c r="O98" s="32">
        <v>255</v>
      </c>
      <c r="P98" s="50">
        <v>1E-4</v>
      </c>
      <c r="Q98" s="50">
        <v>8.0000000000000004E-4</v>
      </c>
      <c r="R98" s="56">
        <f t="shared" si="36"/>
        <v>0.42247648779419578</v>
      </c>
      <c r="S98" s="56">
        <f t="shared" si="37"/>
        <v>7.5420323262996063E-5</v>
      </c>
      <c r="T98" s="56">
        <f t="shared" si="38"/>
        <v>-7.7821011673151752E-3</v>
      </c>
      <c r="U98" s="57">
        <f t="shared" si="39"/>
        <v>0</v>
      </c>
      <c r="V98" s="58">
        <f t="shared" si="40"/>
        <v>1.0000000000000005E-4</v>
      </c>
    </row>
    <row r="99" spans="1:28" ht="13.5" customHeight="1">
      <c r="A99" s="135">
        <v>88</v>
      </c>
      <c r="B99" s="133" t="s">
        <v>147</v>
      </c>
      <c r="C99" s="134" t="s">
        <v>49</v>
      </c>
      <c r="D99" s="29">
        <v>20130745013.27</v>
      </c>
      <c r="E99" s="30">
        <f t="shared" si="49"/>
        <v>0.10149880507994062</v>
      </c>
      <c r="F99" s="60">
        <v>259.02</v>
      </c>
      <c r="G99" s="60">
        <v>259.02</v>
      </c>
      <c r="H99" s="32">
        <v>6253</v>
      </c>
      <c r="I99" s="50">
        <v>0</v>
      </c>
      <c r="J99" s="50">
        <v>6.9999999999999999E-4</v>
      </c>
      <c r="K99" s="29">
        <v>20093990085.240002</v>
      </c>
      <c r="L99" s="30">
        <f t="shared" si="50"/>
        <v>0.10013841786916025</v>
      </c>
      <c r="M99" s="60">
        <v>259.04000000000002</v>
      </c>
      <c r="N99" s="60">
        <v>259.04000000000002</v>
      </c>
      <c r="O99" s="32">
        <v>6248</v>
      </c>
      <c r="P99" s="50">
        <v>1E-4</v>
      </c>
      <c r="Q99" s="50">
        <v>6.9999999999999999E-4</v>
      </c>
      <c r="R99" s="56">
        <f t="shared" si="36"/>
        <v>-1.8258106198141336E-3</v>
      </c>
      <c r="S99" s="56">
        <f t="shared" si="37"/>
        <v>7.7214114740323738E-5</v>
      </c>
      <c r="T99" s="56">
        <f t="shared" si="38"/>
        <v>-7.9961618423156887E-4</v>
      </c>
      <c r="U99" s="57">
        <f t="shared" si="39"/>
        <v>1E-4</v>
      </c>
      <c r="V99" s="58">
        <f t="shared" si="40"/>
        <v>0</v>
      </c>
    </row>
    <row r="100" spans="1:28" ht="13.5" customHeight="1">
      <c r="A100" s="135">
        <v>89</v>
      </c>
      <c r="B100" s="133" t="s">
        <v>148</v>
      </c>
      <c r="C100" s="134" t="s">
        <v>49</v>
      </c>
      <c r="D100" s="29">
        <v>444742195.31</v>
      </c>
      <c r="E100" s="30">
        <f t="shared" si="49"/>
        <v>2.242381062540814E-3</v>
      </c>
      <c r="F100" s="35">
        <v>7345.34</v>
      </c>
      <c r="G100" s="35">
        <v>7377.33</v>
      </c>
      <c r="H100" s="32">
        <v>15</v>
      </c>
      <c r="I100" s="50">
        <v>6.7999999999999996E-3</v>
      </c>
      <c r="J100" s="50">
        <v>8.1199999999999994E-2</v>
      </c>
      <c r="K100" s="29">
        <v>445012501.16000003</v>
      </c>
      <c r="L100" s="30">
        <f t="shared" si="50"/>
        <v>2.2177202043557188E-3</v>
      </c>
      <c r="M100" s="35">
        <v>7350.01</v>
      </c>
      <c r="N100" s="35">
        <v>7381.68</v>
      </c>
      <c r="O100" s="32">
        <v>15</v>
      </c>
      <c r="P100" s="50">
        <v>5.9999999999999995E-4</v>
      </c>
      <c r="Q100" s="50">
        <v>8.1900000000000001E-2</v>
      </c>
      <c r="R100" s="56">
        <f t="shared" si="36"/>
        <v>6.0778098604206358E-4</v>
      </c>
      <c r="S100" s="56">
        <f t="shared" si="37"/>
        <v>5.8964422087670794E-4</v>
      </c>
      <c r="T100" s="56">
        <f t="shared" si="38"/>
        <v>0</v>
      </c>
      <c r="U100" s="57">
        <f t="shared" si="39"/>
        <v>-6.1999999999999998E-3</v>
      </c>
      <c r="V100" s="58">
        <f t="shared" si="40"/>
        <v>7.0000000000000617E-4</v>
      </c>
    </row>
    <row r="101" spans="1:28" ht="15" customHeight="1">
      <c r="A101" s="135">
        <v>90</v>
      </c>
      <c r="B101" s="133" t="s">
        <v>149</v>
      </c>
      <c r="C101" s="134" t="s">
        <v>49</v>
      </c>
      <c r="D101" s="29">
        <v>6125009532.6300001</v>
      </c>
      <c r="E101" s="30">
        <f t="shared" si="49"/>
        <v>3.0882172927796967E-2</v>
      </c>
      <c r="F101" s="60">
        <v>143.38</v>
      </c>
      <c r="G101" s="60">
        <v>143.38</v>
      </c>
      <c r="H101" s="32">
        <v>4529</v>
      </c>
      <c r="I101" s="50">
        <v>3.0999999999999999E-3</v>
      </c>
      <c r="J101" s="50">
        <v>3.9899999999999998E-2</v>
      </c>
      <c r="K101" s="29">
        <v>6150256635.8500004</v>
      </c>
      <c r="L101" s="30">
        <f t="shared" si="50"/>
        <v>3.0649809539605291E-2</v>
      </c>
      <c r="M101" s="60">
        <v>143.85</v>
      </c>
      <c r="N101" s="60">
        <v>143.85</v>
      </c>
      <c r="O101" s="32">
        <v>4531</v>
      </c>
      <c r="P101" s="50">
        <v>3.3E-3</v>
      </c>
      <c r="Q101" s="50">
        <v>4.3299999999999998E-2</v>
      </c>
      <c r="R101" s="56">
        <f t="shared" si="36"/>
        <v>4.1219696207002452E-3</v>
      </c>
      <c r="S101" s="56">
        <f t="shared" si="37"/>
        <v>3.278002510810426E-3</v>
      </c>
      <c r="T101" s="56">
        <f t="shared" si="38"/>
        <v>4.4159858688452196E-4</v>
      </c>
      <c r="U101" s="57">
        <f t="shared" si="39"/>
        <v>2.0000000000000009E-4</v>
      </c>
      <c r="V101" s="58">
        <f t="shared" si="40"/>
        <v>3.4000000000000002E-3</v>
      </c>
    </row>
    <row r="102" spans="1:28" ht="15" customHeight="1">
      <c r="A102" s="135">
        <v>91</v>
      </c>
      <c r="B102" s="133" t="s">
        <v>150</v>
      </c>
      <c r="C102" s="134" t="s">
        <v>49</v>
      </c>
      <c r="D102" s="29">
        <v>7459896535.3699999</v>
      </c>
      <c r="E102" s="30">
        <f t="shared" si="49"/>
        <v>3.7612645923482922E-2</v>
      </c>
      <c r="F102" s="60">
        <v>359.48</v>
      </c>
      <c r="G102" s="60">
        <v>360.12</v>
      </c>
      <c r="H102" s="32">
        <v>10173</v>
      </c>
      <c r="I102" s="50">
        <v>6.8999999999999999E-3</v>
      </c>
      <c r="J102" s="50">
        <v>1.66E-2</v>
      </c>
      <c r="K102" s="29">
        <v>7444926504.25</v>
      </c>
      <c r="L102" s="30">
        <f t="shared" si="50"/>
        <v>3.7101798006529102E-2</v>
      </c>
      <c r="M102" s="60">
        <v>360.67</v>
      </c>
      <c r="N102" s="60">
        <v>361.32</v>
      </c>
      <c r="O102" s="32">
        <v>10177</v>
      </c>
      <c r="P102" s="50">
        <v>3.3E-3</v>
      </c>
      <c r="Q102" s="50">
        <v>0.02</v>
      </c>
      <c r="R102" s="56">
        <f t="shared" si="36"/>
        <v>-2.0067344163584161E-3</v>
      </c>
      <c r="S102" s="56">
        <f t="shared" si="37"/>
        <v>3.3322225924691455E-3</v>
      </c>
      <c r="T102" s="56">
        <f t="shared" si="38"/>
        <v>3.9319768013368719E-4</v>
      </c>
      <c r="U102" s="57">
        <f t="shared" si="39"/>
        <v>-3.5999999999999999E-3</v>
      </c>
      <c r="V102" s="58">
        <f t="shared" si="40"/>
        <v>3.4000000000000002E-3</v>
      </c>
    </row>
    <row r="103" spans="1:28">
      <c r="A103" s="135">
        <v>92</v>
      </c>
      <c r="B103" s="133" t="s">
        <v>151</v>
      </c>
      <c r="C103" s="134" t="s">
        <v>52</v>
      </c>
      <c r="D103" s="29">
        <v>88367848004.179993</v>
      </c>
      <c r="E103" s="30">
        <f t="shared" si="49"/>
        <v>0.4455488842562782</v>
      </c>
      <c r="F103" s="29">
        <v>2.0011999999999999</v>
      </c>
      <c r="G103" s="29">
        <v>2.0011999999999999</v>
      </c>
      <c r="H103" s="32">
        <v>6440</v>
      </c>
      <c r="I103" s="50">
        <v>8.5599999999999996E-2</v>
      </c>
      <c r="J103" s="50">
        <v>7.9299999999999995E-2</v>
      </c>
      <c r="K103" s="29">
        <v>87930894021.550003</v>
      </c>
      <c r="L103" s="30">
        <f t="shared" si="50"/>
        <v>0.43820369034653328</v>
      </c>
      <c r="M103" s="29">
        <v>2.0026000000000002</v>
      </c>
      <c r="N103" s="29">
        <v>2.0026000000000002</v>
      </c>
      <c r="O103" s="32">
        <v>6441</v>
      </c>
      <c r="P103" s="50">
        <v>8.6900000000000005E-2</v>
      </c>
      <c r="Q103" s="50">
        <v>7.9600000000000004E-2</v>
      </c>
      <c r="R103" s="56">
        <f t="shared" si="36"/>
        <v>-4.9447168002701696E-3</v>
      </c>
      <c r="S103" s="56">
        <f t="shared" si="37"/>
        <v>6.9958025184903554E-4</v>
      </c>
      <c r="T103" s="56">
        <f t="shared" si="38"/>
        <v>1.5527950310559007E-4</v>
      </c>
      <c r="U103" s="57">
        <f t="shared" si="39"/>
        <v>1.3000000000000095E-3</v>
      </c>
      <c r="V103" s="58">
        <f t="shared" si="40"/>
        <v>3.0000000000000859E-4</v>
      </c>
    </row>
    <row r="104" spans="1:28">
      <c r="A104" s="135">
        <v>93</v>
      </c>
      <c r="B104" s="133" t="s">
        <v>152</v>
      </c>
      <c r="C104" s="134" t="s">
        <v>52</v>
      </c>
      <c r="D104" s="29">
        <v>18525741205.290001</v>
      </c>
      <c r="E104" s="30">
        <f t="shared" si="49"/>
        <v>9.3406408670799371E-2</v>
      </c>
      <c r="F104" s="29">
        <v>114.2278</v>
      </c>
      <c r="G104" s="29">
        <v>114.2278</v>
      </c>
      <c r="H104" s="32">
        <v>450</v>
      </c>
      <c r="I104" s="50">
        <v>0.2077</v>
      </c>
      <c r="J104" s="50">
        <v>0.22009999999999999</v>
      </c>
      <c r="K104" s="29">
        <v>18992974265.439999</v>
      </c>
      <c r="L104" s="30">
        <f t="shared" si="50"/>
        <v>9.4651504529600305E-2</v>
      </c>
      <c r="M104" s="29">
        <v>114.42230000000001</v>
      </c>
      <c r="N104" s="29">
        <v>114.42230000000001</v>
      </c>
      <c r="O104" s="32">
        <v>450</v>
      </c>
      <c r="P104" s="50">
        <v>0.2172</v>
      </c>
      <c r="Q104" s="50">
        <v>0.2205</v>
      </c>
      <c r="R104" s="56">
        <f t="shared" ref="R104:R106" si="51">((K104-D104)/D104)</f>
        <v>2.5220748523496588E-2</v>
      </c>
      <c r="S104" s="56">
        <f t="shared" ref="S104:S106" si="52">((N104-G104)/G104)</f>
        <v>1.702737862411821E-3</v>
      </c>
      <c r="T104" s="56">
        <f t="shared" ref="T104:T106" si="53">((O104-H104)/H104)</f>
        <v>0</v>
      </c>
      <c r="U104" s="57">
        <f t="shared" ref="U104:U106" si="54">P104-I104</f>
        <v>9.5000000000000084E-3</v>
      </c>
      <c r="V104" s="58">
        <f t="shared" ref="V104:V106" si="55">Q104-J104</f>
        <v>4.0000000000001146E-4</v>
      </c>
    </row>
    <row r="105" spans="1:28">
      <c r="A105" s="135">
        <v>94</v>
      </c>
      <c r="B105" s="133" t="s">
        <v>153</v>
      </c>
      <c r="C105" s="133" t="s">
        <v>154</v>
      </c>
      <c r="D105" s="29">
        <v>104883530.09999999</v>
      </c>
      <c r="E105" s="30">
        <f t="shared" si="49"/>
        <v>5.2882061596322113E-4</v>
      </c>
      <c r="F105" s="29">
        <v>113.39572904950624</v>
      </c>
      <c r="G105" s="29">
        <v>113.39572904950624</v>
      </c>
      <c r="H105" s="62">
        <v>74</v>
      </c>
      <c r="I105" s="63">
        <v>2.3207419768058605E-3</v>
      </c>
      <c r="J105" s="63">
        <v>2.7103595084084775E-2</v>
      </c>
      <c r="K105" s="29">
        <v>103757475.89</v>
      </c>
      <c r="L105" s="64">
        <f t="shared" si="50"/>
        <v>5.1707547548528817E-4</v>
      </c>
      <c r="M105" s="29">
        <v>113.28501158399085</v>
      </c>
      <c r="N105" s="29">
        <v>113.28501158399085</v>
      </c>
      <c r="O105" s="62">
        <v>72</v>
      </c>
      <c r="P105" s="63">
        <v>-9.7638126623848115E-4</v>
      </c>
      <c r="Q105" s="63">
        <v>2.6100750375358528E-2</v>
      </c>
      <c r="R105" s="56">
        <f t="shared" si="51"/>
        <v>-1.0736234839982694E-2</v>
      </c>
      <c r="S105" s="56">
        <f t="shared" si="52"/>
        <v>-9.7638126623848115E-4</v>
      </c>
      <c r="T105" s="56">
        <f t="shared" si="53"/>
        <v>-2.7027027027027029E-2</v>
      </c>
      <c r="U105" s="57">
        <f t="shared" si="54"/>
        <v>-3.2971232430443415E-3</v>
      </c>
      <c r="V105" s="58">
        <f t="shared" si="55"/>
        <v>-1.0028447087262471E-3</v>
      </c>
    </row>
    <row r="106" spans="1:28">
      <c r="A106" s="135">
        <v>95</v>
      </c>
      <c r="B106" s="133" t="s">
        <v>155</v>
      </c>
      <c r="C106" s="134" t="s">
        <v>110</v>
      </c>
      <c r="D106" s="29">
        <v>283241063.31</v>
      </c>
      <c r="E106" s="30">
        <f t="shared" si="49"/>
        <v>1.4280956545118415E-3</v>
      </c>
      <c r="F106" s="29">
        <v>1.1796</v>
      </c>
      <c r="G106" s="29">
        <v>1.1796</v>
      </c>
      <c r="H106" s="32">
        <v>464</v>
      </c>
      <c r="I106" s="50">
        <v>3.1689999999999999E-3</v>
      </c>
      <c r="J106" s="50">
        <v>9.5696000000000003E-2</v>
      </c>
      <c r="K106" s="29">
        <v>284121594.44999999</v>
      </c>
      <c r="L106" s="30">
        <f t="shared" si="50"/>
        <v>1.4159202244050655E-3</v>
      </c>
      <c r="M106" s="29">
        <v>1.1835</v>
      </c>
      <c r="N106" s="29">
        <v>1.1835</v>
      </c>
      <c r="O106" s="32">
        <v>468</v>
      </c>
      <c r="P106" s="50">
        <v>5.8459999999999996E-3</v>
      </c>
      <c r="Q106" s="50">
        <v>9.9342E-2</v>
      </c>
      <c r="R106" s="56">
        <f t="shared" si="51"/>
        <v>3.1087693631352709E-3</v>
      </c>
      <c r="S106" s="56">
        <f t="shared" si="52"/>
        <v>3.3062054933876016E-3</v>
      </c>
      <c r="T106" s="56">
        <f t="shared" si="53"/>
        <v>8.6206896551724137E-3</v>
      </c>
      <c r="U106" s="57">
        <f t="shared" si="54"/>
        <v>2.6769999999999997E-3</v>
      </c>
      <c r="V106" s="58">
        <f t="shared" si="55"/>
        <v>3.6459999999999965E-3</v>
      </c>
    </row>
    <row r="107" spans="1:28">
      <c r="A107" s="135">
        <v>96</v>
      </c>
      <c r="B107" s="133" t="s">
        <v>156</v>
      </c>
      <c r="C107" s="134" t="s">
        <v>112</v>
      </c>
      <c r="D107" s="29">
        <v>2033482721.8099999</v>
      </c>
      <c r="E107" s="30">
        <f t="shared" si="49"/>
        <v>1.0252778338723477E-2</v>
      </c>
      <c r="F107" s="60">
        <v>28.819800000000001</v>
      </c>
      <c r="G107" s="60">
        <v>28.819800000000001</v>
      </c>
      <c r="H107" s="32">
        <v>1300</v>
      </c>
      <c r="I107" s="50">
        <v>0</v>
      </c>
      <c r="J107" s="50">
        <v>0.1149</v>
      </c>
      <c r="K107" s="29">
        <v>1979620519.1300001</v>
      </c>
      <c r="L107" s="30">
        <f t="shared" si="50"/>
        <v>9.8654406579317365E-3</v>
      </c>
      <c r="M107" s="60">
        <v>28.377199999999998</v>
      </c>
      <c r="N107" s="60">
        <v>28.377199999999998</v>
      </c>
      <c r="O107" s="32">
        <v>1298</v>
      </c>
      <c r="P107" s="50">
        <v>0</v>
      </c>
      <c r="Q107" s="50">
        <v>0.11559999999999999</v>
      </c>
      <c r="R107" s="56">
        <f t="shared" si="36"/>
        <v>-2.6487661833712147E-2</v>
      </c>
      <c r="S107" s="56">
        <f t="shared" si="37"/>
        <v>-1.5357497276178264E-2</v>
      </c>
      <c r="T107" s="56">
        <f t="shared" si="38"/>
        <v>-1.5384615384615385E-3</v>
      </c>
      <c r="U107" s="57">
        <f t="shared" si="39"/>
        <v>0</v>
      </c>
      <c r="V107" s="58">
        <f t="shared" si="40"/>
        <v>6.999999999999923E-4</v>
      </c>
    </row>
    <row r="108" spans="1:28">
      <c r="A108" s="36"/>
      <c r="B108" s="37"/>
      <c r="C108" s="38" t="s">
        <v>53</v>
      </c>
      <c r="D108" s="48">
        <f>SUM(D71:D107)</f>
        <v>198334798103.43573</v>
      </c>
      <c r="E108" s="40">
        <f>(D108/$D$217)</f>
        <v>4.1462678137234608E-2</v>
      </c>
      <c r="F108" s="41"/>
      <c r="G108" s="45"/>
      <c r="H108" s="43">
        <f>SUM(H71:H107)</f>
        <v>50795</v>
      </c>
      <c r="I108" s="53"/>
      <c r="J108" s="53"/>
      <c r="K108" s="48">
        <f>SUM(K71:K107)</f>
        <v>200662148582.12146</v>
      </c>
      <c r="L108" s="40">
        <f>(K108/$K$217)</f>
        <v>4.0776881175852424E-2</v>
      </c>
      <c r="M108" s="41"/>
      <c r="N108" s="45"/>
      <c r="O108" s="43">
        <f>SUM(O71:O107)</f>
        <v>50546</v>
      </c>
      <c r="P108" s="53"/>
      <c r="Q108" s="53"/>
      <c r="R108" s="56">
        <f t="shared" si="36"/>
        <v>1.1734453565087294E-2</v>
      </c>
      <c r="S108" s="56" t="e">
        <f t="shared" si="37"/>
        <v>#DIV/0!</v>
      </c>
      <c r="T108" s="56">
        <f t="shared" si="38"/>
        <v>-4.9020572891032583E-3</v>
      </c>
      <c r="U108" s="57">
        <f t="shared" si="39"/>
        <v>0</v>
      </c>
      <c r="V108" s="58">
        <f t="shared" si="40"/>
        <v>0</v>
      </c>
    </row>
    <row r="109" spans="1:28" ht="3.75" customHeight="1">
      <c r="A109" s="36"/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</row>
    <row r="110" spans="1:28" ht="15" customHeight="1">
      <c r="A110" s="152" t="s">
        <v>157</v>
      </c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</row>
    <row r="111" spans="1:28">
      <c r="A111" s="151" t="s">
        <v>158</v>
      </c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Z111" s="65"/>
      <c r="AB111" s="68"/>
    </row>
    <row r="112" spans="1:28" ht="16.5" customHeight="1">
      <c r="A112" s="135">
        <v>97</v>
      </c>
      <c r="B112" s="133" t="s">
        <v>159</v>
      </c>
      <c r="C112" s="134" t="s">
        <v>19</v>
      </c>
      <c r="D112" s="29">
        <f>1924112.45*1536.8158</f>
        <v>2957006414.1367102</v>
      </c>
      <c r="E112" s="30">
        <f t="shared" ref="E112:E117" si="56">(D112/$D$146)</f>
        <v>1.6027457368107691E-3</v>
      </c>
      <c r="F112" s="29">
        <f>111.0789*1536.8158</f>
        <v>170707.80856662002</v>
      </c>
      <c r="G112" s="29">
        <f>111.0789*1536.8158</f>
        <v>170707.80856662002</v>
      </c>
      <c r="H112" s="32">
        <v>298</v>
      </c>
      <c r="I112" s="50">
        <v>-6.4999999999999997E-3</v>
      </c>
      <c r="J112" s="50">
        <v>9.1000000000000004E-3</v>
      </c>
      <c r="K112" s="29">
        <f>1940709.46*1567.0215</f>
        <v>3041133449.07339</v>
      </c>
      <c r="L112" s="30">
        <f t="shared" ref="L112:L128" si="57">(K112/$K$146)</f>
        <v>1.5960298104128058E-3</v>
      </c>
      <c r="M112" s="29">
        <f>112.037*1567.0215</f>
        <v>175564.38779550002</v>
      </c>
      <c r="N112" s="29">
        <f>112.037*1567.0215</f>
        <v>175564.38779550002</v>
      </c>
      <c r="O112" s="32">
        <v>298</v>
      </c>
      <c r="P112" s="50">
        <v>8.6E-3</v>
      </c>
      <c r="Q112" s="50">
        <v>1.7600000000000001E-2</v>
      </c>
      <c r="R112" s="57">
        <f>((K112-D112)/D112)</f>
        <v>2.8450068466030196E-2</v>
      </c>
      <c r="S112" s="57">
        <f>((N112-G112)/G112)</f>
        <v>2.8449660678437468E-2</v>
      </c>
      <c r="T112" s="57">
        <f>((O112-H112)/H112)</f>
        <v>0</v>
      </c>
      <c r="U112" s="57">
        <f>P112-I112</f>
        <v>1.5099999999999999E-2</v>
      </c>
      <c r="V112" s="58">
        <f>Q112-J112</f>
        <v>8.5000000000000006E-3</v>
      </c>
      <c r="X112" s="65"/>
      <c r="Y112" s="69"/>
      <c r="Z112" s="65"/>
      <c r="AA112" s="70"/>
    </row>
    <row r="113" spans="1:27" ht="16.5" customHeight="1">
      <c r="A113" s="135">
        <v>98</v>
      </c>
      <c r="B113" s="133" t="s">
        <v>160</v>
      </c>
      <c r="C113" s="134" t="s">
        <v>57</v>
      </c>
      <c r="D113" s="29">
        <f>1905081.39*1536.8158</f>
        <v>2927759180.4379621</v>
      </c>
      <c r="E113" s="30">
        <f t="shared" si="56"/>
        <v>1.5868932588113725E-3</v>
      </c>
      <c r="F113" s="29">
        <f>100*1536.8158</f>
        <v>153681.58000000002</v>
      </c>
      <c r="G113" s="29">
        <f>100*1536.8158</f>
        <v>153681.58000000002</v>
      </c>
      <c r="H113" s="32">
        <v>57</v>
      </c>
      <c r="I113" s="50">
        <v>-8.2476999999999995E-2</v>
      </c>
      <c r="J113" s="50">
        <v>-1.2324999999999999E-2</v>
      </c>
      <c r="K113" s="29">
        <f>1932327.75*1567.0215</f>
        <v>3027999129.2966251</v>
      </c>
      <c r="L113" s="30">
        <f t="shared" si="57"/>
        <v>1.5891367337838936E-3</v>
      </c>
      <c r="M113" s="29">
        <f>100*1567.0215</f>
        <v>156702.15</v>
      </c>
      <c r="N113" s="29">
        <f>100*1567.0215</f>
        <v>156702.15</v>
      </c>
      <c r="O113" s="32">
        <v>57</v>
      </c>
      <c r="P113" s="50">
        <v>8.2518999999999995E-2</v>
      </c>
      <c r="Q113" s="50">
        <v>7.0194000000000006E-2</v>
      </c>
      <c r="R113" s="57">
        <f>((K113-D113)/D113)</f>
        <v>3.4237771169303696E-2</v>
      </c>
      <c r="S113" s="57">
        <f>((N113-G113)/G113)</f>
        <v>1.9654730254595101E-2</v>
      </c>
      <c r="T113" s="57">
        <f>((O113-H113)/H113)</f>
        <v>0</v>
      </c>
      <c r="U113" s="57">
        <f>P113-I113</f>
        <v>0.16499599999999998</v>
      </c>
      <c r="V113" s="58">
        <f>Q113-J113</f>
        <v>8.2519000000000009E-2</v>
      </c>
      <c r="X113" s="65"/>
      <c r="Y113" s="69"/>
      <c r="Z113" s="65"/>
      <c r="AA113" s="70"/>
    </row>
    <row r="114" spans="1:27">
      <c r="A114" s="135">
        <v>99</v>
      </c>
      <c r="B114" s="133" t="s">
        <v>161</v>
      </c>
      <c r="C114" s="134" t="s">
        <v>23</v>
      </c>
      <c r="D114" s="29">
        <f>10245071.01*1538.37</f>
        <v>15760709889.653698</v>
      </c>
      <c r="E114" s="30">
        <f t="shared" si="56"/>
        <v>8.5425619856588988E-3</v>
      </c>
      <c r="F114" s="29">
        <f>1.154*1538.37</f>
        <v>1775.2789799999998</v>
      </c>
      <c r="G114" s="29">
        <f>1.154*1538.37</f>
        <v>1775.2789799999998</v>
      </c>
      <c r="H114" s="32">
        <v>308</v>
      </c>
      <c r="I114" s="50">
        <v>3.6200000000000003E-2</v>
      </c>
      <c r="J114" s="50">
        <v>6.6900000000000001E-2</v>
      </c>
      <c r="K114" s="29">
        <f>10410692.04*1533.8901</f>
        <v>15968857454.304804</v>
      </c>
      <c r="L114" s="30">
        <f t="shared" si="57"/>
        <v>8.3806820588780279E-3</v>
      </c>
      <c r="M114" s="29">
        <f>1.1555*1533.8901</f>
        <v>1772.4100105500002</v>
      </c>
      <c r="N114" s="29">
        <f>1.1555*1533.8901</f>
        <v>1772.4100105500002</v>
      </c>
      <c r="O114" s="32">
        <v>306</v>
      </c>
      <c r="P114" s="50">
        <v>6.7799999999999999E-2</v>
      </c>
      <c r="Q114" s="50">
        <v>6.7000000000000004E-2</v>
      </c>
      <c r="R114" s="57">
        <f t="shared" ref="R114:R126" si="58">((K114-D114)/D114)</f>
        <v>1.3206737901301438E-2</v>
      </c>
      <c r="S114" s="57">
        <f t="shared" ref="S114:S126" si="59">((N114-G114)/G114)</f>
        <v>-1.6160668167206418E-3</v>
      </c>
      <c r="T114" s="57">
        <f t="shared" ref="T114:T126" si="60">((O114-H114)/H114)</f>
        <v>-6.4935064935064939E-3</v>
      </c>
      <c r="U114" s="57">
        <f t="shared" ref="U114:U126" si="61">P114-I114</f>
        <v>3.1599999999999996E-2</v>
      </c>
      <c r="V114" s="58">
        <f t="shared" ref="V114:V126" si="62">Q114-J114</f>
        <v>1.0000000000000286E-4</v>
      </c>
    </row>
    <row r="115" spans="1:27">
      <c r="A115" s="135">
        <v>100</v>
      </c>
      <c r="B115" s="133" t="s">
        <v>293</v>
      </c>
      <c r="C115" s="134" t="s">
        <v>23</v>
      </c>
      <c r="D115" s="29">
        <f>1750144.42*1538.37</f>
        <v>2692369671.3953996</v>
      </c>
      <c r="E115" s="30">
        <f t="shared" si="56"/>
        <v>1.4593083031939902E-3</v>
      </c>
      <c r="F115" s="29">
        <f>1.009*1538.37</f>
        <v>1552.2153299999998</v>
      </c>
      <c r="G115" s="29">
        <f>1.009*1538.37</f>
        <v>1552.2153299999998</v>
      </c>
      <c r="H115" s="32">
        <v>48</v>
      </c>
      <c r="I115" s="50">
        <v>3.1E-2</v>
      </c>
      <c r="J115" s="50">
        <v>3.78E-2</v>
      </c>
      <c r="K115" s="29">
        <f>1766717.85*1533.8901</f>
        <v>2709951019.6082854</v>
      </c>
      <c r="L115" s="30">
        <f t="shared" si="57"/>
        <v>1.4222205912638411E-3</v>
      </c>
      <c r="M115" s="29">
        <f>1.011*1533.8901</f>
        <v>1550.7628910999999</v>
      </c>
      <c r="N115" s="29">
        <f>1.011*1533.8901</f>
        <v>1550.7628910999999</v>
      </c>
      <c r="O115" s="32">
        <v>51</v>
      </c>
      <c r="P115" s="50">
        <v>0.10340000000000001</v>
      </c>
      <c r="Q115" s="50">
        <v>4.2700000000000002E-2</v>
      </c>
      <c r="R115" s="57">
        <f t="shared" si="58"/>
        <v>6.5300647231603254E-3</v>
      </c>
      <c r="S115" s="57">
        <f t="shared" ref="S115" si="63">((N115-G115)/G115)</f>
        <v>-9.3571998158260285E-4</v>
      </c>
      <c r="T115" s="57">
        <f t="shared" ref="T115" si="64">((O115-H115)/H115)</f>
        <v>6.25E-2</v>
      </c>
      <c r="U115" s="57">
        <f t="shared" ref="U115" si="65">P115-I115</f>
        <v>7.2400000000000006E-2</v>
      </c>
      <c r="V115" s="58">
        <f t="shared" ref="V115" si="66">Q115-J115</f>
        <v>4.9000000000000016E-3</v>
      </c>
    </row>
    <row r="116" spans="1:27">
      <c r="A116" s="135">
        <v>101</v>
      </c>
      <c r="B116" s="133" t="s">
        <v>162</v>
      </c>
      <c r="C116" s="134" t="s">
        <v>27</v>
      </c>
      <c r="D116" s="29">
        <f>5848992.4*1536.8158</f>
        <v>8988823934.3999214</v>
      </c>
      <c r="E116" s="30">
        <f t="shared" si="56"/>
        <v>4.8720892761431852E-3</v>
      </c>
      <c r="F116" s="29">
        <f>1.097*1536.8158</f>
        <v>1685.8869326000001</v>
      </c>
      <c r="G116" s="29">
        <f>1.097*1536.8158</f>
        <v>1685.8869326000001</v>
      </c>
      <c r="H116" s="32">
        <v>363</v>
      </c>
      <c r="I116" s="50">
        <v>1.6000000000000001E-3</v>
      </c>
      <c r="J116" s="50">
        <v>2.0400000000000001E-2</v>
      </c>
      <c r="K116" s="29">
        <f>6441722.81*1567.0215</f>
        <v>10094318140.310415</v>
      </c>
      <c r="L116" s="30">
        <f t="shared" si="57"/>
        <v>5.2976408097563177E-3</v>
      </c>
      <c r="M116" s="29">
        <f>1.0983*1567.0215</f>
        <v>1721.0597134500001</v>
      </c>
      <c r="N116" s="29">
        <f>1.0983*1567.0215</f>
        <v>1721.0597134500001</v>
      </c>
      <c r="O116" s="32">
        <v>365</v>
      </c>
      <c r="P116" s="50">
        <v>1.1999999999999999E-3</v>
      </c>
      <c r="Q116" s="50">
        <v>2.1600000000000001E-2</v>
      </c>
      <c r="R116" s="57">
        <f t="shared" si="58"/>
        <v>0.12298541099239972</v>
      </c>
      <c r="S116" s="57">
        <f t="shared" ref="S116:T119" si="67">((N116-G116)/G116)</f>
        <v>2.0863072232107517E-2</v>
      </c>
      <c r="T116" s="57">
        <f t="shared" si="67"/>
        <v>5.5096418732782371E-3</v>
      </c>
      <c r="U116" s="57">
        <f t="shared" si="61"/>
        <v>-4.0000000000000018E-4</v>
      </c>
      <c r="V116" s="58">
        <f t="shared" si="62"/>
        <v>1.1999999999999997E-3</v>
      </c>
    </row>
    <row r="117" spans="1:27">
      <c r="A117" s="135">
        <v>102</v>
      </c>
      <c r="B117" s="133" t="s">
        <v>163</v>
      </c>
      <c r="C117" s="134" t="s">
        <v>63</v>
      </c>
      <c r="D117" s="29">
        <f>454985.68*1536.8158</f>
        <v>699229181.79774404</v>
      </c>
      <c r="E117" s="30">
        <f t="shared" si="56"/>
        <v>3.7899362842849901E-4</v>
      </c>
      <c r="F117" s="29">
        <f>1.09*1536.8158</f>
        <v>1675.1292220000003</v>
      </c>
      <c r="G117" s="29">
        <f>1.1*1536.8158</f>
        <v>1690.4973800000002</v>
      </c>
      <c r="H117" s="32">
        <v>21</v>
      </c>
      <c r="I117" s="50">
        <v>0.2296</v>
      </c>
      <c r="J117" s="50">
        <v>0.186</v>
      </c>
      <c r="K117" s="29">
        <f>457983.59*1567.0215</f>
        <v>717670132.17718506</v>
      </c>
      <c r="L117" s="30">
        <f t="shared" si="57"/>
        <v>3.7664342725462688E-4</v>
      </c>
      <c r="M117" s="29">
        <f>1.07*1567.0215</f>
        <v>1676.7130050000001</v>
      </c>
      <c r="N117" s="29">
        <f>1.08*1567.0215</f>
        <v>1692.3832200000002</v>
      </c>
      <c r="O117" s="32">
        <v>21</v>
      </c>
      <c r="P117" s="50">
        <v>-0.71299999999999997</v>
      </c>
      <c r="Q117" s="50">
        <v>0.09</v>
      </c>
      <c r="R117" s="57">
        <f t="shared" si="58"/>
        <v>2.6373256236286734E-2</v>
      </c>
      <c r="S117" s="57">
        <f t="shared" si="67"/>
        <v>1.1155533408752851E-3</v>
      </c>
      <c r="T117" s="57">
        <f t="shared" si="67"/>
        <v>0</v>
      </c>
      <c r="U117" s="57">
        <f t="shared" si="61"/>
        <v>-0.94259999999999999</v>
      </c>
      <c r="V117" s="58">
        <f t="shared" si="62"/>
        <v>-9.6000000000000002E-2</v>
      </c>
    </row>
    <row r="118" spans="1:27">
      <c r="A118" s="135">
        <v>103</v>
      </c>
      <c r="B118" s="133" t="s">
        <v>164</v>
      </c>
      <c r="C118" s="134" t="s">
        <v>29</v>
      </c>
      <c r="D118" s="29">
        <f>282560.49*1536.8158</f>
        <v>434243425.48774201</v>
      </c>
      <c r="E118" s="30">
        <v>0</v>
      </c>
      <c r="F118" s="29">
        <f>1.2837*1536.8158</f>
        <v>1972.8104424600001</v>
      </c>
      <c r="G118" s="29">
        <f>1.2837*1536.8158</f>
        <v>1972.8104424600001</v>
      </c>
      <c r="H118" s="32">
        <v>40</v>
      </c>
      <c r="I118" s="50">
        <v>1.1689999999999999E-3</v>
      </c>
      <c r="J118" s="50">
        <v>2.98E-2</v>
      </c>
      <c r="K118" s="29">
        <f>289244.15*1567.0215</f>
        <v>453251801.79922503</v>
      </c>
      <c r="L118" s="30">
        <f t="shared" si="57"/>
        <v>2.3787295079579464E-4</v>
      </c>
      <c r="M118" s="29">
        <f>1.2853*1567.0215</f>
        <v>2014.0927339500001</v>
      </c>
      <c r="N118" s="29">
        <f>1.2853*1567.0215</f>
        <v>2014.0927339500001</v>
      </c>
      <c r="O118" s="32">
        <v>40</v>
      </c>
      <c r="P118" s="50">
        <v>1.1689999999999999E-3</v>
      </c>
      <c r="Q118" s="50">
        <v>2.98E-2</v>
      </c>
      <c r="R118" s="57">
        <f t="shared" si="58"/>
        <v>4.3773550031604568E-2</v>
      </c>
      <c r="S118" s="57">
        <f t="shared" si="67"/>
        <v>2.0925624987326707E-2</v>
      </c>
      <c r="T118" s="57">
        <f t="shared" si="67"/>
        <v>0</v>
      </c>
      <c r="U118" s="57">
        <f t="shared" si="61"/>
        <v>0</v>
      </c>
      <c r="V118" s="58">
        <f t="shared" si="62"/>
        <v>0</v>
      </c>
    </row>
    <row r="119" spans="1:27">
      <c r="A119" s="135">
        <v>104</v>
      </c>
      <c r="B119" s="133" t="s">
        <v>165</v>
      </c>
      <c r="C119" s="134" t="s">
        <v>72</v>
      </c>
      <c r="D119" s="29">
        <f>475046.17*1536.8158</f>
        <v>730058459.78548598</v>
      </c>
      <c r="E119" s="30">
        <f t="shared" ref="E119:E128" si="68">(D119/$D$146)</f>
        <v>3.9570360025256523E-4</v>
      </c>
      <c r="F119" s="29">
        <f>107.65*1536.8158</f>
        <v>165438.22087000002</v>
      </c>
      <c r="G119" s="29">
        <f>108.45*1536.8158</f>
        <v>166667.67351000002</v>
      </c>
      <c r="H119" s="32">
        <v>45</v>
      </c>
      <c r="I119" s="50">
        <v>1.1999999999999999E-3</v>
      </c>
      <c r="J119" s="50">
        <v>2.69E-2</v>
      </c>
      <c r="K119" s="29">
        <f>475348.42*1567.0215</f>
        <v>744881194.13102996</v>
      </c>
      <c r="L119" s="30">
        <f t="shared" si="57"/>
        <v>3.9092417710615311E-4</v>
      </c>
      <c r="M119" s="29">
        <f>107.73*1567.0215</f>
        <v>168815.22619500002</v>
      </c>
      <c r="N119" s="29">
        <f>108.62*1567.0215</f>
        <v>170209.87533000001</v>
      </c>
      <c r="O119" s="32">
        <v>47</v>
      </c>
      <c r="P119" s="50">
        <v>1.1000000000000001E-3</v>
      </c>
      <c r="Q119" s="50">
        <v>2.81E-2</v>
      </c>
      <c r="R119" s="57">
        <f t="shared" si="58"/>
        <v>2.0303489599859392E-2</v>
      </c>
      <c r="S119" s="57">
        <f t="shared" si="67"/>
        <v>2.125308252885318E-2</v>
      </c>
      <c r="T119" s="57">
        <f t="shared" si="67"/>
        <v>4.4444444444444446E-2</v>
      </c>
      <c r="U119" s="57">
        <f t="shared" si="61"/>
        <v>-9.9999999999999829E-5</v>
      </c>
      <c r="V119" s="58">
        <f t="shared" si="62"/>
        <v>1.1999999999999997E-3</v>
      </c>
    </row>
    <row r="120" spans="1:27">
      <c r="A120" s="135">
        <v>105</v>
      </c>
      <c r="B120" s="133" t="s">
        <v>166</v>
      </c>
      <c r="C120" s="134" t="s">
        <v>75</v>
      </c>
      <c r="D120" s="29">
        <v>4951000955.6783876</v>
      </c>
      <c r="E120" s="30">
        <f t="shared" si="68"/>
        <v>2.6835233216686268E-3</v>
      </c>
      <c r="F120" s="29">
        <v>173907.61274380001</v>
      </c>
      <c r="G120" s="29">
        <v>173907.61274380001</v>
      </c>
      <c r="H120" s="32">
        <v>60</v>
      </c>
      <c r="I120" s="50" t="s">
        <v>308</v>
      </c>
      <c r="J120" s="50">
        <v>7.6200000000000004E-2</v>
      </c>
      <c r="K120" s="29">
        <v>5050251265.8460503</v>
      </c>
      <c r="L120" s="30">
        <f t="shared" si="57"/>
        <v>2.6504432328746477E-3</v>
      </c>
      <c r="M120" s="29">
        <v>177512.66562645001</v>
      </c>
      <c r="N120" s="29">
        <v>177512.66562645001</v>
      </c>
      <c r="O120" s="32">
        <v>59</v>
      </c>
      <c r="P120" s="50" t="s">
        <v>308</v>
      </c>
      <c r="Q120" s="50">
        <v>7.4700000000000003E-2</v>
      </c>
      <c r="R120" s="57">
        <f t="shared" si="58"/>
        <v>2.0046514039515736E-2</v>
      </c>
      <c r="S120" s="57">
        <f t="shared" si="59"/>
        <v>2.0729701395883936E-2</v>
      </c>
      <c r="T120" s="57">
        <f t="shared" si="60"/>
        <v>-1.6666666666666666E-2</v>
      </c>
      <c r="U120" s="57">
        <f t="shared" si="61"/>
        <v>0</v>
      </c>
      <c r="V120" s="58">
        <f t="shared" si="62"/>
        <v>-1.5000000000000013E-3</v>
      </c>
      <c r="X120" s="66"/>
    </row>
    <row r="121" spans="1:27">
      <c r="A121" s="135">
        <v>106</v>
      </c>
      <c r="B121" s="133" t="s">
        <v>167</v>
      </c>
      <c r="C121" s="134" t="s">
        <v>31</v>
      </c>
      <c r="D121" s="29">
        <v>50990016806.400002</v>
      </c>
      <c r="E121" s="30">
        <f t="shared" si="68"/>
        <v>2.7637421300699537E-2</v>
      </c>
      <c r="F121" s="29">
        <v>197888.75</v>
      </c>
      <c r="G121" s="29">
        <v>197888.75</v>
      </c>
      <c r="H121" s="32">
        <v>2362</v>
      </c>
      <c r="I121" s="50">
        <v>1.4E-3</v>
      </c>
      <c r="J121" s="50">
        <v>1.8700000000000001E-2</v>
      </c>
      <c r="K121" s="29">
        <v>54499166768.760002</v>
      </c>
      <c r="L121" s="30">
        <f t="shared" si="57"/>
        <v>2.8601932885287472E-2</v>
      </c>
      <c r="M121" s="29">
        <v>206256</v>
      </c>
      <c r="N121" s="29">
        <v>206256</v>
      </c>
      <c r="O121" s="32">
        <v>2369</v>
      </c>
      <c r="P121" s="50">
        <v>1.1999999999999999E-3</v>
      </c>
      <c r="Q121" s="50">
        <v>1.9900000000000001E-2</v>
      </c>
      <c r="R121" s="57">
        <f t="shared" si="58"/>
        <v>6.8820333511236467E-2</v>
      </c>
      <c r="S121" s="57">
        <f t="shared" si="59"/>
        <v>4.2282595650333835E-2</v>
      </c>
      <c r="T121" s="57">
        <f t="shared" si="60"/>
        <v>2.9635901778154107E-3</v>
      </c>
      <c r="U121" s="57">
        <f t="shared" si="61"/>
        <v>-2.0000000000000009E-4</v>
      </c>
      <c r="V121" s="58">
        <f t="shared" si="62"/>
        <v>1.1999999999999997E-3</v>
      </c>
    </row>
    <row r="122" spans="1:27">
      <c r="A122" s="141">
        <v>107</v>
      </c>
      <c r="B122" s="143" t="s">
        <v>168</v>
      </c>
      <c r="C122" s="143" t="s">
        <v>31</v>
      </c>
      <c r="D122" s="29">
        <v>130366194993.54001</v>
      </c>
      <c r="E122" s="30">
        <f t="shared" si="68"/>
        <v>7.0660605351151484E-2</v>
      </c>
      <c r="F122" s="29">
        <v>186099.96</v>
      </c>
      <c r="G122" s="29">
        <v>186099.96</v>
      </c>
      <c r="H122" s="32">
        <v>775</v>
      </c>
      <c r="I122" s="50">
        <v>1.1999999999999999E-3</v>
      </c>
      <c r="J122" s="50">
        <v>1.9800000000000002E-2</v>
      </c>
      <c r="K122" s="29">
        <v>138868930288</v>
      </c>
      <c r="L122" s="30">
        <f t="shared" si="57"/>
        <v>7.2880377067082489E-2</v>
      </c>
      <c r="M122" s="29">
        <v>193728</v>
      </c>
      <c r="N122" s="29">
        <v>193728</v>
      </c>
      <c r="O122" s="32">
        <v>781</v>
      </c>
      <c r="P122" s="50">
        <v>1.1999999999999999E-3</v>
      </c>
      <c r="Q122" s="50">
        <v>2.1100000000000001E-2</v>
      </c>
      <c r="R122" s="57">
        <f t="shared" si="58"/>
        <v>6.5221933453540812E-2</v>
      </c>
      <c r="S122" s="57">
        <f t="shared" si="59"/>
        <v>4.0988939492517938E-2</v>
      </c>
      <c r="T122" s="57">
        <f t="shared" si="60"/>
        <v>7.7419354838709677E-3</v>
      </c>
      <c r="U122" s="57">
        <f t="shared" si="61"/>
        <v>0</v>
      </c>
      <c r="V122" s="58">
        <f t="shared" si="62"/>
        <v>1.2999999999999991E-3</v>
      </c>
      <c r="X122" s="65"/>
    </row>
    <row r="123" spans="1:27">
      <c r="A123" s="135">
        <v>108</v>
      </c>
      <c r="B123" s="133" t="s">
        <v>305</v>
      </c>
      <c r="C123" s="134" t="s">
        <v>304</v>
      </c>
      <c r="D123" s="29">
        <f>368856.51*1536.8158</f>
        <v>566864512.50085807</v>
      </c>
      <c r="E123" s="30">
        <f t="shared" si="68"/>
        <v>3.0724981738847895E-4</v>
      </c>
      <c r="F123" s="29">
        <v>1536.8158000000001</v>
      </c>
      <c r="G123" s="29">
        <v>1536.8158000000001</v>
      </c>
      <c r="H123" s="32">
        <v>4</v>
      </c>
      <c r="I123" s="50">
        <v>9.4399999999999998E-2</v>
      </c>
      <c r="J123" s="50">
        <v>8.8300000000000003E-2</v>
      </c>
      <c r="K123" s="29">
        <f>369674.04*1567.0215</f>
        <v>579287168.67185998</v>
      </c>
      <c r="L123" s="30">
        <f t="shared" si="57"/>
        <v>3.0401809242262156E-4</v>
      </c>
      <c r="M123" s="29">
        <v>1567.0215000000001</v>
      </c>
      <c r="N123" s="29">
        <v>1567.0215000000001</v>
      </c>
      <c r="O123" s="32">
        <v>4</v>
      </c>
      <c r="P123" s="50">
        <v>9.4200000000000006E-2</v>
      </c>
      <c r="Q123" s="50">
        <v>8.5400000000000004E-2</v>
      </c>
      <c r="R123" s="57">
        <f t="shared" ref="R123" si="69">((K123-D123)/D123)</f>
        <v>2.1914683133358266E-2</v>
      </c>
      <c r="S123" s="57">
        <f t="shared" ref="S123" si="70">((N123-G123)/G123)</f>
        <v>1.9654730254595233E-2</v>
      </c>
      <c r="T123" s="57">
        <f t="shared" si="60"/>
        <v>0</v>
      </c>
      <c r="U123" s="57">
        <f t="shared" si="61"/>
        <v>-1.9999999999999185E-4</v>
      </c>
      <c r="V123" s="58">
        <f t="shared" si="62"/>
        <v>-2.8999999999999998E-3</v>
      </c>
    </row>
    <row r="124" spans="1:27">
      <c r="A124" s="135">
        <v>109</v>
      </c>
      <c r="B124" s="133" t="s">
        <v>169</v>
      </c>
      <c r="C124" s="134" t="s">
        <v>35</v>
      </c>
      <c r="D124" s="29">
        <f>151079.4871*1536.8158</f>
        <v>232181342.83117619</v>
      </c>
      <c r="E124" s="30">
        <f t="shared" si="68"/>
        <v>1.2584607717136418E-4</v>
      </c>
      <c r="F124" s="29">
        <f>124.8415*1536.8158</f>
        <v>191858.3896957</v>
      </c>
      <c r="G124" s="29">
        <f>124.8415*1536.8158</f>
        <v>191858.3896957</v>
      </c>
      <c r="H124" s="32">
        <v>8</v>
      </c>
      <c r="I124" s="50">
        <v>2.1000000000000001E-2</v>
      </c>
      <c r="J124" s="50">
        <v>0.1011</v>
      </c>
      <c r="K124" s="29">
        <f>151361.2103*1567.0215</f>
        <v>237186270.80612147</v>
      </c>
      <c r="L124" s="30">
        <f t="shared" si="57"/>
        <v>1.2447870676065125E-4</v>
      </c>
      <c r="M124" s="29">
        <f>125.0743*1567.0215</f>
        <v>195994.11719744999</v>
      </c>
      <c r="N124" s="29">
        <f>125.0743*1567.0215</f>
        <v>195994.11719744999</v>
      </c>
      <c r="O124" s="32">
        <v>8</v>
      </c>
      <c r="P124" s="50">
        <v>1.9E-3</v>
      </c>
      <c r="Q124" s="50">
        <v>0.1031</v>
      </c>
      <c r="R124" s="57">
        <f t="shared" si="58"/>
        <v>2.1556116068225443E-2</v>
      </c>
      <c r="S124" s="57">
        <f t="shared" si="59"/>
        <v>2.1556146219665076E-2</v>
      </c>
      <c r="T124" s="57">
        <f t="shared" si="60"/>
        <v>0</v>
      </c>
      <c r="U124" s="57">
        <f t="shared" si="61"/>
        <v>-1.9100000000000002E-2</v>
      </c>
      <c r="V124" s="58">
        <f t="shared" si="62"/>
        <v>2.0000000000000018E-3</v>
      </c>
    </row>
    <row r="125" spans="1:27">
      <c r="A125" s="135">
        <v>110</v>
      </c>
      <c r="B125" s="133" t="s">
        <v>170</v>
      </c>
      <c r="C125" s="134" t="s">
        <v>41</v>
      </c>
      <c r="D125" s="29">
        <f>10616876.68*1536.8158</f>
        <v>16316183828.475544</v>
      </c>
      <c r="E125" s="30">
        <f t="shared" si="68"/>
        <v>8.84363792621147E-3</v>
      </c>
      <c r="F125" s="29">
        <f>1.4*1536.8158</f>
        <v>2151.5421200000001</v>
      </c>
      <c r="G125" s="29">
        <f>1.4*1536.8158</f>
        <v>2151.5421200000001</v>
      </c>
      <c r="H125" s="46">
        <v>114</v>
      </c>
      <c r="I125" s="53">
        <v>8.0000000000000004E-4</v>
      </c>
      <c r="J125" s="53">
        <v>4.99E-2</v>
      </c>
      <c r="K125" s="29">
        <f>10616876.68*1536.8158</f>
        <v>16316183828.475544</v>
      </c>
      <c r="L125" s="30">
        <f t="shared" si="57"/>
        <v>8.5629638483496473E-3</v>
      </c>
      <c r="M125" s="29">
        <f>1.4*1536.8158</f>
        <v>2151.5421200000001</v>
      </c>
      <c r="N125" s="29">
        <f>1.4*1536.8158</f>
        <v>2151.5421200000001</v>
      </c>
      <c r="O125" s="46">
        <v>114</v>
      </c>
      <c r="P125" s="53">
        <v>1.9E-3</v>
      </c>
      <c r="Q125" s="53">
        <v>5.04E-2</v>
      </c>
      <c r="R125" s="57">
        <f t="shared" si="58"/>
        <v>0</v>
      </c>
      <c r="S125" s="57">
        <f t="shared" si="59"/>
        <v>0</v>
      </c>
      <c r="T125" s="57">
        <f t="shared" si="60"/>
        <v>0</v>
      </c>
      <c r="U125" s="57">
        <f t="shared" si="61"/>
        <v>1.0999999999999998E-3</v>
      </c>
      <c r="V125" s="58">
        <f t="shared" si="62"/>
        <v>5.0000000000000044E-4</v>
      </c>
    </row>
    <row r="126" spans="1:27">
      <c r="A126" s="135">
        <v>111</v>
      </c>
      <c r="B126" s="133" t="s">
        <v>171</v>
      </c>
      <c r="C126" s="134" t="s">
        <v>89</v>
      </c>
      <c r="D126" s="29">
        <f>18802873.03*1536.8158</f>
        <v>28896552357.897877</v>
      </c>
      <c r="E126" s="30">
        <f t="shared" si="68"/>
        <v>1.5662402989298621E-2</v>
      </c>
      <c r="F126" s="29">
        <f>105.58*1536.8158</f>
        <v>162257.01216400001</v>
      </c>
      <c r="G126" s="29">
        <f>105.58*1536.8158</f>
        <v>162257.01216400001</v>
      </c>
      <c r="H126" s="32">
        <v>582</v>
      </c>
      <c r="I126" s="53">
        <v>1E-3</v>
      </c>
      <c r="J126" s="50">
        <v>9.9299999999999999E-2</v>
      </c>
      <c r="K126" s="29">
        <f>19286543*1567.0215</f>
        <v>30222427541.6745</v>
      </c>
      <c r="L126" s="30">
        <f t="shared" si="57"/>
        <v>1.5861157067688238E-2</v>
      </c>
      <c r="M126" s="29">
        <f>103.42*1567.0215</f>
        <v>162061.36353</v>
      </c>
      <c r="N126" s="29">
        <f>103.42*1567.0215</f>
        <v>162061.36353</v>
      </c>
      <c r="O126" s="32">
        <v>590</v>
      </c>
      <c r="P126" s="53">
        <v>1.8E-3</v>
      </c>
      <c r="Q126" s="50">
        <v>0.1023</v>
      </c>
      <c r="R126" s="57">
        <f t="shared" si="58"/>
        <v>4.5883507740128053E-2</v>
      </c>
      <c r="S126" s="57">
        <f t="shared" si="59"/>
        <v>-1.2057946303255086E-3</v>
      </c>
      <c r="T126" s="57">
        <f t="shared" si="60"/>
        <v>1.3745704467353952E-2</v>
      </c>
      <c r="U126" s="57">
        <f t="shared" si="61"/>
        <v>7.9999999999999993E-4</v>
      </c>
      <c r="V126" s="58">
        <f t="shared" si="62"/>
        <v>3.0000000000000027E-3</v>
      </c>
    </row>
    <row r="127" spans="1:27">
      <c r="A127" s="135">
        <v>112</v>
      </c>
      <c r="B127" s="133" t="s">
        <v>172</v>
      </c>
      <c r="C127" s="134" t="s">
        <v>45</v>
      </c>
      <c r="D127" s="29">
        <f>1678115.88*1536.8158</f>
        <v>2578954998.6149039</v>
      </c>
      <c r="E127" s="30">
        <f t="shared" si="68"/>
        <v>1.3978356995426396E-3</v>
      </c>
      <c r="F127" s="29">
        <f>133.45*1536.8158</f>
        <v>205088.06850999998</v>
      </c>
      <c r="G127" s="29">
        <f>137.72*1536.8158</f>
        <v>211650.27197600002</v>
      </c>
      <c r="H127" s="32">
        <v>51</v>
      </c>
      <c r="I127" s="50">
        <v>-5.0000000000000001E-4</v>
      </c>
      <c r="J127" s="50">
        <v>-2.7799999999999998E-2</v>
      </c>
      <c r="K127" s="29">
        <f>1675531.12*1567.0215</f>
        <v>2625593288.9590802</v>
      </c>
      <c r="L127" s="30">
        <f t="shared" si="57"/>
        <v>1.3779484621022852E-3</v>
      </c>
      <c r="M127" s="29">
        <f>133.25*1567.0215</f>
        <v>208805.614875</v>
      </c>
      <c r="N127" s="29">
        <f>137.55*1567.0215</f>
        <v>215543.80732500003</v>
      </c>
      <c r="O127" s="32">
        <v>51</v>
      </c>
      <c r="P127" s="50">
        <v>6.9999999999999999E-4</v>
      </c>
      <c r="Q127" s="50">
        <v>-2.8299999999999999E-2</v>
      </c>
      <c r="R127" s="57">
        <f t="shared" ref="R127:R128" si="71">((K127-D127)/D127)</f>
        <v>1.8084181526713192E-2</v>
      </c>
      <c r="S127" s="57">
        <f t="shared" ref="S127:S128" si="72">((N127-G127)/G127)</f>
        <v>1.8396080064766077E-2</v>
      </c>
      <c r="T127" s="57">
        <f t="shared" ref="T127:T128" si="73">((O127-H127)/H127)</f>
        <v>0</v>
      </c>
      <c r="U127" s="57">
        <f t="shared" ref="U127:U128" si="74">P127-I127</f>
        <v>1.2000000000000001E-3</v>
      </c>
      <c r="V127" s="58">
        <f t="shared" ref="V127:V128" si="75">Q127-J127</f>
        <v>-5.0000000000000044E-4</v>
      </c>
    </row>
    <row r="128" spans="1:27">
      <c r="A128" s="135">
        <v>113</v>
      </c>
      <c r="B128" s="133" t="s">
        <v>173</v>
      </c>
      <c r="C128" s="134" t="s">
        <v>52</v>
      </c>
      <c r="D128" s="33">
        <f>111488839.66*1541.67</f>
        <v>171878999438.6322</v>
      </c>
      <c r="E128" s="30">
        <f t="shared" si="68"/>
        <v>9.3161222877493649E-2</v>
      </c>
      <c r="F128" s="29">
        <f>126.6324*1541.67</f>
        <v>195225.37210800001</v>
      </c>
      <c r="G128" s="29">
        <f>126.6324*1541.67</f>
        <v>195225.37210800001</v>
      </c>
      <c r="H128" s="32">
        <v>3595</v>
      </c>
      <c r="I128" s="50">
        <v>4.1000000000000002E-2</v>
      </c>
      <c r="J128" s="50">
        <v>6.8900000000000003E-2</v>
      </c>
      <c r="K128" s="33">
        <f>111288996.12*1581.25</f>
        <v>175975725114.75</v>
      </c>
      <c r="L128" s="30">
        <f t="shared" si="57"/>
        <v>9.2354547373686313E-2</v>
      </c>
      <c r="M128" s="29">
        <f>126.6928*1581.25</f>
        <v>200332.99000000002</v>
      </c>
      <c r="N128" s="29">
        <f>126.6928*1581.25</f>
        <v>200332.99000000002</v>
      </c>
      <c r="O128" s="32">
        <v>3595</v>
      </c>
      <c r="P128" s="50">
        <v>4.9000000000000002E-2</v>
      </c>
      <c r="Q128" s="50">
        <v>6.8699999999999997E-2</v>
      </c>
      <c r="R128" s="57">
        <f t="shared" si="71"/>
        <v>2.3834940216652212E-2</v>
      </c>
      <c r="S128" s="57">
        <f t="shared" si="72"/>
        <v>2.6162674640335375E-2</v>
      </c>
      <c r="T128" s="57">
        <f t="shared" si="73"/>
        <v>0</v>
      </c>
      <c r="U128" s="57">
        <f t="shared" si="74"/>
        <v>8.0000000000000002E-3</v>
      </c>
      <c r="V128" s="58">
        <f t="shared" si="75"/>
        <v>-2.0000000000000573E-4</v>
      </c>
    </row>
    <row r="129" spans="1:24" ht="6" customHeight="1">
      <c r="A129" s="36"/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</row>
    <row r="130" spans="1:24">
      <c r="A130" s="151" t="s">
        <v>174</v>
      </c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</row>
    <row r="131" spans="1:24">
      <c r="A131" s="135">
        <v>114</v>
      </c>
      <c r="B131" s="133" t="s">
        <v>175</v>
      </c>
      <c r="C131" s="134" t="s">
        <v>118</v>
      </c>
      <c r="D131" s="33">
        <f>1223114.26*1536.8158</f>
        <v>1879701319.9733081</v>
      </c>
      <c r="E131" s="30">
        <f t="shared" ref="E131:E143" si="76">(D131/$D$146)</f>
        <v>1.0188287934249677E-3</v>
      </c>
      <c r="F131" s="29">
        <f>110.89*1536.8158</f>
        <v>170417.50406200002</v>
      </c>
      <c r="G131" s="29">
        <f>110.89*1536.8158</f>
        <v>170417.50406200002</v>
      </c>
      <c r="H131" s="32">
        <v>20</v>
      </c>
      <c r="I131" s="50">
        <v>2.6080000000000001E-3</v>
      </c>
      <c r="J131" s="50">
        <v>2.0799999999999999E-2</v>
      </c>
      <c r="K131" s="33">
        <f>1171556.44*1567.0215</f>
        <v>1835854129.94346</v>
      </c>
      <c r="L131" s="30">
        <f t="shared" ref="L131:L145" si="77">(K131/$K$146)</f>
        <v>9.6348219110608223E-4</v>
      </c>
      <c r="M131" s="29">
        <f>106.22*1567.0215</f>
        <v>166449.02373000002</v>
      </c>
      <c r="N131" s="29">
        <f>106.22*1567.0215</f>
        <v>166449.02373000002</v>
      </c>
      <c r="O131" s="32">
        <v>20</v>
      </c>
      <c r="P131" s="50">
        <v>-1.8213E-2</v>
      </c>
      <c r="Q131" s="50">
        <v>2.3999999999999998E-3</v>
      </c>
      <c r="R131" s="57">
        <f>((K131-D131)/D131)</f>
        <v>-2.3326679384611346E-2</v>
      </c>
      <c r="S131" s="57">
        <f>((N131-G131)/G131)</f>
        <v>-2.3286811726547899E-2</v>
      </c>
      <c r="T131" s="57">
        <f>((O131-H131)/H131)</f>
        <v>0</v>
      </c>
      <c r="U131" s="57">
        <f>P131-I131</f>
        <v>-2.0820999999999999E-2</v>
      </c>
      <c r="V131" s="58">
        <f>Q131-J131</f>
        <v>-1.84E-2</v>
      </c>
    </row>
    <row r="132" spans="1:24">
      <c r="A132" s="135">
        <v>115</v>
      </c>
      <c r="B132" s="134" t="s">
        <v>176</v>
      </c>
      <c r="C132" s="134" t="s">
        <v>25</v>
      </c>
      <c r="D132" s="29">
        <f>11670080.61*1536.8158</f>
        <v>17934764268.721638</v>
      </c>
      <c r="E132" s="30">
        <f t="shared" si="76"/>
        <v>9.7209349411545663E-3</v>
      </c>
      <c r="F132" s="33">
        <f>135.57*1536.8158</f>
        <v>208346.118006</v>
      </c>
      <c r="G132" s="33">
        <f>135.57*1536.8158</f>
        <v>208346.118006</v>
      </c>
      <c r="H132" s="32">
        <v>551</v>
      </c>
      <c r="I132" s="50">
        <v>5.0000000000000001E-4</v>
      </c>
      <c r="J132" s="50">
        <v>1.37E-2</v>
      </c>
      <c r="K132" s="29">
        <f>11851431.06*1567.0215</f>
        <v>18571447276.787792</v>
      </c>
      <c r="L132" s="30">
        <f t="shared" si="77"/>
        <v>9.746557976695925E-3</v>
      </c>
      <c r="M132" s="33">
        <f>135.69*1567.0215</f>
        <v>212629.14733500002</v>
      </c>
      <c r="N132" s="33">
        <f>135.69*1567.0215</f>
        <v>212629.14733500002</v>
      </c>
      <c r="O132" s="32">
        <v>551</v>
      </c>
      <c r="P132" s="50">
        <v>5.0000000000000001E-4</v>
      </c>
      <c r="Q132" s="50">
        <v>1.46E-2</v>
      </c>
      <c r="R132" s="57">
        <f t="shared" ref="R132:R146" si="78">((K132-D132)/D132)</f>
        <v>3.5499937357779184E-2</v>
      </c>
      <c r="S132" s="57">
        <f t="shared" ref="S132:S146" si="79">((N132-G132)/G132)</f>
        <v>2.0557279252386491E-2</v>
      </c>
      <c r="T132" s="57">
        <f t="shared" ref="T132:T146" si="80">((O132-H132)/H132)</f>
        <v>0</v>
      </c>
      <c r="U132" s="57">
        <f t="shared" ref="U132:U146" si="81">P132-I132</f>
        <v>0</v>
      </c>
      <c r="V132" s="58">
        <f t="shared" ref="V132:V146" si="82">Q132-J132</f>
        <v>8.9999999999999976E-4</v>
      </c>
    </row>
    <row r="133" spans="1:24">
      <c r="A133" s="135">
        <v>116</v>
      </c>
      <c r="B133" s="133" t="s">
        <v>177</v>
      </c>
      <c r="C133" s="134" t="s">
        <v>67</v>
      </c>
      <c r="D133" s="33">
        <v>16658257829.219999</v>
      </c>
      <c r="E133" s="30">
        <f t="shared" si="76"/>
        <v>9.0290476174944845E-3</v>
      </c>
      <c r="F133" s="33">
        <v>178022.8</v>
      </c>
      <c r="G133" s="33">
        <v>178022.8</v>
      </c>
      <c r="H133" s="32">
        <v>684</v>
      </c>
      <c r="I133" s="50">
        <v>4.1999999999999997E-3</v>
      </c>
      <c r="J133" s="50">
        <v>0.06</v>
      </c>
      <c r="K133" s="33">
        <v>16781494596.66</v>
      </c>
      <c r="L133" s="30">
        <f t="shared" si="77"/>
        <v>8.807165515117921E-3</v>
      </c>
      <c r="M133" s="33">
        <v>178217.82</v>
      </c>
      <c r="N133" s="33">
        <v>178217.82</v>
      </c>
      <c r="O133" s="32">
        <v>687</v>
      </c>
      <c r="P133" s="50">
        <v>1.1000000000000001E-3</v>
      </c>
      <c r="Q133" s="50">
        <v>6.1400000000000003E-2</v>
      </c>
      <c r="R133" s="57">
        <f t="shared" si="78"/>
        <v>7.3979385301524616E-3</v>
      </c>
      <c r="S133" s="57">
        <f t="shared" si="79"/>
        <v>1.0954776579180793E-3</v>
      </c>
      <c r="T133" s="57">
        <f t="shared" si="80"/>
        <v>4.3859649122807015E-3</v>
      </c>
      <c r="U133" s="57">
        <f t="shared" si="81"/>
        <v>-3.0999999999999995E-3</v>
      </c>
      <c r="V133" s="58">
        <f t="shared" si="82"/>
        <v>1.4000000000000054E-3</v>
      </c>
    </row>
    <row r="134" spans="1:24">
      <c r="A134" s="141">
        <v>117</v>
      </c>
      <c r="B134" s="133" t="s">
        <v>300</v>
      </c>
      <c r="C134" s="134" t="s">
        <v>301</v>
      </c>
      <c r="D134" s="29">
        <f>59000.01*1536.8158</f>
        <v>90672147.568158001</v>
      </c>
      <c r="E134" s="30">
        <f t="shared" ref="E134" si="83">(D134/$D$108)</f>
        <v>4.5716711558034604E-4</v>
      </c>
      <c r="F134" s="35">
        <f>0.9637*1536.8158</f>
        <v>1481.0293864600001</v>
      </c>
      <c r="G134" s="35">
        <f>0.9637*1536.8158</f>
        <v>1481.0293864600001</v>
      </c>
      <c r="H134" s="32">
        <v>2</v>
      </c>
      <c r="I134" s="50">
        <v>-2.7253457151509064E-2</v>
      </c>
      <c r="J134" s="50">
        <v>2.2273811207854322E-2</v>
      </c>
      <c r="K134" s="29">
        <f>59081.69*1567.0215</f>
        <v>92582278.486335009</v>
      </c>
      <c r="L134" s="30">
        <f t="shared" ref="L134" si="84">(K134/$K$108)</f>
        <v>4.6138386905812228E-4</v>
      </c>
      <c r="M134" s="35">
        <f>0.9646*1567.0215</f>
        <v>1511.5489389000002</v>
      </c>
      <c r="N134" s="35">
        <f>0.9646*1567.0215</f>
        <v>1511.5489389000002</v>
      </c>
      <c r="O134" s="32">
        <v>2</v>
      </c>
      <c r="P134" s="50">
        <v>-2.6345008579792051E-2</v>
      </c>
      <c r="Q134" s="50">
        <v>2.3176972271577223E-2</v>
      </c>
      <c r="R134" s="56">
        <f t="shared" si="78"/>
        <v>2.1066346936816166E-2</v>
      </c>
      <c r="S134" s="56">
        <f t="shared" si="79"/>
        <v>2.0606986410275644E-2</v>
      </c>
      <c r="T134" s="56">
        <f t="shared" si="80"/>
        <v>0</v>
      </c>
      <c r="U134" s="57">
        <f t="shared" si="81"/>
        <v>9.0844857171701321E-4</v>
      </c>
      <c r="V134" s="58">
        <f t="shared" si="82"/>
        <v>9.031610637229015E-4</v>
      </c>
    </row>
    <row r="135" spans="1:24">
      <c r="A135" s="135">
        <v>118</v>
      </c>
      <c r="B135" s="133" t="s">
        <v>178</v>
      </c>
      <c r="C135" s="134" t="s">
        <v>65</v>
      </c>
      <c r="D135" s="33">
        <v>7015956869.2933645</v>
      </c>
      <c r="E135" s="30">
        <f t="shared" si="76"/>
        <v>3.8027631283278963E-3</v>
      </c>
      <c r="F135" s="33">
        <v>1976.5108897254706</v>
      </c>
      <c r="G135" s="33">
        <v>1976.5108897254706</v>
      </c>
      <c r="H135" s="32">
        <v>246</v>
      </c>
      <c r="I135" s="50">
        <v>5.6488120508385399E-2</v>
      </c>
      <c r="J135" s="50">
        <v>6.8352369822073489E-2</v>
      </c>
      <c r="K135" s="33">
        <v>7487144960.5269642</v>
      </c>
      <c r="L135" s="30">
        <f t="shared" si="77"/>
        <v>3.9293594812565783E-3</v>
      </c>
      <c r="M135" s="33">
        <v>2029.1093237367561</v>
      </c>
      <c r="N135" s="33">
        <v>2029.1093237367561</v>
      </c>
      <c r="O135" s="32">
        <v>245</v>
      </c>
      <c r="P135" s="50">
        <v>4.7701109740820716E-2</v>
      </c>
      <c r="Q135" s="50">
        <v>6.6872383380330497E-2</v>
      </c>
      <c r="R135" s="57">
        <f t="shared" si="78"/>
        <v>6.71594908594495E-2</v>
      </c>
      <c r="S135" s="57">
        <f t="shared" si="79"/>
        <v>2.6611760291688134E-2</v>
      </c>
      <c r="T135" s="56">
        <f t="shared" si="80"/>
        <v>-4.0650406504065045E-3</v>
      </c>
      <c r="U135" s="57">
        <f t="shared" si="81"/>
        <v>-8.7870107675646833E-3</v>
      </c>
      <c r="V135" s="58">
        <f t="shared" si="82"/>
        <v>-1.479986441742992E-3</v>
      </c>
    </row>
    <row r="136" spans="1:24">
      <c r="A136" s="135">
        <v>119</v>
      </c>
      <c r="B136" s="133" t="s">
        <v>307</v>
      </c>
      <c r="C136" s="134" t="s">
        <v>37</v>
      </c>
      <c r="D136" s="33">
        <v>92870638920.650009</v>
      </c>
      <c r="E136" s="30">
        <f t="shared" si="76"/>
        <v>5.0337402006758875E-2</v>
      </c>
      <c r="F136" s="33">
        <f>100*1537</f>
        <v>153700</v>
      </c>
      <c r="G136" s="33">
        <f>100*1537</f>
        <v>153700</v>
      </c>
      <c r="H136" s="32">
        <v>1915</v>
      </c>
      <c r="I136" s="50">
        <v>4.6600000000000003E-2</v>
      </c>
      <c r="J136" s="50">
        <v>4.9863499999999998E-2</v>
      </c>
      <c r="K136" s="33">
        <v>93825648875.400009</v>
      </c>
      <c r="L136" s="30">
        <f t="shared" si="77"/>
        <v>4.924102644429839E-2</v>
      </c>
      <c r="M136" s="33">
        <f>100*1537</f>
        <v>153700</v>
      </c>
      <c r="N136" s="33">
        <f>100*1537</f>
        <v>153700</v>
      </c>
      <c r="O136" s="32">
        <v>1924</v>
      </c>
      <c r="P136" s="50">
        <v>3.9899999999999998E-2</v>
      </c>
      <c r="Q136" s="50">
        <v>4.9119000000000003E-2</v>
      </c>
      <c r="R136" s="57">
        <f t="shared" si="78"/>
        <v>1.0283228002404226E-2</v>
      </c>
      <c r="S136" s="57">
        <f t="shared" si="79"/>
        <v>0</v>
      </c>
      <c r="T136" s="57">
        <f t="shared" si="80"/>
        <v>4.6997389033942563E-3</v>
      </c>
      <c r="U136" s="57">
        <f t="shared" si="81"/>
        <v>-6.7000000000000046E-3</v>
      </c>
      <c r="V136" s="58">
        <f t="shared" si="82"/>
        <v>-7.4449999999999517E-4</v>
      </c>
    </row>
    <row r="137" spans="1:24" ht="15.6">
      <c r="A137" s="135">
        <v>120</v>
      </c>
      <c r="B137" s="133" t="s">
        <v>179</v>
      </c>
      <c r="C137" s="134" t="s">
        <v>135</v>
      </c>
      <c r="D137" s="33">
        <f>1029794.95*1536.8158</f>
        <v>1582605149.9202101</v>
      </c>
      <c r="E137" s="30">
        <f t="shared" si="76"/>
        <v>8.5779782044534826E-4</v>
      </c>
      <c r="F137" s="33">
        <f>1.04*1536.8158</f>
        <v>1598.2884320000001</v>
      </c>
      <c r="G137" s="33">
        <f>1.08*1536.8158</f>
        <v>1659.7610640000003</v>
      </c>
      <c r="H137" s="32">
        <v>47</v>
      </c>
      <c r="I137" s="50">
        <v>1.9E-3</v>
      </c>
      <c r="J137" s="50">
        <v>9.9599999999999994E-2</v>
      </c>
      <c r="K137" s="33">
        <f>1026912.33*1567.0215</f>
        <v>1609193699.725095</v>
      </c>
      <c r="L137" s="30">
        <f t="shared" si="77"/>
        <v>8.4452759423374617E-4</v>
      </c>
      <c r="M137" s="33">
        <f>1.04*1567.0215</f>
        <v>1629.7023600000002</v>
      </c>
      <c r="N137" s="33">
        <f>1.07*1567.0215</f>
        <v>1676.7130050000001</v>
      </c>
      <c r="O137" s="32">
        <v>47</v>
      </c>
      <c r="P137" s="50">
        <v>1.9E-3</v>
      </c>
      <c r="Q137" s="50">
        <v>9.9599999999999994E-2</v>
      </c>
      <c r="R137" s="57">
        <f t="shared" si="78"/>
        <v>1.6800494934712817E-2</v>
      </c>
      <c r="S137" s="57">
        <f t="shared" si="79"/>
        <v>1.0213482752237766E-2</v>
      </c>
      <c r="T137" s="57">
        <f t="shared" si="80"/>
        <v>0</v>
      </c>
      <c r="U137" s="57">
        <f t="shared" si="81"/>
        <v>0</v>
      </c>
      <c r="V137" s="58">
        <f t="shared" si="82"/>
        <v>0</v>
      </c>
      <c r="X137" s="67"/>
    </row>
    <row r="138" spans="1:24" ht="15.6">
      <c r="A138" s="135">
        <v>121</v>
      </c>
      <c r="B138" s="133" t="s">
        <v>180</v>
      </c>
      <c r="C138" s="134" t="s">
        <v>43</v>
      </c>
      <c r="D138" s="29">
        <f>3034158.18*1536.8158</f>
        <v>4662942230.7232447</v>
      </c>
      <c r="E138" s="30">
        <f t="shared" si="76"/>
        <v>2.5273907914293279E-3</v>
      </c>
      <c r="F138" s="33">
        <f>10.53101*1536.8158</f>
        <v>16184.222557958001</v>
      </c>
      <c r="G138" s="33">
        <f>10.53101*1536.8158</f>
        <v>16184.222557958001</v>
      </c>
      <c r="H138" s="32">
        <v>68</v>
      </c>
      <c r="I138" s="50">
        <v>7.5999999999999998E-2</v>
      </c>
      <c r="J138" s="50">
        <v>9.4500000000000001E-2</v>
      </c>
      <c r="K138" s="29">
        <f>3210520.69*1567.0215</f>
        <v>5030954947.4248352</v>
      </c>
      <c r="L138" s="30">
        <f t="shared" si="77"/>
        <v>2.6403162522777059E-3</v>
      </c>
      <c r="M138" s="33">
        <f>10.5455*1567.0215</f>
        <v>16525.025228250001</v>
      </c>
      <c r="N138" s="33">
        <f>10.5455*1567.0215</f>
        <v>16525.025228250001</v>
      </c>
      <c r="O138" s="32">
        <v>68</v>
      </c>
      <c r="P138" s="50">
        <v>6.9199999999999998E-2</v>
      </c>
      <c r="Q138" s="50">
        <v>8.9300000000000004E-2</v>
      </c>
      <c r="R138" s="57">
        <f t="shared" si="78"/>
        <v>7.8922855676148915E-2</v>
      </c>
      <c r="S138" s="57">
        <f t="shared" si="79"/>
        <v>2.1057710314569444E-2</v>
      </c>
      <c r="T138" s="57">
        <f t="shared" si="80"/>
        <v>0</v>
      </c>
      <c r="U138" s="57">
        <f t="shared" si="81"/>
        <v>-6.8000000000000005E-3</v>
      </c>
      <c r="V138" s="58">
        <f t="shared" si="82"/>
        <v>-5.1999999999999963E-3</v>
      </c>
      <c r="X138" s="67"/>
    </row>
    <row r="139" spans="1:24" ht="15.6">
      <c r="A139" s="135">
        <v>122</v>
      </c>
      <c r="B139" s="134" t="s">
        <v>181</v>
      </c>
      <c r="C139" s="142" t="s">
        <v>47</v>
      </c>
      <c r="D139" s="33">
        <v>25341244873.959999</v>
      </c>
      <c r="E139" s="30">
        <f t="shared" si="76"/>
        <v>1.3735368307976684E-2</v>
      </c>
      <c r="F139" s="33">
        <f>1.06*1536.8158</f>
        <v>1629.0247480000003</v>
      </c>
      <c r="G139" s="33">
        <f>1.07*1536.8158</f>
        <v>1644.3929060000003</v>
      </c>
      <c r="H139" s="32">
        <v>460</v>
      </c>
      <c r="I139" s="50">
        <v>2.8E-3</v>
      </c>
      <c r="J139" s="50">
        <v>2.6200000000000001E-2</v>
      </c>
      <c r="K139" s="33">
        <v>25115492168.84</v>
      </c>
      <c r="L139" s="30">
        <f t="shared" si="77"/>
        <v>1.3180965214424125E-2</v>
      </c>
      <c r="M139" s="33">
        <f>1.04*1567.0215</f>
        <v>1629.7023600000002</v>
      </c>
      <c r="N139" s="33">
        <f>1.04*1567.0215</f>
        <v>1629.7023600000002</v>
      </c>
      <c r="O139" s="32">
        <v>460</v>
      </c>
      <c r="P139" s="50">
        <v>2.8E-3</v>
      </c>
      <c r="Q139" s="50">
        <v>2.6200000000000001E-2</v>
      </c>
      <c r="R139" s="57">
        <f t="shared" si="78"/>
        <v>-8.9085088851328098E-3</v>
      </c>
      <c r="S139" s="57">
        <f t="shared" si="79"/>
        <v>-8.9337201263747345E-3</v>
      </c>
      <c r="T139" s="57">
        <f t="shared" si="80"/>
        <v>0</v>
      </c>
      <c r="U139" s="57">
        <f t="shared" si="81"/>
        <v>0</v>
      </c>
      <c r="V139" s="58">
        <f t="shared" si="82"/>
        <v>0</v>
      </c>
      <c r="X139" s="67"/>
    </row>
    <row r="140" spans="1:24">
      <c r="A140" s="135">
        <v>123</v>
      </c>
      <c r="B140" s="133" t="s">
        <v>182</v>
      </c>
      <c r="C140" s="134" t="s">
        <v>91</v>
      </c>
      <c r="D140" s="29">
        <f>268442.56*1541.67</f>
        <v>413849841.4752</v>
      </c>
      <c r="E140" s="30">
        <f t="shared" si="76"/>
        <v>2.2431336838944156E-4</v>
      </c>
      <c r="F140" s="33">
        <f>1.12*1541.67</f>
        <v>1726.6704000000002</v>
      </c>
      <c r="G140" s="33">
        <f>1.12*1541.67</f>
        <v>1726.6704000000002</v>
      </c>
      <c r="H140" s="32">
        <v>2</v>
      </c>
      <c r="I140" s="50">
        <v>-5.1570000000000001E-3</v>
      </c>
      <c r="J140" s="50">
        <v>6.7869999999999996E-3</v>
      </c>
      <c r="K140" s="29">
        <f>262334.27*1581.25</f>
        <v>414816064.4375</v>
      </c>
      <c r="L140" s="30">
        <f t="shared" si="77"/>
        <v>2.17701332666639E-4</v>
      </c>
      <c r="M140" s="33">
        <f>1.09*1581.25</f>
        <v>1723.5625000000002</v>
      </c>
      <c r="N140" s="33">
        <f>1.09*1581.25</f>
        <v>1723.5625000000002</v>
      </c>
      <c r="O140" s="32">
        <v>2</v>
      </c>
      <c r="P140" s="50">
        <v>-2.2133E-2</v>
      </c>
      <c r="Q140" s="50">
        <v>-1.5495999999999999E-2</v>
      </c>
      <c r="R140" s="57">
        <f t="shared" si="78"/>
        <v>2.3347186961720839E-3</v>
      </c>
      <c r="S140" s="57">
        <f t="shared" si="79"/>
        <v>-1.7999381931838132E-3</v>
      </c>
      <c r="T140" s="57">
        <f t="shared" si="80"/>
        <v>0</v>
      </c>
      <c r="U140" s="57">
        <f t="shared" si="81"/>
        <v>-1.6975999999999998E-2</v>
      </c>
      <c r="V140" s="58">
        <f t="shared" si="82"/>
        <v>-2.2282999999999997E-2</v>
      </c>
    </row>
    <row r="141" spans="1:24">
      <c r="A141" s="135">
        <v>124</v>
      </c>
      <c r="B141" s="133" t="s">
        <v>183</v>
      </c>
      <c r="C141" s="134" t="s">
        <v>49</v>
      </c>
      <c r="D141" s="29">
        <v>1019307178556.4</v>
      </c>
      <c r="E141" s="30">
        <f t="shared" si="76"/>
        <v>0.55248112656151782</v>
      </c>
      <c r="F141" s="33">
        <v>2466.67</v>
      </c>
      <c r="G141" s="33">
        <v>2466.67</v>
      </c>
      <c r="H141" s="32">
        <v>10345</v>
      </c>
      <c r="I141" s="50">
        <v>1.2999999999999999E-3</v>
      </c>
      <c r="J141" s="50">
        <v>1.61E-2</v>
      </c>
      <c r="K141" s="29">
        <v>1052561842131.9399</v>
      </c>
      <c r="L141" s="30">
        <f t="shared" si="77"/>
        <v>0.55239932922294233</v>
      </c>
      <c r="M141" s="33">
        <v>2533.3200000000002</v>
      </c>
      <c r="N141" s="33">
        <v>2533.3200000000002</v>
      </c>
      <c r="O141" s="32">
        <v>10399</v>
      </c>
      <c r="P141" s="50">
        <v>1.2999999999999999E-3</v>
      </c>
      <c r="Q141" s="50">
        <v>1.7500000000000002E-2</v>
      </c>
      <c r="R141" s="57">
        <f t="shared" si="78"/>
        <v>3.2624771290865467E-2</v>
      </c>
      <c r="S141" s="57">
        <f t="shared" si="79"/>
        <v>2.7020233756440904E-2</v>
      </c>
      <c r="T141" s="57">
        <f t="shared" si="80"/>
        <v>5.2199130014499761E-3</v>
      </c>
      <c r="U141" s="57">
        <f t="shared" si="81"/>
        <v>0</v>
      </c>
      <c r="V141" s="58">
        <f t="shared" si="82"/>
        <v>1.4000000000000019E-3</v>
      </c>
    </row>
    <row r="142" spans="1:24">
      <c r="A142" s="135">
        <v>125</v>
      </c>
      <c r="B142" s="133" t="s">
        <v>292</v>
      </c>
      <c r="C142" s="133" t="s">
        <v>101</v>
      </c>
      <c r="D142" s="29">
        <f>285456.99*1536.8158</f>
        <v>438694812.45244199</v>
      </c>
      <c r="E142" s="30">
        <f t="shared" si="76"/>
        <v>2.3777974814587075E-4</v>
      </c>
      <c r="F142" s="33">
        <f>101.6*1536.8158</f>
        <v>156140.48527999999</v>
      </c>
      <c r="G142" s="33">
        <f>101.6*1536.8158</f>
        <v>156140.48527999999</v>
      </c>
      <c r="H142" s="32">
        <v>18</v>
      </c>
      <c r="I142" s="50">
        <v>0</v>
      </c>
      <c r="J142" s="50">
        <v>0</v>
      </c>
      <c r="K142" s="29">
        <f>285449.32*1567.0215</f>
        <v>447305221.60038</v>
      </c>
      <c r="L142" s="30">
        <f t="shared" si="77"/>
        <v>2.3475210147224425E-4</v>
      </c>
      <c r="M142" s="33">
        <f>101.71*1567.0215</f>
        <v>159381.756765</v>
      </c>
      <c r="N142" s="33">
        <f>101.71*1567.0215</f>
        <v>159381.756765</v>
      </c>
      <c r="O142" s="32">
        <v>18</v>
      </c>
      <c r="P142" s="50">
        <v>0</v>
      </c>
      <c r="Q142" s="50">
        <v>0</v>
      </c>
      <c r="R142" s="57">
        <f t="shared" ref="R142" si="85">((K142-D142)/D142)</f>
        <v>1.9627332951130918E-2</v>
      </c>
      <c r="S142" s="57">
        <f t="shared" ref="S142" si="86">((N142-G142)/G142)</f>
        <v>2.0758687147587461E-2</v>
      </c>
      <c r="T142" s="57">
        <f t="shared" ref="T142" si="87">((O142-H142)/H142)</f>
        <v>0</v>
      </c>
      <c r="U142" s="57">
        <f t="shared" ref="U142" si="88">P142-I142</f>
        <v>0</v>
      </c>
      <c r="V142" s="58">
        <f t="shared" ref="V142" si="89">Q142-J142</f>
        <v>0</v>
      </c>
    </row>
    <row r="143" spans="1:24" ht="16.5" customHeight="1">
      <c r="A143" s="135">
        <v>126</v>
      </c>
      <c r="B143" s="133" t="s">
        <v>184</v>
      </c>
      <c r="C143" s="134" t="s">
        <v>52</v>
      </c>
      <c r="D143" s="29">
        <f>137502959.72*1541.67</f>
        <v>211984187911.53241</v>
      </c>
      <c r="E143" s="30">
        <f t="shared" si="76"/>
        <v>0.11489888957366114</v>
      </c>
      <c r="F143" s="33">
        <f>1.1911*1541.67</f>
        <v>1836.2831370000001</v>
      </c>
      <c r="G143" s="33">
        <f>1.1911*1541.67</f>
        <v>1836.2831370000001</v>
      </c>
      <c r="H143" s="32">
        <v>620</v>
      </c>
      <c r="I143" s="50">
        <v>4.7E-2</v>
      </c>
      <c r="J143" s="50">
        <v>7.9100000000000004E-2</v>
      </c>
      <c r="K143" s="29">
        <f>137681985.19*1581.25</f>
        <v>217709639081.6875</v>
      </c>
      <c r="L143" s="30">
        <f t="shared" si="77"/>
        <v>0.11425709519404939</v>
      </c>
      <c r="M143" s="33">
        <f>1.1918*1581.25</f>
        <v>1884.5337500000001</v>
      </c>
      <c r="N143" s="33">
        <f>1.1918*1581.25</f>
        <v>1884.5337500000001</v>
      </c>
      <c r="O143" s="32">
        <v>620</v>
      </c>
      <c r="P143" s="50">
        <v>5.8500000000000003E-2</v>
      </c>
      <c r="Q143" s="50">
        <v>7.8899999999999998E-2</v>
      </c>
      <c r="R143" s="57">
        <f t="shared" si="78"/>
        <v>2.7008859606757554E-2</v>
      </c>
      <c r="S143" s="57">
        <f t="shared" si="79"/>
        <v>2.6276238139848435E-2</v>
      </c>
      <c r="T143" s="57">
        <f t="shared" si="80"/>
        <v>0</v>
      </c>
      <c r="U143" s="57">
        <f t="shared" si="81"/>
        <v>1.1500000000000003E-2</v>
      </c>
      <c r="V143" s="58">
        <f t="shared" si="82"/>
        <v>-2.0000000000000573E-4</v>
      </c>
    </row>
    <row r="144" spans="1:24" ht="16.5" customHeight="1">
      <c r="A144" s="135">
        <v>127</v>
      </c>
      <c r="B144" s="133" t="s">
        <v>185</v>
      </c>
      <c r="C144" s="134" t="s">
        <v>96</v>
      </c>
      <c r="D144" s="33">
        <v>837265036.13220012</v>
      </c>
      <c r="E144" s="30">
        <v>0</v>
      </c>
      <c r="F144" s="33">
        <v>161150.76510000002</v>
      </c>
      <c r="G144" s="33">
        <v>161150.76510000002</v>
      </c>
      <c r="H144" s="32">
        <v>23</v>
      </c>
      <c r="I144" s="50">
        <v>1.5E-3</v>
      </c>
      <c r="J144" s="50">
        <v>6.59E-2</v>
      </c>
      <c r="K144" s="33">
        <v>859734024.30442476</v>
      </c>
      <c r="L144" s="30">
        <f t="shared" si="77"/>
        <v>4.5120056544513577E-4</v>
      </c>
      <c r="M144" s="33">
        <v>165477.8125</v>
      </c>
      <c r="N144" s="33">
        <v>165477.8125</v>
      </c>
      <c r="O144" s="32">
        <v>23</v>
      </c>
      <c r="P144" s="50">
        <v>6.9999999999999999E-4</v>
      </c>
      <c r="Q144" s="50">
        <v>6.6799999999999998E-2</v>
      </c>
      <c r="R144" s="57">
        <f t="shared" si="78"/>
        <v>2.6836171585549042E-2</v>
      </c>
      <c r="S144" s="57">
        <f t="shared" si="79"/>
        <v>2.6850926815736111E-2</v>
      </c>
      <c r="T144" s="57">
        <f t="shared" si="80"/>
        <v>0</v>
      </c>
      <c r="U144" s="57">
        <f t="shared" si="81"/>
        <v>-8.0000000000000004E-4</v>
      </c>
      <c r="V144" s="58">
        <f t="shared" si="82"/>
        <v>8.9999999999999802E-4</v>
      </c>
    </row>
    <row r="145" spans="1:22">
      <c r="A145" s="135">
        <v>128</v>
      </c>
      <c r="B145" s="133" t="s">
        <v>186</v>
      </c>
      <c r="C145" s="134" t="s">
        <v>110</v>
      </c>
      <c r="D145" s="33">
        <f>1286937.31*1536.8158</f>
        <v>1977785591.6174982</v>
      </c>
      <c r="E145" s="30">
        <f>(D145/$D$146)</f>
        <v>1.0719920694579048E-3</v>
      </c>
      <c r="F145" s="33">
        <f>1.2613*1536.8158</f>
        <v>1938.3857685400003</v>
      </c>
      <c r="G145" s="33">
        <f>1.2613*1536.8158</f>
        <v>1938.3857685400003</v>
      </c>
      <c r="H145" s="32">
        <v>94</v>
      </c>
      <c r="I145" s="50">
        <v>-1.8259999999999999E-3</v>
      </c>
      <c r="J145" s="50">
        <v>1.4269E-2</v>
      </c>
      <c r="K145" s="33">
        <f>1251120.32*1567.0215</f>
        <v>1960532440.5268803</v>
      </c>
      <c r="L145" s="30">
        <f t="shared" si="77"/>
        <v>1.0289151304148376E-3</v>
      </c>
      <c r="M145" s="33">
        <f>1.226*1567.0215</f>
        <v>1921.168359</v>
      </c>
      <c r="N145" s="33">
        <f>1.226*1567.0215</f>
        <v>1921.168359</v>
      </c>
      <c r="O145" s="32">
        <v>95</v>
      </c>
      <c r="P145" s="50">
        <v>-2.8396999999999999E-2</v>
      </c>
      <c r="Q145" s="50">
        <v>-1.4141000000000001E-2</v>
      </c>
      <c r="R145" s="57">
        <f t="shared" si="78"/>
        <v>-8.7234688955882735E-3</v>
      </c>
      <c r="S145" s="57">
        <f t="shared" si="79"/>
        <v>-8.8823441749515675E-3</v>
      </c>
      <c r="T145" s="57">
        <f t="shared" si="80"/>
        <v>1.0638297872340425E-2</v>
      </c>
      <c r="U145" s="57">
        <f t="shared" si="81"/>
        <v>-2.6570999999999997E-2</v>
      </c>
      <c r="V145" s="58">
        <f t="shared" si="82"/>
        <v>-2.8410000000000001E-2</v>
      </c>
    </row>
    <row r="146" spans="1:22">
      <c r="A146" s="36"/>
      <c r="B146" s="37"/>
      <c r="C146" s="71" t="s">
        <v>53</v>
      </c>
      <c r="D146" s="48">
        <f>SUM(D112:D145)</f>
        <v>1844962894751.3052</v>
      </c>
      <c r="E146" s="40">
        <f>(D146/$D$217)</f>
        <v>0.38569682885561607</v>
      </c>
      <c r="F146" s="41"/>
      <c r="G146" s="45"/>
      <c r="H146" s="43">
        <f>SUM(H112:H145)</f>
        <v>23826</v>
      </c>
      <c r="I146" s="80"/>
      <c r="J146" s="80"/>
      <c r="K146" s="48">
        <f>SUM(K112:K145)</f>
        <v>1905436495754.9351</v>
      </c>
      <c r="L146" s="40">
        <f>(K146/$K$217)</f>
        <v>0.38720684555878571</v>
      </c>
      <c r="M146" s="41"/>
      <c r="N146" s="45"/>
      <c r="O146" s="43">
        <f>SUM(O112:O145)</f>
        <v>23917</v>
      </c>
      <c r="P146" s="80"/>
      <c r="Q146" s="80"/>
      <c r="R146" s="57">
        <f t="shared" si="78"/>
        <v>3.2777678714119352E-2</v>
      </c>
      <c r="S146" s="57" t="e">
        <f t="shared" si="79"/>
        <v>#DIV/0!</v>
      </c>
      <c r="T146" s="57">
        <f t="shared" si="80"/>
        <v>3.8193570049525729E-3</v>
      </c>
      <c r="U146" s="57">
        <f t="shared" si="81"/>
        <v>0</v>
      </c>
      <c r="V146" s="58">
        <f t="shared" si="82"/>
        <v>0</v>
      </c>
    </row>
    <row r="147" spans="1:22" ht="6" customHeight="1">
      <c r="A147" s="36"/>
      <c r="B147" s="148"/>
      <c r="C147" s="148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</row>
    <row r="148" spans="1:22">
      <c r="A148" s="150" t="s">
        <v>187</v>
      </c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</row>
    <row r="149" spans="1:22">
      <c r="A149" s="135">
        <v>129</v>
      </c>
      <c r="B149" s="133" t="s">
        <v>188</v>
      </c>
      <c r="C149" s="134" t="s">
        <v>189</v>
      </c>
      <c r="D149" s="72">
        <v>2333744195.5286121</v>
      </c>
      <c r="E149" s="30">
        <f>(D149/$D$154)</f>
        <v>2.3023676554390322E-2</v>
      </c>
      <c r="F149" s="60">
        <v>1.0997852005318625</v>
      </c>
      <c r="G149" s="60">
        <v>1.0997852005318625</v>
      </c>
      <c r="H149" s="32">
        <v>8</v>
      </c>
      <c r="I149" s="50">
        <v>4.0243990843007501E-3</v>
      </c>
      <c r="J149" s="50">
        <v>4.3293730597228075E-2</v>
      </c>
      <c r="K149" s="72">
        <v>2344946167.6671491</v>
      </c>
      <c r="L149" s="30">
        <f>(K149/$K$154)</f>
        <v>2.3122034180908493E-2</v>
      </c>
      <c r="M149" s="60">
        <v>1.1100000000000001</v>
      </c>
      <c r="N149" s="60">
        <v>1.1100000000000001</v>
      </c>
      <c r="O149" s="32">
        <v>8</v>
      </c>
      <c r="P149" s="50">
        <v>4.7999999999999154E-3</v>
      </c>
      <c r="Q149" s="50">
        <v>4.830154050409452E-2</v>
      </c>
      <c r="R149" s="57">
        <f t="shared" ref="R149:R154" si="90">((K149-D149)/D149)</f>
        <v>4.7999999999998252E-3</v>
      </c>
      <c r="S149" s="57">
        <f t="shared" ref="S149:T154" si="91">((N149-G149)/G149)</f>
        <v>9.2879950222986268E-3</v>
      </c>
      <c r="T149" s="57">
        <f t="shared" si="91"/>
        <v>0</v>
      </c>
      <c r="U149" s="57">
        <f t="shared" ref="U149:V154" si="92">P149-I149</f>
        <v>7.7560091569916535E-4</v>
      </c>
      <c r="V149" s="58">
        <f t="shared" si="92"/>
        <v>5.007809906866445E-3</v>
      </c>
    </row>
    <row r="150" spans="1:22">
      <c r="A150" s="135">
        <v>130</v>
      </c>
      <c r="B150" s="133" t="s">
        <v>190</v>
      </c>
      <c r="C150" s="134" t="s">
        <v>47</v>
      </c>
      <c r="D150" s="29">
        <v>54160728474</v>
      </c>
      <c r="E150" s="30">
        <f>(D150/$D$154)</f>
        <v>0.53432552579014903</v>
      </c>
      <c r="F150" s="60">
        <v>102.07</v>
      </c>
      <c r="G150" s="60">
        <v>102.07</v>
      </c>
      <c r="H150" s="32">
        <v>645</v>
      </c>
      <c r="I150" s="50">
        <v>8.3900000000000002E-2</v>
      </c>
      <c r="J150" s="50">
        <v>8.3900000000000002E-2</v>
      </c>
      <c r="K150" s="29">
        <v>54160728474</v>
      </c>
      <c r="L150" s="30">
        <f>(K150/$K$154)</f>
        <v>0.53404476073093765</v>
      </c>
      <c r="M150" s="60">
        <v>102.07</v>
      </c>
      <c r="N150" s="60">
        <v>102.07</v>
      </c>
      <c r="O150" s="32">
        <v>645</v>
      </c>
      <c r="P150" s="50">
        <v>8.3900000000000002E-2</v>
      </c>
      <c r="Q150" s="50">
        <v>8.3900000000000002E-2</v>
      </c>
      <c r="R150" s="57">
        <f t="shared" si="90"/>
        <v>0</v>
      </c>
      <c r="S150" s="57">
        <f t="shared" si="91"/>
        <v>0</v>
      </c>
      <c r="T150" s="57">
        <f t="shared" si="91"/>
        <v>0</v>
      </c>
      <c r="U150" s="57">
        <f t="shared" si="92"/>
        <v>0</v>
      </c>
      <c r="V150" s="58">
        <f t="shared" si="92"/>
        <v>0</v>
      </c>
    </row>
    <row r="151" spans="1:22" ht="15.75" customHeight="1">
      <c r="A151" s="135">
        <v>131</v>
      </c>
      <c r="B151" s="133" t="s">
        <v>191</v>
      </c>
      <c r="C151" s="134" t="s">
        <v>145</v>
      </c>
      <c r="D151" s="29">
        <v>2858724095.8499999</v>
      </c>
      <c r="E151" s="30">
        <f>(D151/$D$154)</f>
        <v>2.820289347358566E-2</v>
      </c>
      <c r="F151" s="60">
        <v>206</v>
      </c>
      <c r="G151" s="60">
        <v>206</v>
      </c>
      <c r="H151" s="32">
        <v>3212</v>
      </c>
      <c r="I151" s="50">
        <v>3.125399758958413E-2</v>
      </c>
      <c r="J151" s="50">
        <v>4.9588261230840161E-2</v>
      </c>
      <c r="K151" s="29">
        <v>2860529295.4820657</v>
      </c>
      <c r="L151" s="30">
        <f>(K151/$K$154)</f>
        <v>2.8205874001545419E-2</v>
      </c>
      <c r="M151" s="60">
        <v>206</v>
      </c>
      <c r="N151" s="60">
        <v>206</v>
      </c>
      <c r="O151" s="32">
        <v>3250</v>
      </c>
      <c r="P151" s="50">
        <v>4.1851737125674554E-2</v>
      </c>
      <c r="Q151" s="50">
        <v>4.7002489164334173E-2</v>
      </c>
      <c r="R151" s="57">
        <f t="shared" si="90"/>
        <v>6.3147039432254941E-4</v>
      </c>
      <c r="S151" s="57">
        <f t="shared" si="91"/>
        <v>0</v>
      </c>
      <c r="T151" s="57">
        <f t="shared" si="91"/>
        <v>1.1830635118306352E-2</v>
      </c>
      <c r="U151" s="57">
        <f t="shared" si="92"/>
        <v>1.0597739536090424E-2</v>
      </c>
      <c r="V151" s="58">
        <f t="shared" si="92"/>
        <v>-2.5857720665059883E-3</v>
      </c>
    </row>
    <row r="152" spans="1:22">
      <c r="A152" s="135">
        <v>132</v>
      </c>
      <c r="B152" s="133" t="s">
        <v>192</v>
      </c>
      <c r="C152" s="134" t="s">
        <v>145</v>
      </c>
      <c r="D152" s="29">
        <v>10889668743.690001</v>
      </c>
      <c r="E152" s="30">
        <f>(D152/$D$154)</f>
        <v>0.10743260183337376</v>
      </c>
      <c r="F152" s="60">
        <v>51.25</v>
      </c>
      <c r="G152" s="60">
        <v>51.25</v>
      </c>
      <c r="H152" s="32">
        <v>5264</v>
      </c>
      <c r="I152" s="50">
        <v>8.5578298281401413E-2</v>
      </c>
      <c r="J152" s="50">
        <v>0.12944146613971752</v>
      </c>
      <c r="K152" s="29">
        <v>10912098448.459999</v>
      </c>
      <c r="L152" s="30">
        <f>(K152/$K$154)</f>
        <v>0.10759731578901835</v>
      </c>
      <c r="M152" s="60">
        <v>51.25</v>
      </c>
      <c r="N152" s="60">
        <v>51.25</v>
      </c>
      <c r="O152" s="32">
        <v>5344</v>
      </c>
      <c r="P152" s="50">
        <v>0.10252568994171264</v>
      </c>
      <c r="Q152" s="50">
        <v>0.13493511851003639</v>
      </c>
      <c r="R152" s="57">
        <f t="shared" si="90"/>
        <v>2.0597233302432089E-3</v>
      </c>
      <c r="S152" s="57">
        <f t="shared" si="91"/>
        <v>0</v>
      </c>
      <c r="T152" s="57">
        <f t="shared" si="91"/>
        <v>1.5197568389057751E-2</v>
      </c>
      <c r="U152" s="57">
        <f t="shared" si="92"/>
        <v>1.6947391660311228E-2</v>
      </c>
      <c r="V152" s="58">
        <f t="shared" si="92"/>
        <v>5.4936523703188744E-3</v>
      </c>
    </row>
    <row r="153" spans="1:22">
      <c r="A153" s="135">
        <v>133</v>
      </c>
      <c r="B153" s="133" t="s">
        <v>193</v>
      </c>
      <c r="C153" s="134" t="s">
        <v>49</v>
      </c>
      <c r="D153" s="29">
        <v>31119929004.459999</v>
      </c>
      <c r="E153" s="30">
        <f>(D153/$D$154)</f>
        <v>0.30701530234850138</v>
      </c>
      <c r="F153" s="60">
        <v>5.5</v>
      </c>
      <c r="G153" s="60">
        <v>5.5</v>
      </c>
      <c r="H153" s="32">
        <v>208137</v>
      </c>
      <c r="I153" s="50">
        <v>-9.0899999999999995E-2</v>
      </c>
      <c r="J153" s="50">
        <v>0.1</v>
      </c>
      <c r="K153" s="29">
        <v>31137781913.900002</v>
      </c>
      <c r="L153" s="30">
        <f>(K153/$K$154)</f>
        <v>0.30703001529759011</v>
      </c>
      <c r="M153" s="60">
        <v>6.1</v>
      </c>
      <c r="N153" s="60">
        <v>6.1</v>
      </c>
      <c r="O153" s="32">
        <v>208137</v>
      </c>
      <c r="P153" s="50">
        <v>0.1091</v>
      </c>
      <c r="Q153" s="50">
        <v>0.22</v>
      </c>
      <c r="R153" s="57">
        <f t="shared" si="90"/>
        <v>5.7368091802021217E-4</v>
      </c>
      <c r="S153" s="57">
        <f t="shared" si="91"/>
        <v>0.10909090909090903</v>
      </c>
      <c r="T153" s="57">
        <f t="shared" si="91"/>
        <v>0</v>
      </c>
      <c r="U153" s="57">
        <f t="shared" si="92"/>
        <v>0.2</v>
      </c>
      <c r="V153" s="58">
        <f t="shared" si="92"/>
        <v>0.12</v>
      </c>
    </row>
    <row r="154" spans="1:22">
      <c r="A154" s="36"/>
      <c r="B154" s="73"/>
      <c r="C154" s="38" t="s">
        <v>53</v>
      </c>
      <c r="D154" s="39">
        <f>SUM(D149:D153)</f>
        <v>101362794513.52859</v>
      </c>
      <c r="E154" s="40">
        <f>(D154/$D$217)</f>
        <v>2.1190295218962294E-2</v>
      </c>
      <c r="F154" s="41"/>
      <c r="G154" s="74"/>
      <c r="H154" s="43">
        <f>SUM(H149:H153)</f>
        <v>217266</v>
      </c>
      <c r="I154" s="81"/>
      <c r="J154" s="81"/>
      <c r="K154" s="39">
        <f>SUM(K149:K153)</f>
        <v>101416084299.50922</v>
      </c>
      <c r="L154" s="40">
        <f>(K154/$K$217)</f>
        <v>2.0608927234270515E-2</v>
      </c>
      <c r="M154" s="41"/>
      <c r="N154" s="74"/>
      <c r="O154" s="43">
        <f>SUM(O149:O153)</f>
        <v>217384</v>
      </c>
      <c r="P154" s="81"/>
      <c r="Q154" s="81"/>
      <c r="R154" s="57">
        <f t="shared" si="90"/>
        <v>5.2573319664651614E-4</v>
      </c>
      <c r="S154" s="57" t="e">
        <f t="shared" si="91"/>
        <v>#DIV/0!</v>
      </c>
      <c r="T154" s="57">
        <f t="shared" si="91"/>
        <v>5.4311305036222883E-4</v>
      </c>
      <c r="U154" s="57">
        <f t="shared" si="92"/>
        <v>0</v>
      </c>
      <c r="V154" s="58">
        <f t="shared" si="92"/>
        <v>0</v>
      </c>
    </row>
    <row r="155" spans="1:22" ht="5.25" customHeight="1">
      <c r="A155" s="36"/>
      <c r="B155" s="148"/>
      <c r="C155" s="148"/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</row>
    <row r="156" spans="1:22" ht="15" customHeight="1">
      <c r="A156" s="150" t="s">
        <v>194</v>
      </c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</row>
    <row r="157" spans="1:22">
      <c r="A157" s="141">
        <v>134</v>
      </c>
      <c r="B157" s="133" t="s">
        <v>195</v>
      </c>
      <c r="C157" s="134" t="s">
        <v>57</v>
      </c>
      <c r="D157" s="33">
        <v>284145136.69</v>
      </c>
      <c r="E157" s="30">
        <f t="shared" ref="E157:E184" si="93">(D157/$D$185)</f>
        <v>4.9795198128295519E-3</v>
      </c>
      <c r="F157" s="33">
        <v>6.0110000000000001</v>
      </c>
      <c r="G157" s="33">
        <v>6.0971000000000002</v>
      </c>
      <c r="H157" s="34">
        <v>11842</v>
      </c>
      <c r="I157" s="51">
        <v>5.058E-3</v>
      </c>
      <c r="J157" s="51">
        <v>5.1920000000000001E-2</v>
      </c>
      <c r="K157" s="33">
        <v>285035354.02999997</v>
      </c>
      <c r="L157" s="54">
        <f t="shared" ref="L157:L183" si="94">(K157/$K$185)</f>
        <v>4.9859714457750563E-3</v>
      </c>
      <c r="M157" s="33">
        <v>6.0298999999999996</v>
      </c>
      <c r="N157" s="33">
        <v>6.1162000000000001</v>
      </c>
      <c r="O157" s="34">
        <v>11842</v>
      </c>
      <c r="P157" s="51">
        <v>3.3080000000000002E-3</v>
      </c>
      <c r="Q157" s="51">
        <v>5.5227999999999999E-2</v>
      </c>
      <c r="R157" s="57">
        <f>((K157-D157)/D157)</f>
        <v>3.1329670124574174E-3</v>
      </c>
      <c r="S157" s="57">
        <f>((N157-G157)/G157)</f>
        <v>3.1326368273441297E-3</v>
      </c>
      <c r="T157" s="57">
        <f>((O157-H157)/H157)</f>
        <v>0</v>
      </c>
      <c r="U157" s="57">
        <f>P157-I157</f>
        <v>-1.7499999999999998E-3</v>
      </c>
      <c r="V157" s="58">
        <f>Q157-J157</f>
        <v>3.3079999999999984E-3</v>
      </c>
    </row>
    <row r="158" spans="1:22">
      <c r="A158" s="141">
        <v>135</v>
      </c>
      <c r="B158" s="133" t="s">
        <v>196</v>
      </c>
      <c r="C158" s="133" t="s">
        <v>197</v>
      </c>
      <c r="D158" s="33">
        <v>702427243.99185252</v>
      </c>
      <c r="E158" s="30">
        <f t="shared" si="93"/>
        <v>1.2309731636704747E-2</v>
      </c>
      <c r="F158" s="33">
        <v>1611.6981744953687</v>
      </c>
      <c r="G158" s="33">
        <v>1631.016868865227</v>
      </c>
      <c r="H158" s="34">
        <v>165</v>
      </c>
      <c r="I158" s="51">
        <v>1.3818377819580814E-2</v>
      </c>
      <c r="J158" s="51">
        <v>0.44084551927446314</v>
      </c>
      <c r="K158" s="33">
        <v>701507865.02677834</v>
      </c>
      <c r="L158" s="54">
        <f t="shared" si="94"/>
        <v>1.2271102986200112E-2</v>
      </c>
      <c r="M158" s="33">
        <v>1609.4472727630907</v>
      </c>
      <c r="N158" s="33">
        <v>1628.7182976368199</v>
      </c>
      <c r="O158" s="34">
        <v>164</v>
      </c>
      <c r="P158" s="51">
        <v>-1.4043131257923166E-3</v>
      </c>
      <c r="Q158" s="51">
        <v>0.43882212099950696</v>
      </c>
      <c r="R158" s="57">
        <f>((K158-D158)/D158)</f>
        <v>-1.3088600605087655E-3</v>
      </c>
      <c r="S158" s="57">
        <f>((N158-G158)/G158)</f>
        <v>-1.4092872197001543E-3</v>
      </c>
      <c r="T158" s="57">
        <f>((O158-H158)/H158)</f>
        <v>-6.0606060606060606E-3</v>
      </c>
      <c r="U158" s="57">
        <f>P158-I158</f>
        <v>-1.5222690945373131E-2</v>
      </c>
      <c r="V158" s="58">
        <f>Q158-J158</f>
        <v>-2.0233982749561785E-3</v>
      </c>
    </row>
    <row r="159" spans="1:22">
      <c r="A159" s="141">
        <v>136</v>
      </c>
      <c r="B159" s="133" t="s">
        <v>198</v>
      </c>
      <c r="C159" s="134" t="s">
        <v>23</v>
      </c>
      <c r="D159" s="33">
        <v>6958492126.9399996</v>
      </c>
      <c r="E159" s="30">
        <f t="shared" si="93"/>
        <v>0.1219445450207335</v>
      </c>
      <c r="F159" s="33">
        <v>812.23310000000004</v>
      </c>
      <c r="G159" s="33">
        <v>836.72260000000006</v>
      </c>
      <c r="H159" s="34">
        <v>21407</v>
      </c>
      <c r="I159" s="51">
        <v>2.3999999999999998E-3</v>
      </c>
      <c r="J159" s="51">
        <v>9.1600000000000001E-2</v>
      </c>
      <c r="K159" s="33">
        <v>6972292722.04</v>
      </c>
      <c r="L159" s="54">
        <f t="shared" si="94"/>
        <v>0.12196259843618489</v>
      </c>
      <c r="M159" s="33">
        <v>813.92589999999996</v>
      </c>
      <c r="N159" s="33">
        <v>838.46640000000002</v>
      </c>
      <c r="O159" s="34">
        <v>21420</v>
      </c>
      <c r="P159" s="51">
        <v>0.1087</v>
      </c>
      <c r="Q159" s="51">
        <v>9.2999999999999999E-2</v>
      </c>
      <c r="R159" s="57">
        <f t="shared" ref="R159:R184" si="95">((K159-D159)/D159)</f>
        <v>1.9832737967139442E-3</v>
      </c>
      <c r="S159" s="57">
        <f t="shared" ref="S159:T184" si="96">((N159-G159)/G159)</f>
        <v>2.0840837811718776E-3</v>
      </c>
      <c r="T159" s="57">
        <f t="shared" si="96"/>
        <v>6.0727799317980102E-4</v>
      </c>
      <c r="U159" s="57">
        <f t="shared" ref="U159:V184" si="97">P159-I159</f>
        <v>0.10630000000000001</v>
      </c>
      <c r="V159" s="58">
        <f t="shared" si="97"/>
        <v>1.3999999999999985E-3</v>
      </c>
    </row>
    <row r="160" spans="1:22">
      <c r="A160" s="141">
        <v>137</v>
      </c>
      <c r="B160" s="133" t="s">
        <v>199</v>
      </c>
      <c r="C160" s="134" t="s">
        <v>112</v>
      </c>
      <c r="D160" s="33">
        <v>3937723421.0999999</v>
      </c>
      <c r="E160" s="30">
        <f t="shared" si="93"/>
        <v>6.9006888596522237E-2</v>
      </c>
      <c r="F160" s="33">
        <v>23.548400000000001</v>
      </c>
      <c r="G160" s="33">
        <v>23.839700000000001</v>
      </c>
      <c r="H160" s="32">
        <v>6158</v>
      </c>
      <c r="I160" s="50">
        <v>8.9999999999999998E-4</v>
      </c>
      <c r="J160" s="50">
        <v>0.1075</v>
      </c>
      <c r="K160" s="33">
        <v>4001917492.6799998</v>
      </c>
      <c r="L160" s="54">
        <f t="shared" si="94"/>
        <v>7.0003408576292211E-2</v>
      </c>
      <c r="M160" s="33">
        <v>23.7776</v>
      </c>
      <c r="N160" s="33">
        <v>24.0733</v>
      </c>
      <c r="O160" s="32">
        <v>6157</v>
      </c>
      <c r="P160" s="50">
        <v>7.4999999999999997E-3</v>
      </c>
      <c r="Q160" s="50">
        <v>0.1183</v>
      </c>
      <c r="R160" s="57">
        <f t="shared" si="95"/>
        <v>1.6302331249579576E-2</v>
      </c>
      <c r="S160" s="57">
        <f t="shared" si="96"/>
        <v>9.7987810249289681E-3</v>
      </c>
      <c r="T160" s="57">
        <f t="shared" si="96"/>
        <v>-1.6239038648911984E-4</v>
      </c>
      <c r="U160" s="57">
        <f t="shared" si="97"/>
        <v>6.6E-3</v>
      </c>
      <c r="V160" s="58">
        <f t="shared" si="97"/>
        <v>1.0800000000000004E-2</v>
      </c>
    </row>
    <row r="161" spans="1:22">
      <c r="A161" s="141">
        <v>138</v>
      </c>
      <c r="B161" s="133" t="s">
        <v>200</v>
      </c>
      <c r="C161" s="134" t="s">
        <v>121</v>
      </c>
      <c r="D161" s="29">
        <v>2001635883.6745412</v>
      </c>
      <c r="E161" s="30">
        <f t="shared" si="93"/>
        <v>3.5077797413446792E-2</v>
      </c>
      <c r="F161" s="33">
        <v>4.7778</v>
      </c>
      <c r="G161" s="33">
        <v>4.8851000000000004</v>
      </c>
      <c r="H161" s="32">
        <v>2740</v>
      </c>
      <c r="I161" s="50">
        <v>0.79869999999999997</v>
      </c>
      <c r="J161" s="50">
        <v>0.1981</v>
      </c>
      <c r="K161" s="29">
        <v>2000831084.165036</v>
      </c>
      <c r="L161" s="54">
        <f t="shared" si="94"/>
        <v>3.499947116179853E-2</v>
      </c>
      <c r="M161" s="33">
        <v>4.7760999999999996</v>
      </c>
      <c r="N161" s="33">
        <v>4.8829000000000002</v>
      </c>
      <c r="O161" s="32">
        <v>2740</v>
      </c>
      <c r="P161" s="50">
        <v>-2.35E-2</v>
      </c>
      <c r="Q161" s="50">
        <v>0.18149999999999999</v>
      </c>
      <c r="R161" s="57">
        <f t="shared" si="95"/>
        <v>-4.0207088415493723E-4</v>
      </c>
      <c r="S161" s="57">
        <f t="shared" si="96"/>
        <v>-4.5034902049092168E-4</v>
      </c>
      <c r="T161" s="57">
        <f t="shared" si="96"/>
        <v>0</v>
      </c>
      <c r="U161" s="57">
        <f t="shared" si="97"/>
        <v>-0.82219999999999993</v>
      </c>
      <c r="V161" s="58">
        <f t="shared" si="97"/>
        <v>-1.6600000000000004E-2</v>
      </c>
    </row>
    <row r="162" spans="1:22">
      <c r="A162" s="141">
        <v>139</v>
      </c>
      <c r="B162" s="133" t="s">
        <v>201</v>
      </c>
      <c r="C162" s="134" t="s">
        <v>65</v>
      </c>
      <c r="D162" s="33">
        <v>3774060562.7543201</v>
      </c>
      <c r="E162" s="30">
        <f t="shared" si="93"/>
        <v>6.6138768257564109E-2</v>
      </c>
      <c r="F162" s="33">
        <v>8603.4810055039306</v>
      </c>
      <c r="G162" s="33">
        <v>8687.6741087874107</v>
      </c>
      <c r="H162" s="32">
        <v>999</v>
      </c>
      <c r="I162" s="50">
        <v>0.64097933927911332</v>
      </c>
      <c r="J162" s="50">
        <v>0.5281740270909232</v>
      </c>
      <c r="K162" s="33">
        <v>3762245596.0920901</v>
      </c>
      <c r="L162" s="54">
        <f t="shared" si="94"/>
        <v>6.5810955900346982E-2</v>
      </c>
      <c r="M162" s="33">
        <v>8618.9280183269802</v>
      </c>
      <c r="N162" s="33">
        <v>8700.65233068825</v>
      </c>
      <c r="O162" s="32">
        <v>999</v>
      </c>
      <c r="P162" s="50">
        <v>9.3619243466787835E-2</v>
      </c>
      <c r="Q162" s="50">
        <v>0.49669124961546079</v>
      </c>
      <c r="R162" s="57">
        <f t="shared" si="95"/>
        <v>-3.130571559669784E-3</v>
      </c>
      <c r="S162" s="57">
        <f t="shared" si="96"/>
        <v>1.4938661071220581E-3</v>
      </c>
      <c r="T162" s="57">
        <f t="shared" si="96"/>
        <v>0</v>
      </c>
      <c r="U162" s="57">
        <f t="shared" si="97"/>
        <v>-0.54736009581232548</v>
      </c>
      <c r="V162" s="58">
        <f t="shared" si="97"/>
        <v>-3.1482777475462409E-2</v>
      </c>
    </row>
    <row r="163" spans="1:22">
      <c r="A163" s="141">
        <v>140</v>
      </c>
      <c r="B163" s="133" t="s">
        <v>202</v>
      </c>
      <c r="C163" s="134" t="s">
        <v>67</v>
      </c>
      <c r="D163" s="33">
        <v>887353702.60000002</v>
      </c>
      <c r="E163" s="30">
        <f t="shared" si="93"/>
        <v>1.5550487312774293E-2</v>
      </c>
      <c r="F163" s="33">
        <v>216.22</v>
      </c>
      <c r="G163" s="33">
        <v>218.04</v>
      </c>
      <c r="H163" s="32">
        <v>689</v>
      </c>
      <c r="I163" s="50">
        <v>2.0299999999999999E-2</v>
      </c>
      <c r="J163" s="50">
        <v>5.8599999999999999E-2</v>
      </c>
      <c r="K163" s="33">
        <v>894659345.05999994</v>
      </c>
      <c r="L163" s="54">
        <f t="shared" si="94"/>
        <v>1.5649798823536391E-2</v>
      </c>
      <c r="M163" s="33">
        <v>216.76</v>
      </c>
      <c r="N163" s="33">
        <v>218.59</v>
      </c>
      <c r="O163" s="32">
        <v>692</v>
      </c>
      <c r="P163" s="50">
        <v>2.5000000000000001E-3</v>
      </c>
      <c r="Q163" s="50">
        <v>6.13E-2</v>
      </c>
      <c r="R163" s="57">
        <f t="shared" si="95"/>
        <v>8.2330669704695492E-3</v>
      </c>
      <c r="S163" s="57">
        <f t="shared" si="96"/>
        <v>2.5224729407448696E-3</v>
      </c>
      <c r="T163" s="57">
        <f t="shared" si="96"/>
        <v>4.3541364296081275E-3</v>
      </c>
      <c r="U163" s="57">
        <f t="shared" si="97"/>
        <v>-1.78E-2</v>
      </c>
      <c r="V163" s="58">
        <f t="shared" si="97"/>
        <v>2.700000000000001E-3</v>
      </c>
    </row>
    <row r="164" spans="1:22">
      <c r="A164" s="141">
        <v>141</v>
      </c>
      <c r="B164" s="133" t="s">
        <v>203</v>
      </c>
      <c r="C164" s="134" t="s">
        <v>69</v>
      </c>
      <c r="D164" s="33">
        <v>3734808.11</v>
      </c>
      <c r="E164" s="30">
        <f t="shared" si="93"/>
        <v>6.5450886112301365E-5</v>
      </c>
      <c r="F164" s="33">
        <v>102.747</v>
      </c>
      <c r="G164" s="33">
        <v>102.99</v>
      </c>
      <c r="H164" s="32">
        <v>0</v>
      </c>
      <c r="I164" s="50">
        <v>0</v>
      </c>
      <c r="J164" s="50">
        <v>0</v>
      </c>
      <c r="K164" s="33">
        <v>3734808.11</v>
      </c>
      <c r="L164" s="54">
        <f t="shared" si="94"/>
        <v>6.5331006587867609E-5</v>
      </c>
      <c r="M164" s="33">
        <v>102.747</v>
      </c>
      <c r="N164" s="33">
        <v>102.99</v>
      </c>
      <c r="O164" s="32">
        <v>0</v>
      </c>
      <c r="P164" s="50">
        <v>0</v>
      </c>
      <c r="Q164" s="50">
        <v>0</v>
      </c>
      <c r="R164" s="57">
        <f t="shared" si="95"/>
        <v>0</v>
      </c>
      <c r="S164" s="57">
        <f t="shared" si="96"/>
        <v>0</v>
      </c>
      <c r="T164" s="57" t="e">
        <f t="shared" si="96"/>
        <v>#DIV/0!</v>
      </c>
      <c r="U164" s="57">
        <f t="shared" si="97"/>
        <v>0</v>
      </c>
      <c r="V164" s="58">
        <f t="shared" si="97"/>
        <v>0</v>
      </c>
    </row>
    <row r="165" spans="1:22">
      <c r="A165" s="141">
        <v>142</v>
      </c>
      <c r="B165" s="133" t="s">
        <v>204</v>
      </c>
      <c r="C165" s="134" t="s">
        <v>126</v>
      </c>
      <c r="D165" s="33">
        <v>228695674.55000001</v>
      </c>
      <c r="E165" s="30">
        <f t="shared" si="93"/>
        <v>4.0077921297402312E-3</v>
      </c>
      <c r="F165" s="33">
        <v>1.5905</v>
      </c>
      <c r="G165" s="33">
        <v>1.6071</v>
      </c>
      <c r="H165" s="32">
        <v>394</v>
      </c>
      <c r="I165" s="50">
        <v>1.1832813792225894E-2</v>
      </c>
      <c r="J165" s="50">
        <v>8.6481317029851734E-2</v>
      </c>
      <c r="K165" s="33">
        <v>228952549.13</v>
      </c>
      <c r="L165" s="54">
        <f t="shared" si="94"/>
        <v>4.0049448472256619E-3</v>
      </c>
      <c r="M165" s="33">
        <v>1.5913999999999999</v>
      </c>
      <c r="N165" s="33">
        <v>1.6080000000000001</v>
      </c>
      <c r="O165" s="32">
        <v>395</v>
      </c>
      <c r="P165" s="50">
        <v>5.6585979251799756E-4</v>
      </c>
      <c r="Q165" s="50">
        <v>8.7096113122481E-2</v>
      </c>
      <c r="R165" s="57">
        <f t="shared" si="95"/>
        <v>1.1232157342084864E-3</v>
      </c>
      <c r="S165" s="57">
        <f t="shared" si="96"/>
        <v>5.6001493373164263E-4</v>
      </c>
      <c r="T165" s="57">
        <f t="shared" si="96"/>
        <v>2.5380710659898475E-3</v>
      </c>
      <c r="U165" s="57">
        <f t="shared" si="97"/>
        <v>-1.1266953999707896E-2</v>
      </c>
      <c r="V165" s="58">
        <f t="shared" si="97"/>
        <v>6.1479609262926616E-4</v>
      </c>
    </row>
    <row r="166" spans="1:22">
      <c r="A166" s="141">
        <v>143</v>
      </c>
      <c r="B166" s="133" t="s">
        <v>205</v>
      </c>
      <c r="C166" s="134" t="s">
        <v>29</v>
      </c>
      <c r="D166" s="44">
        <v>130105492.91</v>
      </c>
      <c r="E166" s="30">
        <f t="shared" si="93"/>
        <v>2.2800421194965332E-3</v>
      </c>
      <c r="F166" s="33">
        <v>165.16419999999999</v>
      </c>
      <c r="G166" s="33">
        <v>166.06489999999999</v>
      </c>
      <c r="H166" s="32">
        <v>106</v>
      </c>
      <c r="I166" s="50">
        <v>3.0200000000000002E-4</v>
      </c>
      <c r="J166" s="50">
        <v>3.3300000000000003E-2</v>
      </c>
      <c r="K166" s="44">
        <v>130112092.91</v>
      </c>
      <c r="L166" s="54">
        <f t="shared" si="94"/>
        <v>2.2759814557285121E-3</v>
      </c>
      <c r="M166" s="33">
        <v>164.73779999999999</v>
      </c>
      <c r="N166" s="33">
        <v>165.63910000000001</v>
      </c>
      <c r="O166" s="32">
        <v>109</v>
      </c>
      <c r="P166" s="50">
        <v>-2.7209999999999999E-3</v>
      </c>
      <c r="Q166" s="50">
        <v>3.0599999999999999E-2</v>
      </c>
      <c r="R166" s="57">
        <f t="shared" si="95"/>
        <v>5.0728065759418215E-5</v>
      </c>
      <c r="S166" s="57">
        <f t="shared" si="96"/>
        <v>-2.5640577870457942E-3</v>
      </c>
      <c r="T166" s="57">
        <f t="shared" si="96"/>
        <v>2.8301886792452831E-2</v>
      </c>
      <c r="U166" s="57">
        <f t="shared" si="97"/>
        <v>-3.0230000000000001E-3</v>
      </c>
      <c r="V166" s="58">
        <f t="shared" si="97"/>
        <v>-2.7000000000000045E-3</v>
      </c>
    </row>
    <row r="167" spans="1:22">
      <c r="A167" s="141">
        <v>144</v>
      </c>
      <c r="B167" s="133" t="s">
        <v>206</v>
      </c>
      <c r="C167" s="134" t="s">
        <v>72</v>
      </c>
      <c r="D167" s="44">
        <v>254202253.52000001</v>
      </c>
      <c r="E167" s="30">
        <f t="shared" si="93"/>
        <v>4.4547838214445447E-3</v>
      </c>
      <c r="F167" s="33">
        <v>128.33000000000001</v>
      </c>
      <c r="G167" s="33">
        <v>129.26</v>
      </c>
      <c r="H167" s="32">
        <v>34</v>
      </c>
      <c r="I167" s="50">
        <v>4.1999999999999997E-3</v>
      </c>
      <c r="J167" s="50">
        <v>8.3500000000000005E-2</v>
      </c>
      <c r="K167" s="44">
        <v>255068972.53</v>
      </c>
      <c r="L167" s="54">
        <f t="shared" si="94"/>
        <v>4.4617855145222046E-3</v>
      </c>
      <c r="M167" s="33">
        <v>128.76</v>
      </c>
      <c r="N167" s="33">
        <v>129.79</v>
      </c>
      <c r="O167" s="32">
        <v>34</v>
      </c>
      <c r="P167" s="50">
        <v>4.1000000000000003E-3</v>
      </c>
      <c r="Q167" s="50">
        <v>8.7499999999999994E-2</v>
      </c>
      <c r="R167" s="57">
        <f t="shared" si="95"/>
        <v>3.4095646202908234E-3</v>
      </c>
      <c r="S167" s="57">
        <f t="shared" si="96"/>
        <v>4.1002630357419249E-3</v>
      </c>
      <c r="T167" s="57">
        <f t="shared" si="96"/>
        <v>0</v>
      </c>
      <c r="U167" s="57">
        <f t="shared" si="97"/>
        <v>-9.9999999999999395E-5</v>
      </c>
      <c r="V167" s="58">
        <f t="shared" si="97"/>
        <v>3.9999999999999897E-3</v>
      </c>
    </row>
    <row r="168" spans="1:22" ht="15.75" customHeight="1">
      <c r="A168" s="141">
        <v>145</v>
      </c>
      <c r="B168" s="133" t="s">
        <v>207</v>
      </c>
      <c r="C168" s="134" t="s">
        <v>75</v>
      </c>
      <c r="D168" s="29">
        <v>336924444.56</v>
      </c>
      <c r="E168" s="30">
        <f t="shared" si="93"/>
        <v>5.9044542048364984E-3</v>
      </c>
      <c r="F168" s="33">
        <v>1.3485</v>
      </c>
      <c r="G168" s="33">
        <v>1.3623000000000001</v>
      </c>
      <c r="H168" s="32">
        <v>100</v>
      </c>
      <c r="I168" s="50">
        <v>7.4999999999999997E-3</v>
      </c>
      <c r="J168" s="50">
        <v>5.8099999999999999E-2</v>
      </c>
      <c r="K168" s="29">
        <v>335697559.5</v>
      </c>
      <c r="L168" s="54">
        <f t="shared" si="94"/>
        <v>5.8721783891664461E-3</v>
      </c>
      <c r="M168" s="33">
        <v>1.3427</v>
      </c>
      <c r="N168" s="33">
        <v>1.357</v>
      </c>
      <c r="O168" s="32">
        <v>101</v>
      </c>
      <c r="P168" s="50">
        <v>-4.7000000000000002E-3</v>
      </c>
      <c r="Q168" s="50">
        <v>5.3499999999999999E-2</v>
      </c>
      <c r="R168" s="57">
        <f t="shared" si="95"/>
        <v>-3.6414248945404637E-3</v>
      </c>
      <c r="S168" s="57">
        <f t="shared" si="96"/>
        <v>-3.8904793364164152E-3</v>
      </c>
      <c r="T168" s="57">
        <f t="shared" si="96"/>
        <v>0.01</v>
      </c>
      <c r="U168" s="57">
        <f t="shared" si="97"/>
        <v>-1.2199999999999999E-2</v>
      </c>
      <c r="V168" s="58">
        <f t="shared" si="97"/>
        <v>-4.5999999999999999E-3</v>
      </c>
    </row>
    <row r="169" spans="1:22">
      <c r="A169" s="141">
        <v>146</v>
      </c>
      <c r="B169" s="133" t="s">
        <v>208</v>
      </c>
      <c r="C169" s="134" t="s">
        <v>31</v>
      </c>
      <c r="D169" s="33">
        <v>9981750199.2299995</v>
      </c>
      <c r="E169" s="30">
        <f t="shared" si="93"/>
        <v>0.17492582650819083</v>
      </c>
      <c r="F169" s="33">
        <v>344.42</v>
      </c>
      <c r="G169" s="33">
        <v>347.16</v>
      </c>
      <c r="H169" s="32">
        <v>5476</v>
      </c>
      <c r="I169" s="50">
        <v>8.5000000000000006E-3</v>
      </c>
      <c r="J169" s="50">
        <v>6.2700000000000006E-2</v>
      </c>
      <c r="K169" s="33">
        <v>9977586066.4099998</v>
      </c>
      <c r="L169" s="54">
        <f t="shared" si="94"/>
        <v>0.17453259226098441</v>
      </c>
      <c r="M169" s="33">
        <v>344.21</v>
      </c>
      <c r="N169" s="33">
        <v>346.93</v>
      </c>
      <c r="O169" s="32">
        <v>5482</v>
      </c>
      <c r="P169" s="50">
        <v>-5.9999999999999995E-4</v>
      </c>
      <c r="Q169" s="50">
        <v>6.2E-2</v>
      </c>
      <c r="R169" s="57">
        <f t="shared" si="95"/>
        <v>-4.1717461736529124E-4</v>
      </c>
      <c r="S169" s="57">
        <f t="shared" si="96"/>
        <v>-6.6251872335527766E-4</v>
      </c>
      <c r="T169" s="57">
        <f t="shared" si="96"/>
        <v>1.095690284879474E-3</v>
      </c>
      <c r="U169" s="57">
        <f t="shared" si="97"/>
        <v>-9.1000000000000004E-3</v>
      </c>
      <c r="V169" s="58">
        <f t="shared" si="97"/>
        <v>-7.0000000000000617E-4</v>
      </c>
    </row>
    <row r="170" spans="1:22">
      <c r="A170" s="141">
        <v>147</v>
      </c>
      <c r="B170" s="133" t="s">
        <v>209</v>
      </c>
      <c r="C170" s="134" t="s">
        <v>80</v>
      </c>
      <c r="D170" s="33">
        <v>3523064731.9699998</v>
      </c>
      <c r="E170" s="30">
        <f t="shared" si="93"/>
        <v>6.1740175598588916E-2</v>
      </c>
      <c r="F170" s="33">
        <v>2.4681999999999999</v>
      </c>
      <c r="G170" s="33">
        <v>2.5121000000000002</v>
      </c>
      <c r="H170" s="32">
        <v>10305</v>
      </c>
      <c r="I170" s="50">
        <v>1.0699999999999999E-2</v>
      </c>
      <c r="J170" s="50">
        <v>6.4600000000000005E-2</v>
      </c>
      <c r="K170" s="33">
        <v>3590535844.6700001</v>
      </c>
      <c r="L170" s="54">
        <f t="shared" si="94"/>
        <v>6.2807328787264138E-2</v>
      </c>
      <c r="M170" s="33">
        <v>2.5158</v>
      </c>
      <c r="N170" s="33">
        <v>2.5598999999999998</v>
      </c>
      <c r="O170" s="32">
        <v>10305</v>
      </c>
      <c r="P170" s="50">
        <v>1.9199999999999998E-2</v>
      </c>
      <c r="Q170" s="50">
        <v>8.5099999999999995E-2</v>
      </c>
      <c r="R170" s="57">
        <f t="shared" si="95"/>
        <v>1.9151255464520608E-2</v>
      </c>
      <c r="S170" s="57">
        <f t="shared" si="96"/>
        <v>1.9027904940089813E-2</v>
      </c>
      <c r="T170" s="57">
        <f t="shared" si="96"/>
        <v>0</v>
      </c>
      <c r="U170" s="57">
        <f t="shared" si="97"/>
        <v>8.4999999999999989E-3</v>
      </c>
      <c r="V170" s="58">
        <f t="shared" si="97"/>
        <v>2.049999999999999E-2</v>
      </c>
    </row>
    <row r="171" spans="1:22">
      <c r="A171" s="141">
        <v>148</v>
      </c>
      <c r="B171" s="133" t="s">
        <v>210</v>
      </c>
      <c r="C171" s="134" t="s">
        <v>82</v>
      </c>
      <c r="D171" s="33">
        <v>264047687.21652806</v>
      </c>
      <c r="E171" s="30">
        <f t="shared" si="93"/>
        <v>4.6273207605907092E-3</v>
      </c>
      <c r="F171" s="33">
        <v>343.56377843020448</v>
      </c>
      <c r="G171" s="33">
        <v>347.04456429727583</v>
      </c>
      <c r="H171" s="32">
        <v>40</v>
      </c>
      <c r="I171" s="50">
        <v>1.01E-2</v>
      </c>
      <c r="J171" s="50">
        <v>2.69E-2</v>
      </c>
      <c r="K171" s="33">
        <v>263091986.90665025</v>
      </c>
      <c r="L171" s="54">
        <f t="shared" si="94"/>
        <v>4.6021278265387369E-3</v>
      </c>
      <c r="M171" s="33">
        <v>342.3202757395739</v>
      </c>
      <c r="N171" s="33">
        <v>345.96646295218306</v>
      </c>
      <c r="O171" s="32">
        <v>32</v>
      </c>
      <c r="P171" s="50">
        <v>-3.6194231426617263E-3</v>
      </c>
      <c r="Q171" s="50">
        <v>2.2920292065064851E-2</v>
      </c>
      <c r="R171" s="57">
        <f t="shared" si="95"/>
        <v>-3.6194231426617501E-3</v>
      </c>
      <c r="S171" s="57">
        <f t="shared" si="96"/>
        <v>-3.1065213404963981E-3</v>
      </c>
      <c r="T171" s="57">
        <f t="shared" si="96"/>
        <v>-0.2</v>
      </c>
      <c r="U171" s="57">
        <f t="shared" si="97"/>
        <v>-1.3719423142661726E-2</v>
      </c>
      <c r="V171" s="58">
        <f t="shared" si="97"/>
        <v>-3.9797079349351491E-3</v>
      </c>
    </row>
    <row r="172" spans="1:22">
      <c r="A172" s="141">
        <v>149</v>
      </c>
      <c r="B172" s="133" t="s">
        <v>211</v>
      </c>
      <c r="C172" s="133" t="s">
        <v>84</v>
      </c>
      <c r="D172" s="136">
        <v>61914682.506502129</v>
      </c>
      <c r="E172" s="30">
        <f t="shared" si="93"/>
        <v>1.0850278552630562E-3</v>
      </c>
      <c r="F172" s="33">
        <v>1.2035906489115251</v>
      </c>
      <c r="G172" s="33">
        <v>1.2176184882003998</v>
      </c>
      <c r="H172" s="32">
        <v>32</v>
      </c>
      <c r="I172" s="50">
        <v>3.6264239115580196E-4</v>
      </c>
      <c r="J172" s="50">
        <v>1.3325540024125912E-2</v>
      </c>
      <c r="K172" s="136">
        <v>61985200.297614478</v>
      </c>
      <c r="L172" s="54">
        <f t="shared" si="94"/>
        <v>1.0842740536390622E-3</v>
      </c>
      <c r="M172" s="33">
        <v>1.2049774567368972</v>
      </c>
      <c r="N172" s="33">
        <v>1.219005296025772</v>
      </c>
      <c r="O172" s="32">
        <v>32</v>
      </c>
      <c r="P172" s="50">
        <v>1.1389510251456564E-3</v>
      </c>
      <c r="Q172" s="50">
        <v>1.4479668186742666E-2</v>
      </c>
      <c r="R172" s="57">
        <f t="shared" si="95"/>
        <v>1.1389510251456564E-3</v>
      </c>
      <c r="S172" s="57">
        <f t="shared" si="96"/>
        <v>1.1389510251457475E-3</v>
      </c>
      <c r="T172" s="57">
        <f t="shared" si="96"/>
        <v>0</v>
      </c>
      <c r="U172" s="57">
        <f t="shared" si="97"/>
        <v>7.763086339898544E-4</v>
      </c>
      <c r="V172" s="58">
        <f t="shared" si="97"/>
        <v>1.1541281626167542E-3</v>
      </c>
    </row>
    <row r="173" spans="1:22" ht="13.5" customHeight="1">
      <c r="A173" s="141">
        <v>150</v>
      </c>
      <c r="B173" s="133" t="s">
        <v>212</v>
      </c>
      <c r="C173" s="134" t="s">
        <v>37</v>
      </c>
      <c r="D173" s="29">
        <v>3288223954.6100001</v>
      </c>
      <c r="E173" s="30">
        <f t="shared" si="93"/>
        <v>5.7624693217483758E-2</v>
      </c>
      <c r="F173" s="33">
        <v>4.6397250000000003</v>
      </c>
      <c r="G173" s="33">
        <v>4.7675840000000003</v>
      </c>
      <c r="H173" s="32">
        <v>2368</v>
      </c>
      <c r="I173" s="50">
        <v>8.5845633069969729E-3</v>
      </c>
      <c r="J173" s="50">
        <v>9.4459066927779833E-2</v>
      </c>
      <c r="K173" s="29">
        <v>3301004128.3200002</v>
      </c>
      <c r="L173" s="54">
        <f t="shared" si="94"/>
        <v>5.7742704873223624E-2</v>
      </c>
      <c r="M173" s="33">
        <v>4.6569070000000004</v>
      </c>
      <c r="N173" s="33">
        <v>4.7872380000000003</v>
      </c>
      <c r="O173" s="32">
        <v>2373</v>
      </c>
      <c r="P173" s="50">
        <v>3.7032367220040108E-3</v>
      </c>
      <c r="Q173" s="50">
        <v>9.8512107935157189E-2</v>
      </c>
      <c r="R173" s="57">
        <f t="shared" si="95"/>
        <v>3.886649415129582E-3</v>
      </c>
      <c r="S173" s="57">
        <f t="shared" si="96"/>
        <v>4.1224234329169784E-3</v>
      </c>
      <c r="T173" s="57">
        <f t="shared" si="96"/>
        <v>2.1114864864864866E-3</v>
      </c>
      <c r="U173" s="57">
        <f t="shared" si="97"/>
        <v>-4.8813265849929621E-3</v>
      </c>
      <c r="V173" s="58">
        <f t="shared" si="97"/>
        <v>4.053041007377356E-3</v>
      </c>
    </row>
    <row r="174" spans="1:22" ht="13.5" customHeight="1">
      <c r="A174" s="141">
        <v>151</v>
      </c>
      <c r="B174" s="133" t="s">
        <v>213</v>
      </c>
      <c r="C174" s="134" t="s">
        <v>214</v>
      </c>
      <c r="D174" s="29">
        <v>80261258.959999993</v>
      </c>
      <c r="E174" s="30">
        <f t="shared" si="93"/>
        <v>1.406543620100709E-3</v>
      </c>
      <c r="F174" s="33">
        <v>2.2599999999999998</v>
      </c>
      <c r="G174" s="33">
        <v>2.27</v>
      </c>
      <c r="H174" s="32">
        <v>86</v>
      </c>
      <c r="I174" s="50">
        <v>4.0000000000000001E-3</v>
      </c>
      <c r="J174" s="50">
        <v>7.5999999999999998E-2</v>
      </c>
      <c r="K174" s="29">
        <v>78436678.760000005</v>
      </c>
      <c r="L174" s="54">
        <f t="shared" si="94"/>
        <v>1.3720509932168953E-3</v>
      </c>
      <c r="M174" s="33">
        <v>2.2599999999999998</v>
      </c>
      <c r="N174" s="33">
        <v>2.27</v>
      </c>
      <c r="O174" s="32">
        <v>86</v>
      </c>
      <c r="P174" s="50">
        <v>-1.8E-3</v>
      </c>
      <c r="Q174" s="50">
        <v>7.0599999999999996E-2</v>
      </c>
      <c r="R174" s="57">
        <f t="shared" si="95"/>
        <v>-2.2733012460087486E-2</v>
      </c>
      <c r="S174" s="57">
        <f t="shared" si="96"/>
        <v>0</v>
      </c>
      <c r="T174" s="57">
        <f t="shared" si="96"/>
        <v>0</v>
      </c>
      <c r="U174" s="57">
        <f t="shared" si="97"/>
        <v>-5.7999999999999996E-3</v>
      </c>
      <c r="V174" s="58">
        <f t="shared" si="97"/>
        <v>-5.400000000000002E-3</v>
      </c>
    </row>
    <row r="175" spans="1:22">
      <c r="A175" s="141">
        <v>152</v>
      </c>
      <c r="B175" s="133" t="s">
        <v>215</v>
      </c>
      <c r="C175" s="134" t="s">
        <v>135</v>
      </c>
      <c r="D175" s="29">
        <v>595297793.66999996</v>
      </c>
      <c r="E175" s="30">
        <f t="shared" si="93"/>
        <v>1.0432334660534793E-2</v>
      </c>
      <c r="F175" s="33">
        <v>254.87</v>
      </c>
      <c r="G175" s="33">
        <v>256.48</v>
      </c>
      <c r="H175" s="32">
        <v>143</v>
      </c>
      <c r="I175" s="50">
        <v>1.37E-2</v>
      </c>
      <c r="J175" s="50">
        <v>0.25030000000000002</v>
      </c>
      <c r="K175" s="29">
        <v>595297793.66999996</v>
      </c>
      <c r="L175" s="54">
        <f t="shared" si="94"/>
        <v>1.0413226847147931E-2</v>
      </c>
      <c r="M175" s="33">
        <v>243.41</v>
      </c>
      <c r="N175" s="33">
        <v>244.32</v>
      </c>
      <c r="O175" s="32">
        <v>143</v>
      </c>
      <c r="P175" s="50">
        <v>1.37E-2</v>
      </c>
      <c r="Q175" s="50">
        <v>0.25030000000000002</v>
      </c>
      <c r="R175" s="57">
        <f t="shared" si="95"/>
        <v>0</v>
      </c>
      <c r="S175" s="57">
        <f t="shared" si="96"/>
        <v>-4.7411104179663224E-2</v>
      </c>
      <c r="T175" s="57">
        <f t="shared" si="96"/>
        <v>0</v>
      </c>
      <c r="U175" s="57">
        <f t="shared" si="97"/>
        <v>0</v>
      </c>
      <c r="V175" s="58">
        <f t="shared" si="97"/>
        <v>0</v>
      </c>
    </row>
    <row r="176" spans="1:22">
      <c r="A176" s="141">
        <v>153</v>
      </c>
      <c r="B176" s="133" t="s">
        <v>216</v>
      </c>
      <c r="C176" s="134" t="s">
        <v>33</v>
      </c>
      <c r="D176" s="29">
        <v>2171655840.5700002</v>
      </c>
      <c r="E176" s="30">
        <f t="shared" si="93"/>
        <v>3.8057323136813356E-2</v>
      </c>
      <c r="F176" s="33">
        <v>552.22</v>
      </c>
      <c r="G176" s="33">
        <v>552.22</v>
      </c>
      <c r="H176" s="32">
        <v>823</v>
      </c>
      <c r="I176" s="50">
        <v>-6.8999999999999999E-3</v>
      </c>
      <c r="J176" s="50">
        <v>0.38919999999999999</v>
      </c>
      <c r="K176" s="29">
        <v>2148864629.7399998</v>
      </c>
      <c r="L176" s="54">
        <f t="shared" si="94"/>
        <v>3.7588943031929854E-2</v>
      </c>
      <c r="M176" s="33">
        <v>552.22</v>
      </c>
      <c r="N176" s="33">
        <v>552.22</v>
      </c>
      <c r="O176" s="32">
        <v>823</v>
      </c>
      <c r="P176" s="50">
        <v>-1.0500000000000001E-2</v>
      </c>
      <c r="Q176" s="50">
        <v>0.37459999999999999</v>
      </c>
      <c r="R176" s="57">
        <f t="shared" si="95"/>
        <v>-1.0494853928612524E-2</v>
      </c>
      <c r="S176" s="57">
        <f t="shared" si="96"/>
        <v>0</v>
      </c>
      <c r="T176" s="57">
        <f t="shared" si="96"/>
        <v>0</v>
      </c>
      <c r="U176" s="57">
        <f t="shared" si="97"/>
        <v>-3.6000000000000008E-3</v>
      </c>
      <c r="V176" s="58">
        <f t="shared" si="97"/>
        <v>-1.4600000000000002E-2</v>
      </c>
    </row>
    <row r="177" spans="1:22">
      <c r="A177" s="141">
        <v>154</v>
      </c>
      <c r="B177" s="133" t="s">
        <v>217</v>
      </c>
      <c r="C177" s="134" t="s">
        <v>91</v>
      </c>
      <c r="D177" s="33">
        <v>30368354.989999998</v>
      </c>
      <c r="E177" s="30">
        <f t="shared" si="93"/>
        <v>5.3219219979374754E-4</v>
      </c>
      <c r="F177" s="33">
        <v>1.92</v>
      </c>
      <c r="G177" s="33">
        <v>1.92</v>
      </c>
      <c r="H177" s="32">
        <v>9</v>
      </c>
      <c r="I177" s="50">
        <v>1.9332999999999999E-2</v>
      </c>
      <c r="J177" s="50">
        <v>2.3067000000000001E-2</v>
      </c>
      <c r="K177" s="33">
        <v>33405129.710000001</v>
      </c>
      <c r="L177" s="54">
        <f t="shared" si="94"/>
        <v>5.8433811989140778E-4</v>
      </c>
      <c r="M177" s="33">
        <v>1.92</v>
      </c>
      <c r="N177" s="33">
        <v>1.92</v>
      </c>
      <c r="O177" s="32">
        <v>9</v>
      </c>
      <c r="P177" s="50">
        <v>1.181E-3</v>
      </c>
      <c r="Q177" s="50">
        <v>2.4275999999999999E-2</v>
      </c>
      <c r="R177" s="57">
        <f t="shared" si="95"/>
        <v>9.9997998607431415E-2</v>
      </c>
      <c r="S177" s="57">
        <f t="shared" si="96"/>
        <v>0</v>
      </c>
      <c r="T177" s="57">
        <f t="shared" si="96"/>
        <v>0</v>
      </c>
      <c r="U177" s="57">
        <f t="shared" si="97"/>
        <v>-1.8151999999999998E-2</v>
      </c>
      <c r="V177" s="58">
        <f t="shared" si="97"/>
        <v>1.2089999999999983E-3</v>
      </c>
    </row>
    <row r="178" spans="1:22">
      <c r="A178" s="141">
        <v>155</v>
      </c>
      <c r="B178" s="133" t="s">
        <v>218</v>
      </c>
      <c r="C178" s="134" t="s">
        <v>45</v>
      </c>
      <c r="D178" s="33">
        <v>247000422.72999999</v>
      </c>
      <c r="E178" s="30">
        <f t="shared" si="93"/>
        <v>4.3285748722955196E-3</v>
      </c>
      <c r="F178" s="33">
        <v>2.48</v>
      </c>
      <c r="G178" s="33">
        <v>2.54</v>
      </c>
      <c r="H178" s="32">
        <v>121</v>
      </c>
      <c r="I178" s="50">
        <v>-1.9699999999999999E-2</v>
      </c>
      <c r="J178" s="50">
        <v>-5.0099999999999999E-2</v>
      </c>
      <c r="K178" s="33">
        <v>274958071.79000002</v>
      </c>
      <c r="L178" s="54">
        <f t="shared" si="94"/>
        <v>4.8096949215149553E-3</v>
      </c>
      <c r="M178" s="33">
        <v>2.76</v>
      </c>
      <c r="N178" s="33">
        <v>2.82</v>
      </c>
      <c r="O178" s="32">
        <v>121</v>
      </c>
      <c r="P178" s="50">
        <v>2.2700000000000001E-2</v>
      </c>
      <c r="Q178" s="50">
        <v>-6.9800000000000001E-2</v>
      </c>
      <c r="R178" s="57">
        <f t="shared" si="95"/>
        <v>0.11318866887349814</v>
      </c>
      <c r="S178" s="57">
        <f t="shared" si="96"/>
        <v>0.11023622047244086</v>
      </c>
      <c r="T178" s="57">
        <f t="shared" si="96"/>
        <v>0</v>
      </c>
      <c r="U178" s="57">
        <f t="shared" si="97"/>
        <v>4.24E-2</v>
      </c>
      <c r="V178" s="58">
        <f t="shared" si="97"/>
        <v>-1.9700000000000002E-2</v>
      </c>
    </row>
    <row r="179" spans="1:22">
      <c r="A179" s="141">
        <v>156</v>
      </c>
      <c r="B179" s="133" t="s">
        <v>219</v>
      </c>
      <c r="C179" s="134" t="s">
        <v>49</v>
      </c>
      <c r="D179" s="29">
        <v>2933130009.4899998</v>
      </c>
      <c r="E179" s="30">
        <f t="shared" si="93"/>
        <v>5.1401826425749995E-2</v>
      </c>
      <c r="F179" s="33">
        <v>6888.77</v>
      </c>
      <c r="G179" s="33">
        <v>6951.45</v>
      </c>
      <c r="H179" s="32">
        <v>2309</v>
      </c>
      <c r="I179" s="50">
        <v>2.3699999999999999E-2</v>
      </c>
      <c r="J179" s="50">
        <v>0.08</v>
      </c>
      <c r="K179" s="29">
        <v>2929367652.6799998</v>
      </c>
      <c r="L179" s="30">
        <f t="shared" si="94"/>
        <v>5.1241866189351115E-2</v>
      </c>
      <c r="M179" s="33">
        <v>6892.29</v>
      </c>
      <c r="N179" s="33">
        <v>6954.92</v>
      </c>
      <c r="O179" s="32">
        <v>2310</v>
      </c>
      <c r="P179" s="50">
        <v>5.0000000000000001E-4</v>
      </c>
      <c r="Q179" s="50">
        <v>8.0500000000000002E-2</v>
      </c>
      <c r="R179" s="57">
        <f t="shared" si="95"/>
        <v>-1.2827105507860271E-3</v>
      </c>
      <c r="S179" s="57">
        <f t="shared" si="96"/>
        <v>4.9917643081662884E-4</v>
      </c>
      <c r="T179" s="57">
        <f t="shared" si="96"/>
        <v>4.3308791684711995E-4</v>
      </c>
      <c r="U179" s="57">
        <f t="shared" si="97"/>
        <v>-2.3199999999999998E-2</v>
      </c>
      <c r="V179" s="58">
        <f t="shared" si="97"/>
        <v>5.0000000000000044E-4</v>
      </c>
    </row>
    <row r="180" spans="1:22">
      <c r="A180" s="141">
        <v>157</v>
      </c>
      <c r="B180" s="133" t="s">
        <v>220</v>
      </c>
      <c r="C180" s="133" t="s">
        <v>101</v>
      </c>
      <c r="D180" s="29">
        <v>109002248.41</v>
      </c>
      <c r="E180" s="30">
        <f t="shared" si="93"/>
        <v>1.9102169473086241E-3</v>
      </c>
      <c r="F180" s="33">
        <v>1148.55</v>
      </c>
      <c r="G180" s="33">
        <v>1164.42</v>
      </c>
      <c r="H180" s="32">
        <v>10</v>
      </c>
      <c r="I180" s="50">
        <v>-1.8660759125192999E-3</v>
      </c>
      <c r="J180" s="50">
        <v>3.7199999999999997E-2</v>
      </c>
      <c r="K180" s="29">
        <v>108985734.81</v>
      </c>
      <c r="L180" s="30">
        <f t="shared" si="94"/>
        <v>1.9064293396470382E-3</v>
      </c>
      <c r="M180" s="33">
        <v>1148.43</v>
      </c>
      <c r="N180" s="33">
        <v>1164.21</v>
      </c>
      <c r="O180" s="32">
        <v>10</v>
      </c>
      <c r="P180" s="50">
        <v>-4.6031516381195298E-4</v>
      </c>
      <c r="Q180" s="50">
        <v>3.6900000000000002E-2</v>
      </c>
      <c r="R180" s="57">
        <f t="shared" si="95"/>
        <v>-1.5149779239305178E-4</v>
      </c>
      <c r="S180" s="57">
        <f t="shared" si="96"/>
        <v>-1.803472973669607E-4</v>
      </c>
      <c r="T180" s="57">
        <f t="shared" si="96"/>
        <v>0</v>
      </c>
      <c r="U180" s="57">
        <f t="shared" si="97"/>
        <v>1.405760748707347E-3</v>
      </c>
      <c r="V180" s="58">
        <f t="shared" si="97"/>
        <v>-2.9999999999999472E-4</v>
      </c>
    </row>
    <row r="181" spans="1:22">
      <c r="A181" s="141">
        <v>158</v>
      </c>
      <c r="B181" s="133" t="s">
        <v>221</v>
      </c>
      <c r="C181" s="133" t="s">
        <v>84</v>
      </c>
      <c r="D181" s="29">
        <v>744328212.45001805</v>
      </c>
      <c r="E181" s="30">
        <f t="shared" si="93"/>
        <v>1.3044027866598744E-2</v>
      </c>
      <c r="F181" s="33">
        <v>1.4204912569730048</v>
      </c>
      <c r="G181" s="33">
        <v>1.4204912569730048</v>
      </c>
      <c r="H181" s="32">
        <v>44</v>
      </c>
      <c r="I181" s="50">
        <v>2.6847587340616064E-3</v>
      </c>
      <c r="J181" s="50">
        <v>5.5797368678121968E-2</v>
      </c>
      <c r="K181" s="29">
        <v>744328212.45001805</v>
      </c>
      <c r="L181" s="30">
        <f t="shared" si="94"/>
        <v>1.3020136488647567E-2</v>
      </c>
      <c r="M181" s="33">
        <v>1.4243635456238546</v>
      </c>
      <c r="N181" s="33">
        <v>1.4243635456238546</v>
      </c>
      <c r="O181" s="32">
        <v>44</v>
      </c>
      <c r="P181" s="50">
        <v>2.6847587340616064E-3</v>
      </c>
      <c r="Q181" s="50">
        <v>5.5797368678121968E-2</v>
      </c>
      <c r="R181" s="57">
        <f t="shared" si="95"/>
        <v>0</v>
      </c>
      <c r="S181" s="57">
        <f t="shared" si="96"/>
        <v>2.7260207564398643E-3</v>
      </c>
      <c r="T181" s="57">
        <f t="shared" si="96"/>
        <v>0</v>
      </c>
      <c r="U181" s="57">
        <f t="shared" si="97"/>
        <v>0</v>
      </c>
      <c r="V181" s="58">
        <f t="shared" si="97"/>
        <v>0</v>
      </c>
    </row>
    <row r="182" spans="1:22">
      <c r="A182" s="141">
        <v>159</v>
      </c>
      <c r="B182" s="133" t="s">
        <v>222</v>
      </c>
      <c r="C182" s="134" t="s">
        <v>52</v>
      </c>
      <c r="D182" s="33">
        <v>2347383955.3000002</v>
      </c>
      <c r="E182" s="30">
        <f t="shared" si="93"/>
        <v>4.1136881841081739E-2</v>
      </c>
      <c r="F182" s="33">
        <v>2.1084000000000001</v>
      </c>
      <c r="G182" s="33">
        <v>2.1225000000000001</v>
      </c>
      <c r="H182" s="32">
        <v>2287</v>
      </c>
      <c r="I182" s="50">
        <v>8.0000000000000004E-4</v>
      </c>
      <c r="J182" s="50">
        <v>6.6299999999999998E-2</v>
      </c>
      <c r="K182" s="33">
        <v>2339095392.9899998</v>
      </c>
      <c r="L182" s="54">
        <f t="shared" si="94"/>
        <v>4.0916548328122929E-2</v>
      </c>
      <c r="M182" s="33">
        <v>2.1019000000000001</v>
      </c>
      <c r="N182" s="33">
        <v>2.1160000000000001</v>
      </c>
      <c r="O182" s="32">
        <v>2289</v>
      </c>
      <c r="P182" s="50">
        <v>-2.2000000000000001E-3</v>
      </c>
      <c r="Q182" s="50">
        <v>6.3E-2</v>
      </c>
      <c r="R182" s="57">
        <f t="shared" si="95"/>
        <v>-3.5309785138840336E-3</v>
      </c>
      <c r="S182" s="57">
        <f t="shared" si="96"/>
        <v>-3.0624263839811308E-3</v>
      </c>
      <c r="T182" s="57">
        <f t="shared" si="96"/>
        <v>8.7450808919982512E-4</v>
      </c>
      <c r="U182" s="57">
        <f t="shared" si="97"/>
        <v>-3.0000000000000001E-3</v>
      </c>
      <c r="V182" s="58">
        <f t="shared" si="97"/>
        <v>-3.2999999999999974E-3</v>
      </c>
    </row>
    <row r="183" spans="1:22">
      <c r="A183" s="141">
        <v>160</v>
      </c>
      <c r="B183" s="133" t="s">
        <v>223</v>
      </c>
      <c r="C183" s="134" t="s">
        <v>52</v>
      </c>
      <c r="D183" s="33">
        <v>1339064556.01</v>
      </c>
      <c r="E183" s="30">
        <f t="shared" si="93"/>
        <v>2.3466523358392808E-2</v>
      </c>
      <c r="F183" s="33">
        <v>1.6221000000000001</v>
      </c>
      <c r="G183" s="33">
        <v>1.6315999999999999</v>
      </c>
      <c r="H183" s="32">
        <v>916</v>
      </c>
      <c r="I183" s="50">
        <v>1.1999999999999999E-3</v>
      </c>
      <c r="J183" s="50">
        <v>6.7599999999999993E-2</v>
      </c>
      <c r="K183" s="33">
        <v>1336937706.8399999</v>
      </c>
      <c r="L183" s="54">
        <f t="shared" si="94"/>
        <v>2.3386338350093346E-2</v>
      </c>
      <c r="M183" s="33">
        <v>1.6198999999999999</v>
      </c>
      <c r="N183" s="33">
        <v>1.6293</v>
      </c>
      <c r="O183" s="32">
        <v>919</v>
      </c>
      <c r="P183" s="50">
        <v>-2.0000000000000001E-4</v>
      </c>
      <c r="Q183" s="50">
        <v>6.6199999999999995E-2</v>
      </c>
      <c r="R183" s="57">
        <f t="shared" si="95"/>
        <v>-1.588309660243291E-3</v>
      </c>
      <c r="S183" s="57">
        <f t="shared" si="96"/>
        <v>-1.4096592302034622E-3</v>
      </c>
      <c r="T183" s="57">
        <f t="shared" si="96"/>
        <v>3.2751091703056767E-3</v>
      </c>
      <c r="U183" s="57">
        <f t="shared" si="97"/>
        <v>-1.4E-3</v>
      </c>
      <c r="V183" s="58">
        <f t="shared" si="97"/>
        <v>-1.3999999999999985E-3</v>
      </c>
    </row>
    <row r="184" spans="1:22">
      <c r="A184" s="141">
        <v>161</v>
      </c>
      <c r="B184" s="133" t="s">
        <v>224</v>
      </c>
      <c r="C184" s="134" t="s">
        <v>106</v>
      </c>
      <c r="D184" s="29">
        <v>9846763873.5300007</v>
      </c>
      <c r="E184" s="30">
        <f t="shared" si="93"/>
        <v>0.17256024991900734</v>
      </c>
      <c r="F184" s="33">
        <v>572.20000000000005</v>
      </c>
      <c r="G184" s="33">
        <v>579.41999999999996</v>
      </c>
      <c r="H184" s="32">
        <v>34</v>
      </c>
      <c r="I184" s="50">
        <v>1.6243856704613258E-2</v>
      </c>
      <c r="J184" s="50">
        <v>0.10676027019136458</v>
      </c>
      <c r="K184" s="29">
        <v>9811530514.5400009</v>
      </c>
      <c r="L184" s="54">
        <v>5.2058</v>
      </c>
      <c r="M184" s="33">
        <v>570.28</v>
      </c>
      <c r="N184" s="33">
        <v>577.28</v>
      </c>
      <c r="O184" s="32">
        <v>34</v>
      </c>
      <c r="P184" s="50">
        <v>-3.5777942776089589E-3</v>
      </c>
      <c r="Q184" s="50">
        <v>0.10280050962998888</v>
      </c>
      <c r="R184" s="57">
        <f t="shared" si="95"/>
        <v>-3.5781663338869973E-3</v>
      </c>
      <c r="S184" s="57">
        <f t="shared" si="96"/>
        <v>-3.6933485209347046E-3</v>
      </c>
      <c r="T184" s="57">
        <f t="shared" si="96"/>
        <v>0</v>
      </c>
      <c r="U184" s="57">
        <f t="shared" si="97"/>
        <v>-1.9821650982222216E-2</v>
      </c>
      <c r="V184" s="58">
        <f t="shared" si="97"/>
        <v>-3.9597605613757025E-3</v>
      </c>
    </row>
    <row r="185" spans="1:22">
      <c r="A185" s="36"/>
      <c r="B185" s="37"/>
      <c r="C185" s="38" t="s">
        <v>53</v>
      </c>
      <c r="D185" s="75">
        <f>SUM(D157:D184)</f>
        <v>57062758533.043762</v>
      </c>
      <c r="E185" s="40">
        <f>(D185/$D$217)</f>
        <v>1.1929196557048079E-2</v>
      </c>
      <c r="F185" s="41"/>
      <c r="G185" s="76"/>
      <c r="H185" s="43">
        <f>SUM(H157:H184)</f>
        <v>69637</v>
      </c>
      <c r="I185" s="82"/>
      <c r="J185" s="82"/>
      <c r="K185" s="75">
        <f>SUM(K157:K184)</f>
        <v>57167466185.858185</v>
      </c>
      <c r="L185" s="40">
        <f>(K185/$K$217)</f>
        <v>1.1617093668421914E-2</v>
      </c>
      <c r="M185" s="41"/>
      <c r="N185" s="76"/>
      <c r="O185" s="43">
        <f>SUM(O157:O184)</f>
        <v>69665</v>
      </c>
      <c r="P185" s="82"/>
      <c r="Q185" s="82"/>
      <c r="R185" s="57">
        <f t="shared" ref="R185" si="98">((K185-D185)/D185)</f>
        <v>1.8349560292250638E-3</v>
      </c>
      <c r="S185" s="57" t="e">
        <f t="shared" ref="S185" si="99">((N185-G185)/G185)</f>
        <v>#DIV/0!</v>
      </c>
      <c r="T185" s="57">
        <f t="shared" ref="T185" si="100">((O185-H185)/H185)</f>
        <v>4.020850984390482E-4</v>
      </c>
      <c r="U185" s="57">
        <f t="shared" ref="U185" si="101">P185-I185</f>
        <v>0</v>
      </c>
      <c r="V185" s="58">
        <f t="shared" ref="V185" si="102">Q185-J185</f>
        <v>0</v>
      </c>
    </row>
    <row r="186" spans="1:22" ht="5.25" customHeight="1">
      <c r="A186" s="36"/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</row>
    <row r="187" spans="1:22" ht="15" customHeight="1">
      <c r="A187" s="150" t="s">
        <v>225</v>
      </c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</row>
    <row r="188" spans="1:22" ht="16.2" customHeight="1">
      <c r="A188" s="135">
        <v>162</v>
      </c>
      <c r="B188" s="133" t="s">
        <v>226</v>
      </c>
      <c r="C188" s="134" t="s">
        <v>23</v>
      </c>
      <c r="D188" s="78">
        <v>1054585773.59</v>
      </c>
      <c r="E188" s="30">
        <f>(D188/$D$191)</f>
        <v>0.15793930983531576</v>
      </c>
      <c r="F188" s="77">
        <v>71.641099999999994</v>
      </c>
      <c r="G188" s="77">
        <v>73.801100000000005</v>
      </c>
      <c r="H188" s="34">
        <v>1725</v>
      </c>
      <c r="I188" s="51">
        <v>-9.1800000000000007E-2</v>
      </c>
      <c r="J188" s="51">
        <v>0.188</v>
      </c>
      <c r="K188" s="78">
        <v>1079088065.6800001</v>
      </c>
      <c r="L188" s="54">
        <f>(K188/$K$191)</f>
        <v>0.15847999214874134</v>
      </c>
      <c r="M188" s="77">
        <v>71.850700000000003</v>
      </c>
      <c r="N188" s="77">
        <v>74.017099999999999</v>
      </c>
      <c r="O188" s="34">
        <v>1739</v>
      </c>
      <c r="P188" s="51">
        <v>0.15260000000000001</v>
      </c>
      <c r="Q188" s="51">
        <v>0.18590000000000001</v>
      </c>
      <c r="R188" s="57">
        <f>((K188-D188)/D188)</f>
        <v>2.3234043833712848E-2</v>
      </c>
      <c r="S188" s="57">
        <f t="shared" ref="S188:T191" si="103">((N188-G188)/G188)</f>
        <v>2.9267856441163339E-3</v>
      </c>
      <c r="T188" s="57">
        <f t="shared" si="103"/>
        <v>8.1159420289855077E-3</v>
      </c>
      <c r="U188" s="57">
        <f t="shared" ref="U188:V191" si="104">P188-I188</f>
        <v>0.24440000000000001</v>
      </c>
      <c r="V188" s="58">
        <f t="shared" si="104"/>
        <v>-2.0999999999999908E-3</v>
      </c>
    </row>
    <row r="189" spans="1:22">
      <c r="A189" s="135">
        <v>163</v>
      </c>
      <c r="B189" s="133" t="s">
        <v>227</v>
      </c>
      <c r="C189" s="134" t="s">
        <v>228</v>
      </c>
      <c r="D189" s="78">
        <v>1035785389.88</v>
      </c>
      <c r="E189" s="30">
        <f>(D189/$D$191)</f>
        <v>0.15512368335697971</v>
      </c>
      <c r="F189" s="77">
        <v>29.5884</v>
      </c>
      <c r="G189" s="77">
        <v>29.877800000000001</v>
      </c>
      <c r="H189" s="32">
        <v>1486</v>
      </c>
      <c r="I189" s="50">
        <v>-1.5E-3</v>
      </c>
      <c r="J189" s="50">
        <v>0.1115</v>
      </c>
      <c r="K189" s="78">
        <v>1066142908.05</v>
      </c>
      <c r="L189" s="54">
        <f>(K189/$K$191)</f>
        <v>0.15657880489182008</v>
      </c>
      <c r="M189" s="77">
        <v>30.2287</v>
      </c>
      <c r="N189" s="77">
        <v>30.524699999999999</v>
      </c>
      <c r="O189" s="32">
        <v>1487</v>
      </c>
      <c r="P189" s="50">
        <v>6.8999999999999999E-3</v>
      </c>
      <c r="Q189" s="50">
        <v>0.13550000000000001</v>
      </c>
      <c r="R189" s="57">
        <f>((K189-D189)/D189)</f>
        <v>2.9308695089353406E-2</v>
      </c>
      <c r="S189" s="57">
        <f t="shared" si="103"/>
        <v>2.1651527220879672E-2</v>
      </c>
      <c r="T189" s="57">
        <f t="shared" si="103"/>
        <v>6.7294751009421266E-4</v>
      </c>
      <c r="U189" s="57">
        <f t="shared" si="104"/>
        <v>8.3999999999999995E-3</v>
      </c>
      <c r="V189" s="58">
        <f t="shared" si="104"/>
        <v>2.4000000000000007E-2</v>
      </c>
    </row>
    <row r="190" spans="1:22">
      <c r="A190" s="135">
        <v>164</v>
      </c>
      <c r="B190" s="133" t="s">
        <v>229</v>
      </c>
      <c r="C190" s="134" t="s">
        <v>49</v>
      </c>
      <c r="D190" s="44">
        <v>4586787136.6999998</v>
      </c>
      <c r="E190" s="30">
        <f>(D190/$D$191)</f>
        <v>0.68693700680770453</v>
      </c>
      <c r="F190" s="77">
        <v>3.14</v>
      </c>
      <c r="G190" s="77">
        <v>3.18</v>
      </c>
      <c r="H190" s="32">
        <v>10330</v>
      </c>
      <c r="I190" s="50">
        <v>2.2499999999999999E-2</v>
      </c>
      <c r="J190" s="50">
        <v>9.6600000000000005E-2</v>
      </c>
      <c r="K190" s="44">
        <v>4663755138.96</v>
      </c>
      <c r="L190" s="54">
        <f>(K190/$K$191)</f>
        <v>0.6849412029594385</v>
      </c>
      <c r="M190" s="77">
        <v>3.15</v>
      </c>
      <c r="N190" s="77">
        <v>3.19</v>
      </c>
      <c r="O190" s="32">
        <v>10333</v>
      </c>
      <c r="P190" s="50">
        <v>3.0999999999999999E-3</v>
      </c>
      <c r="Q190" s="50">
        <v>0.1</v>
      </c>
      <c r="R190" s="57">
        <f>((K190-D190)/D190)</f>
        <v>1.678037370519345E-2</v>
      </c>
      <c r="S190" s="57">
        <f t="shared" si="103"/>
        <v>3.1446540880502474E-3</v>
      </c>
      <c r="T190" s="57">
        <f t="shared" si="103"/>
        <v>2.9041626331074538E-4</v>
      </c>
      <c r="U190" s="57">
        <f t="shared" si="104"/>
        <v>-1.9400000000000001E-2</v>
      </c>
      <c r="V190" s="58">
        <f t="shared" si="104"/>
        <v>3.4000000000000002E-3</v>
      </c>
    </row>
    <row r="191" spans="1:22">
      <c r="A191" s="36"/>
      <c r="B191" s="37"/>
      <c r="C191" s="71" t="s">
        <v>53</v>
      </c>
      <c r="D191" s="75">
        <f>SUM(D188:D190)</f>
        <v>6677158300.1700001</v>
      </c>
      <c r="E191" s="40">
        <f>(D191/$D$217)</f>
        <v>1.39588649152192E-3</v>
      </c>
      <c r="F191" s="41"/>
      <c r="G191" s="76"/>
      <c r="H191" s="43">
        <f>SUM(H188:H190)</f>
        <v>13541</v>
      </c>
      <c r="I191" s="82"/>
      <c r="J191" s="82"/>
      <c r="K191" s="75">
        <f>SUM(K188:K190)</f>
        <v>6808986112.6900005</v>
      </c>
      <c r="L191" s="40">
        <f>(K191/$K$217)</f>
        <v>1.3836651287104146E-3</v>
      </c>
      <c r="M191" s="41"/>
      <c r="N191" s="76"/>
      <c r="O191" s="43">
        <f>SUM(O188:O190)</f>
        <v>13559</v>
      </c>
      <c r="P191" s="82"/>
      <c r="Q191" s="82"/>
      <c r="R191" s="57">
        <f>((K191-D191)/D191)</f>
        <v>1.9743101270587537E-2</v>
      </c>
      <c r="S191" s="57" t="e">
        <f t="shared" si="103"/>
        <v>#DIV/0!</v>
      </c>
      <c r="T191" s="57">
        <f t="shared" si="103"/>
        <v>1.3292962115057972E-3</v>
      </c>
      <c r="U191" s="57">
        <f t="shared" si="104"/>
        <v>0</v>
      </c>
      <c r="V191" s="58">
        <f t="shared" si="104"/>
        <v>0</v>
      </c>
    </row>
    <row r="192" spans="1:22" ht="6" customHeight="1">
      <c r="A192" s="36"/>
      <c r="B192" s="148"/>
      <c r="C192" s="148"/>
      <c r="D192" s="148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</row>
    <row r="193" spans="1:24" ht="15" customHeight="1">
      <c r="A193" s="146" t="s">
        <v>230</v>
      </c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</row>
    <row r="194" spans="1:24">
      <c r="A194" s="149" t="s">
        <v>231</v>
      </c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</row>
    <row r="195" spans="1:24">
      <c r="A195" s="135">
        <v>165</v>
      </c>
      <c r="B195" s="133" t="s">
        <v>232</v>
      </c>
      <c r="C195" s="134" t="s">
        <v>233</v>
      </c>
      <c r="D195" s="47">
        <v>5351261046.8699999</v>
      </c>
      <c r="E195" s="30">
        <f>(D195/$D$216)</f>
        <v>9.5063682870670865E-2</v>
      </c>
      <c r="F195" s="79">
        <v>2.34</v>
      </c>
      <c r="G195" s="79">
        <v>2.38</v>
      </c>
      <c r="H195" s="46">
        <v>15015</v>
      </c>
      <c r="I195" s="53">
        <v>-8.9999999999999998E-4</v>
      </c>
      <c r="J195" s="53">
        <v>3.1800000000000002E-2</v>
      </c>
      <c r="K195" s="47">
        <v>5351261046.8699999</v>
      </c>
      <c r="L195" s="30">
        <f>(K195/$K$216)</f>
        <v>9.5118794928414963E-2</v>
      </c>
      <c r="M195" s="79">
        <v>2.34</v>
      </c>
      <c r="N195" s="79">
        <v>2.38</v>
      </c>
      <c r="O195" s="46">
        <v>15015</v>
      </c>
      <c r="P195" s="53">
        <v>-8.9999999999999998E-4</v>
      </c>
      <c r="Q195" s="53">
        <v>3.1800000000000002E-2</v>
      </c>
      <c r="R195" s="57">
        <f>((K195-D195)/D195)</f>
        <v>0</v>
      </c>
      <c r="S195" s="57">
        <f>((N195-G195)/G195)</f>
        <v>0</v>
      </c>
      <c r="T195" s="57">
        <f>((O195-H195)/H195)</f>
        <v>0</v>
      </c>
      <c r="U195" s="57">
        <f>P195-I195</f>
        <v>0</v>
      </c>
      <c r="V195" s="58">
        <f>Q195-J195</f>
        <v>0</v>
      </c>
    </row>
    <row r="196" spans="1:24">
      <c r="A196" s="135">
        <v>166</v>
      </c>
      <c r="B196" s="133" t="s">
        <v>234</v>
      </c>
      <c r="C196" s="134" t="s">
        <v>49</v>
      </c>
      <c r="D196" s="47">
        <v>901258419.75</v>
      </c>
      <c r="E196" s="30">
        <f>(D196/$D$216)</f>
        <v>1.6010608312548903E-2</v>
      </c>
      <c r="F196" s="79">
        <v>556.01</v>
      </c>
      <c r="G196" s="79">
        <v>563.24</v>
      </c>
      <c r="H196" s="46">
        <v>924</v>
      </c>
      <c r="I196" s="53">
        <v>5.8999999999999999E-3</v>
      </c>
      <c r="J196" s="53">
        <v>0.11600000000000001</v>
      </c>
      <c r="K196" s="47">
        <v>915686794.71000004</v>
      </c>
      <c r="L196" s="30">
        <f>(K196/$K$216)</f>
        <v>1.627635499031076E-2</v>
      </c>
      <c r="M196" s="79">
        <v>558.52</v>
      </c>
      <c r="N196" s="79">
        <v>565.69000000000005</v>
      </c>
      <c r="O196" s="46">
        <v>927</v>
      </c>
      <c r="P196" s="53">
        <v>4.3E-3</v>
      </c>
      <c r="Q196" s="53">
        <v>0.12089999999999999</v>
      </c>
      <c r="R196" s="57">
        <f>((K196-D196)/D196)</f>
        <v>1.6009143042460924E-2</v>
      </c>
      <c r="S196" s="57">
        <f>((N196-G196)/G196)</f>
        <v>4.3498331084440836E-3</v>
      </c>
      <c r="T196" s="57">
        <f>((O196-H196)/H196)</f>
        <v>3.246753246753247E-3</v>
      </c>
      <c r="U196" s="57">
        <f>P196-I196</f>
        <v>-1.5999999999999999E-3</v>
      </c>
      <c r="V196" s="58">
        <f>Q196-J196</f>
        <v>4.8999999999999877E-3</v>
      </c>
    </row>
    <row r="197" spans="1:24" ht="6" customHeight="1">
      <c r="A197" s="36"/>
      <c r="B197" s="148"/>
      <c r="C197" s="148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</row>
    <row r="198" spans="1:24" ht="15" customHeight="1">
      <c r="A198" s="149" t="s">
        <v>174</v>
      </c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</row>
    <row r="199" spans="1:24">
      <c r="A199" s="135">
        <v>167</v>
      </c>
      <c r="B199" s="133" t="s">
        <v>294</v>
      </c>
      <c r="C199" s="134" t="s">
        <v>23</v>
      </c>
      <c r="D199" s="29">
        <v>1201775601.6600001</v>
      </c>
      <c r="E199" s="30">
        <f>(D199/$D$216)</f>
        <v>2.1349213517576189E-2</v>
      </c>
      <c r="F199" s="77">
        <v>1.0519000000000001</v>
      </c>
      <c r="G199" s="77">
        <v>1.0519000000000001</v>
      </c>
      <c r="H199" s="32">
        <v>538</v>
      </c>
      <c r="I199" s="50">
        <v>0.1192</v>
      </c>
      <c r="J199" s="50">
        <v>0.16070000000000001</v>
      </c>
      <c r="K199" s="29">
        <v>1210127201.98</v>
      </c>
      <c r="L199" s="30">
        <f t="shared" ref="L199:L211" si="105">(K199/$K$216)</f>
        <v>2.1510040372588184E-2</v>
      </c>
      <c r="M199" s="77">
        <v>1.0559000000000001</v>
      </c>
      <c r="N199" s="77">
        <v>1.0559000000000001</v>
      </c>
      <c r="O199" s="32">
        <v>548</v>
      </c>
      <c r="P199" s="50">
        <v>0.1983</v>
      </c>
      <c r="Q199" s="50">
        <v>0.16400000000000001</v>
      </c>
      <c r="R199" s="57">
        <f>((K199-D199)/D199)</f>
        <v>6.9493841516369238E-3</v>
      </c>
      <c r="S199" s="57">
        <f>((N199-G199)/G199)</f>
        <v>3.8026428367715593E-3</v>
      </c>
      <c r="T199" s="57">
        <f>((O199-H199)/H199)</f>
        <v>1.858736059479554E-2</v>
      </c>
      <c r="U199" s="57">
        <f>P199-I199</f>
        <v>7.9100000000000004E-2</v>
      </c>
      <c r="V199" s="58">
        <f>Q199-J199</f>
        <v>3.2999999999999974E-3</v>
      </c>
      <c r="X199" s="83"/>
    </row>
    <row r="200" spans="1:24">
      <c r="A200" s="135">
        <v>168</v>
      </c>
      <c r="B200" s="133" t="s">
        <v>235</v>
      </c>
      <c r="C200" s="134" t="s">
        <v>236</v>
      </c>
      <c r="D200" s="29">
        <v>348670881.32999998</v>
      </c>
      <c r="E200" s="30">
        <f>(D200/$D$216)</f>
        <v>6.1940424506817483E-3</v>
      </c>
      <c r="F200" s="77">
        <v>1065.56</v>
      </c>
      <c r="G200" s="77">
        <v>1065.56</v>
      </c>
      <c r="H200" s="32">
        <v>18</v>
      </c>
      <c r="I200" s="50">
        <v>1.4E-3</v>
      </c>
      <c r="J200" s="50">
        <v>2.5600000000000001E-2</v>
      </c>
      <c r="K200" s="29">
        <v>348977951.63999999</v>
      </c>
      <c r="L200" s="30">
        <f t="shared" si="105"/>
        <v>6.2030915565218312E-3</v>
      </c>
      <c r="M200" s="77">
        <v>1066.5</v>
      </c>
      <c r="N200" s="77">
        <v>1066.5</v>
      </c>
      <c r="O200" s="32">
        <v>18</v>
      </c>
      <c r="P200" s="50">
        <v>1.4E-3</v>
      </c>
      <c r="Q200" s="50">
        <v>2.7E-2</v>
      </c>
      <c r="R200" s="57">
        <f>((K200-D200)/D200)</f>
        <v>8.806881401414628E-4</v>
      </c>
      <c r="S200" s="57">
        <f>((N200-G200)/G200)</f>
        <v>8.8216524644323601E-4</v>
      </c>
      <c r="T200" s="57">
        <f>((O200-H200)/H200)</f>
        <v>0</v>
      </c>
      <c r="U200" s="57">
        <f>P200-I200</f>
        <v>0</v>
      </c>
      <c r="V200" s="58">
        <f>Q200-J200</f>
        <v>1.3999999999999985E-3</v>
      </c>
      <c r="X200" s="83"/>
    </row>
    <row r="201" spans="1:24">
      <c r="A201" s="135">
        <v>169</v>
      </c>
      <c r="B201" s="133" t="s">
        <v>237</v>
      </c>
      <c r="C201" s="134" t="s">
        <v>67</v>
      </c>
      <c r="D201" s="29">
        <v>208125097.94999999</v>
      </c>
      <c r="E201" s="30">
        <f>(D201/$D$216)</f>
        <v>3.697285207291207E-3</v>
      </c>
      <c r="F201" s="77">
        <v>118.85</v>
      </c>
      <c r="G201" s="77">
        <v>118.85</v>
      </c>
      <c r="H201" s="32">
        <v>75</v>
      </c>
      <c r="I201" s="50">
        <v>1.4E-3</v>
      </c>
      <c r="J201" s="50">
        <v>0.1132</v>
      </c>
      <c r="K201" s="29">
        <v>209753215.27000001</v>
      </c>
      <c r="L201" s="30">
        <f t="shared" si="105"/>
        <v>3.7283684899865987E-3</v>
      </c>
      <c r="M201" s="77">
        <v>119.07</v>
      </c>
      <c r="N201" s="77">
        <v>119.07</v>
      </c>
      <c r="O201" s="32">
        <v>75</v>
      </c>
      <c r="P201" s="50">
        <v>1.9E-3</v>
      </c>
      <c r="Q201" s="50">
        <v>0.1133</v>
      </c>
      <c r="R201" s="57">
        <f t="shared" ref="R201:R217" si="106">((K201-D201)/D201)</f>
        <v>7.8227822402810922E-3</v>
      </c>
      <c r="S201" s="57">
        <f t="shared" ref="S201:S216" si="107">((N201-G201)/G201)</f>
        <v>1.8510727808161453E-3</v>
      </c>
      <c r="T201" s="57">
        <f t="shared" ref="T201:T216" si="108">((O201-H201)/H201)</f>
        <v>0</v>
      </c>
      <c r="U201" s="57">
        <f t="shared" ref="U201:U216" si="109">P201-I201</f>
        <v>5.0000000000000001E-4</v>
      </c>
      <c r="V201" s="58">
        <f t="shared" ref="V201:V216" si="110">Q201-J201</f>
        <v>1.0000000000000286E-4</v>
      </c>
    </row>
    <row r="202" spans="1:24">
      <c r="A202" s="135">
        <v>170</v>
      </c>
      <c r="B202" s="144" t="s">
        <v>238</v>
      </c>
      <c r="C202" s="134" t="s">
        <v>72</v>
      </c>
      <c r="D202" s="44">
        <v>61931686.950000003</v>
      </c>
      <c r="E202" s="30">
        <f>(D202/$D$216)</f>
        <v>1.1001994102500549E-3</v>
      </c>
      <c r="F202" s="77">
        <v>101.22</v>
      </c>
      <c r="G202" s="77">
        <v>101.22</v>
      </c>
      <c r="H202" s="32">
        <v>16</v>
      </c>
      <c r="I202" s="50">
        <v>1.5E-3</v>
      </c>
      <c r="J202" s="50">
        <v>4.2700000000000002E-2</v>
      </c>
      <c r="K202" s="44">
        <v>62079214.159999996</v>
      </c>
      <c r="L202" s="30">
        <f t="shared" si="105"/>
        <v>1.1034595377207438E-3</v>
      </c>
      <c r="M202" s="77">
        <v>101.37</v>
      </c>
      <c r="N202" s="77">
        <v>101.37</v>
      </c>
      <c r="O202" s="32">
        <v>15</v>
      </c>
      <c r="P202" s="50">
        <v>1.6000000000000001E-3</v>
      </c>
      <c r="Q202" s="50">
        <v>4.4299999999999999E-2</v>
      </c>
      <c r="R202" s="57">
        <f t="shared" si="106"/>
        <v>2.3820957778705144E-3</v>
      </c>
      <c r="S202" s="57">
        <f t="shared" si="107"/>
        <v>1.4819205690575546E-3</v>
      </c>
      <c r="T202" s="57">
        <f t="shared" si="108"/>
        <v>-6.25E-2</v>
      </c>
      <c r="U202" s="57">
        <f t="shared" si="109"/>
        <v>1.0000000000000005E-4</v>
      </c>
      <c r="V202" s="58">
        <f t="shared" si="110"/>
        <v>1.5999999999999973E-3</v>
      </c>
    </row>
    <row r="203" spans="1:24">
      <c r="A203" s="135">
        <v>171</v>
      </c>
      <c r="B203" s="133" t="s">
        <v>239</v>
      </c>
      <c r="C203" s="134" t="s">
        <v>75</v>
      </c>
      <c r="D203" s="44">
        <v>117789273.02</v>
      </c>
      <c r="E203" s="30">
        <v>0</v>
      </c>
      <c r="F203" s="77">
        <v>1.0712999999999999</v>
      </c>
      <c r="G203" s="77">
        <v>1.0712999999999999</v>
      </c>
      <c r="H203" s="32">
        <v>34</v>
      </c>
      <c r="I203" s="50">
        <v>1.6000000000000001E-3</v>
      </c>
      <c r="J203" s="50">
        <v>0.1216</v>
      </c>
      <c r="K203" s="44">
        <v>118138284.59999999</v>
      </c>
      <c r="L203" s="30">
        <f t="shared" si="105"/>
        <v>2.099910874771255E-3</v>
      </c>
      <c r="M203" s="77">
        <v>1.0734999999999999</v>
      </c>
      <c r="N203" s="77">
        <v>1.0734999999999999</v>
      </c>
      <c r="O203" s="32">
        <v>37</v>
      </c>
      <c r="P203" s="50">
        <v>1.5E-3</v>
      </c>
      <c r="Q203" s="50">
        <v>0.12330000000000001</v>
      </c>
      <c r="R203" s="57">
        <f t="shared" ref="R203:R204" si="111">((K203-D203)/D203)</f>
        <v>2.9630166741986589E-3</v>
      </c>
      <c r="S203" s="57">
        <f t="shared" ref="S203:S204" si="112">((N203-G203)/G203)</f>
        <v>2.0535797629048632E-3</v>
      </c>
      <c r="T203" s="57">
        <f t="shared" ref="T203" si="113">((O203-H203)/H203)</f>
        <v>8.8235294117647065E-2</v>
      </c>
      <c r="U203" s="57">
        <f t="shared" ref="U203" si="114">P203-I203</f>
        <v>-1.0000000000000005E-4</v>
      </c>
      <c r="V203" s="58">
        <f t="shared" ref="V203" si="115">Q203-J203</f>
        <v>1.7000000000000071E-3</v>
      </c>
    </row>
    <row r="204" spans="1:24">
      <c r="A204" s="135">
        <v>172</v>
      </c>
      <c r="B204" s="133" t="s">
        <v>240</v>
      </c>
      <c r="C204" s="134" t="s">
        <v>31</v>
      </c>
      <c r="D204" s="29">
        <v>5267354914.4700003</v>
      </c>
      <c r="E204" s="30">
        <f t="shared" ref="E204:E211" si="116">(D204/$D$216)</f>
        <v>9.3573113471885211E-2</v>
      </c>
      <c r="F204" s="77">
        <v>149.33000000000001</v>
      </c>
      <c r="G204" s="77">
        <v>149.33000000000001</v>
      </c>
      <c r="H204" s="32">
        <v>698</v>
      </c>
      <c r="I204" s="50">
        <v>2.5999999999999999E-3</v>
      </c>
      <c r="J204" s="50">
        <v>4.0800000000000003E-2</v>
      </c>
      <c r="K204" s="29">
        <v>5307261960.9300003</v>
      </c>
      <c r="L204" s="30">
        <f t="shared" si="105"/>
        <v>9.433671010842426E-2</v>
      </c>
      <c r="M204" s="77">
        <v>149.72</v>
      </c>
      <c r="N204" s="77">
        <v>149.72</v>
      </c>
      <c r="O204" s="32">
        <v>698</v>
      </c>
      <c r="P204" s="50">
        <v>2.5999999999999999E-3</v>
      </c>
      <c r="Q204" s="50">
        <v>4.36E-2</v>
      </c>
      <c r="R204" s="57">
        <f t="shared" si="111"/>
        <v>7.5762972322922489E-3</v>
      </c>
      <c r="S204" s="57">
        <f t="shared" si="112"/>
        <v>2.6116654389605996E-3</v>
      </c>
      <c r="T204" s="57">
        <f t="shared" si="108"/>
        <v>0</v>
      </c>
      <c r="U204" s="57">
        <f t="shared" si="109"/>
        <v>0</v>
      </c>
      <c r="V204" s="58">
        <f t="shared" si="110"/>
        <v>2.7999999999999969E-3</v>
      </c>
    </row>
    <row r="205" spans="1:24">
      <c r="A205" s="135">
        <v>173</v>
      </c>
      <c r="B205" s="133" t="s">
        <v>241</v>
      </c>
      <c r="C205" s="134" t="s">
        <v>65</v>
      </c>
      <c r="D205" s="29">
        <v>819968831.32827997</v>
      </c>
      <c r="E205" s="30">
        <f t="shared" si="116"/>
        <v>1.4566521098950952E-2</v>
      </c>
      <c r="F205" s="35">
        <v>1229.64440077425</v>
      </c>
      <c r="G205" s="35">
        <v>1229.64440077425</v>
      </c>
      <c r="H205" s="32">
        <v>155</v>
      </c>
      <c r="I205" s="50">
        <v>0.1191312155997527</v>
      </c>
      <c r="J205" s="50">
        <v>0.15073873031143806</v>
      </c>
      <c r="K205" s="29">
        <v>727019566.20533097</v>
      </c>
      <c r="L205" s="30">
        <f t="shared" si="105"/>
        <v>1.2922790426618865E-2</v>
      </c>
      <c r="M205" s="35">
        <v>1232.47030926715</v>
      </c>
      <c r="N205" s="35">
        <v>1232.47030926715</v>
      </c>
      <c r="O205" s="32">
        <v>167</v>
      </c>
      <c r="P205" s="50">
        <v>0.11983215859096442</v>
      </c>
      <c r="Q205" s="50">
        <v>0.14875780019902204</v>
      </c>
      <c r="R205" s="57">
        <f t="shared" si="106"/>
        <v>-0.11335707111254348</v>
      </c>
      <c r="S205" s="57">
        <f t="shared" si="107"/>
        <v>2.29815098667603E-3</v>
      </c>
      <c r="T205" s="57">
        <f t="shared" si="108"/>
        <v>7.7419354838709681E-2</v>
      </c>
      <c r="U205" s="57">
        <f t="shared" si="109"/>
        <v>7.0094299121171988E-4</v>
      </c>
      <c r="V205" s="58">
        <f t="shared" si="110"/>
        <v>-1.9809301124160128E-3</v>
      </c>
    </row>
    <row r="206" spans="1:24">
      <c r="A206" s="135">
        <v>174</v>
      </c>
      <c r="B206" s="133" t="s">
        <v>242</v>
      </c>
      <c r="C206" s="134" t="s">
        <v>233</v>
      </c>
      <c r="D206" s="29">
        <v>29516413806.349998</v>
      </c>
      <c r="E206" s="30">
        <f t="shared" si="116"/>
        <v>0.52435098512108014</v>
      </c>
      <c r="F206" s="35">
        <v>1261.21</v>
      </c>
      <c r="G206" s="35">
        <v>1261.21</v>
      </c>
      <c r="H206" s="32">
        <v>9974</v>
      </c>
      <c r="I206" s="50">
        <v>2E-3</v>
      </c>
      <c r="J206" s="50">
        <v>3.1199999999999999E-2</v>
      </c>
      <c r="K206" s="29">
        <v>29516413806.349998</v>
      </c>
      <c r="L206" s="30">
        <f t="shared" si="105"/>
        <v>0.52465497146894213</v>
      </c>
      <c r="M206" s="35">
        <v>1261.21</v>
      </c>
      <c r="N206" s="35">
        <v>1261.21</v>
      </c>
      <c r="O206" s="32">
        <v>9974</v>
      </c>
      <c r="P206" s="50">
        <v>2E-3</v>
      </c>
      <c r="Q206" s="50">
        <v>3.1199999999999999E-2</v>
      </c>
      <c r="R206" s="57">
        <f t="shared" si="106"/>
        <v>0</v>
      </c>
      <c r="S206" s="57">
        <f t="shared" si="107"/>
        <v>0</v>
      </c>
      <c r="T206" s="57">
        <f t="shared" si="108"/>
        <v>0</v>
      </c>
      <c r="U206" s="57">
        <f t="shared" si="109"/>
        <v>0</v>
      </c>
      <c r="V206" s="58">
        <f t="shared" si="110"/>
        <v>0</v>
      </c>
    </row>
    <row r="207" spans="1:24">
      <c r="A207" s="135">
        <v>175</v>
      </c>
      <c r="B207" s="133" t="s">
        <v>243</v>
      </c>
      <c r="C207" s="134" t="s">
        <v>244</v>
      </c>
      <c r="D207" s="29">
        <v>521310024.5</v>
      </c>
      <c r="E207" s="30">
        <f t="shared" si="116"/>
        <v>9.2609294168813465E-3</v>
      </c>
      <c r="F207" s="79">
        <v>126.23</v>
      </c>
      <c r="G207" s="79">
        <v>127.25</v>
      </c>
      <c r="H207" s="46">
        <v>149</v>
      </c>
      <c r="I207" s="50">
        <v>-1E-4</v>
      </c>
      <c r="J207" s="50">
        <v>2.63E-2</v>
      </c>
      <c r="K207" s="29">
        <v>495295190.35000002</v>
      </c>
      <c r="L207" s="30">
        <f t="shared" si="105"/>
        <v>8.8038840242129577E-3</v>
      </c>
      <c r="M207" s="79">
        <v>120.18</v>
      </c>
      <c r="N207" s="79">
        <v>121.14</v>
      </c>
      <c r="O207" s="46">
        <v>149</v>
      </c>
      <c r="P207" s="50">
        <v>-4.8050000000000002E-2</v>
      </c>
      <c r="Q207" s="50">
        <v>-3.1099999999999999E-2</v>
      </c>
      <c r="R207" s="57">
        <f t="shared" si="106"/>
        <v>-4.9902808170534184E-2</v>
      </c>
      <c r="S207" s="57">
        <f t="shared" si="107"/>
        <v>-4.8015717092337915E-2</v>
      </c>
      <c r="T207" s="57">
        <f t="shared" si="108"/>
        <v>0</v>
      </c>
      <c r="U207" s="57">
        <f t="shared" si="109"/>
        <v>-4.795E-2</v>
      </c>
      <c r="V207" s="58">
        <f t="shared" si="110"/>
        <v>-5.74E-2</v>
      </c>
    </row>
    <row r="208" spans="1:24">
      <c r="A208" s="135">
        <v>176</v>
      </c>
      <c r="B208" s="133" t="s">
        <v>245</v>
      </c>
      <c r="C208" s="134" t="s">
        <v>244</v>
      </c>
      <c r="D208" s="29">
        <v>159578014.75999999</v>
      </c>
      <c r="E208" s="30">
        <f t="shared" si="116"/>
        <v>2.8348596069984258E-3</v>
      </c>
      <c r="F208" s="79">
        <v>117.97</v>
      </c>
      <c r="G208" s="79">
        <v>117.97</v>
      </c>
      <c r="H208" s="46">
        <v>73</v>
      </c>
      <c r="I208" s="50">
        <v>4.5999999999999999E-3</v>
      </c>
      <c r="J208" s="50">
        <v>5.62E-2</v>
      </c>
      <c r="K208" s="29">
        <v>160017001.38999999</v>
      </c>
      <c r="L208" s="30">
        <f t="shared" si="105"/>
        <v>2.8443060816810608E-3</v>
      </c>
      <c r="M208" s="79">
        <v>118.29</v>
      </c>
      <c r="N208" s="79">
        <v>118.29</v>
      </c>
      <c r="O208" s="46">
        <v>73</v>
      </c>
      <c r="P208" s="50">
        <v>2.7000000000000001E-3</v>
      </c>
      <c r="Q208" s="50">
        <v>5.91E-2</v>
      </c>
      <c r="R208" s="57">
        <f t="shared" si="106"/>
        <v>2.7509217398162052E-3</v>
      </c>
      <c r="S208" s="57">
        <f t="shared" si="107"/>
        <v>2.7125540391625615E-3</v>
      </c>
      <c r="T208" s="57">
        <f t="shared" si="108"/>
        <v>0</v>
      </c>
      <c r="U208" s="57">
        <f t="shared" si="109"/>
        <v>-1.8999999999999998E-3</v>
      </c>
      <c r="V208" s="58">
        <f t="shared" si="110"/>
        <v>2.8999999999999998E-3</v>
      </c>
    </row>
    <row r="209" spans="1:22" ht="13.5" customHeight="1">
      <c r="A209" s="135">
        <v>177</v>
      </c>
      <c r="B209" s="133" t="s">
        <v>246</v>
      </c>
      <c r="C209" s="134" t="s">
        <v>89</v>
      </c>
      <c r="D209" s="29">
        <v>1472030661.9100001</v>
      </c>
      <c r="E209" s="30">
        <f t="shared" si="116"/>
        <v>2.6150220442257465E-2</v>
      </c>
      <c r="F209" s="60">
        <v>106.38</v>
      </c>
      <c r="G209" s="60">
        <v>106.38</v>
      </c>
      <c r="H209" s="32">
        <v>621</v>
      </c>
      <c r="I209" s="50">
        <v>2.5999999999999999E-3</v>
      </c>
      <c r="J209" s="50">
        <v>0.14319999999999999</v>
      </c>
      <c r="K209" s="29">
        <v>1465083300</v>
      </c>
      <c r="L209" s="30">
        <f t="shared" si="105"/>
        <v>2.6041891200067051E-2</v>
      </c>
      <c r="M209" s="60">
        <v>103.42</v>
      </c>
      <c r="N209" s="60">
        <v>103.42</v>
      </c>
      <c r="O209" s="32">
        <v>621</v>
      </c>
      <c r="P209" s="50">
        <v>2.5000000000000001E-3</v>
      </c>
      <c r="Q209" s="50">
        <v>0.14249999999999999</v>
      </c>
      <c r="R209" s="57">
        <f t="shared" si="106"/>
        <v>-4.7195769013300944E-3</v>
      </c>
      <c r="S209" s="57">
        <f t="shared" si="107"/>
        <v>-2.7824779093814568E-2</v>
      </c>
      <c r="T209" s="57">
        <f t="shared" si="108"/>
        <v>0</v>
      </c>
      <c r="U209" s="57">
        <f t="shared" si="109"/>
        <v>-9.9999999999999829E-5</v>
      </c>
      <c r="V209" s="58">
        <f t="shared" si="110"/>
        <v>-7.0000000000000617E-4</v>
      </c>
    </row>
    <row r="210" spans="1:22" ht="15.75" customHeight="1">
      <c r="A210" s="135">
        <v>178</v>
      </c>
      <c r="B210" s="133" t="s">
        <v>247</v>
      </c>
      <c r="C210" s="134" t="s">
        <v>49</v>
      </c>
      <c r="D210" s="29">
        <v>6035520561.5</v>
      </c>
      <c r="E210" s="30">
        <f t="shared" si="116"/>
        <v>0.10721936522858401</v>
      </c>
      <c r="F210" s="60">
        <v>135.80000000000001</v>
      </c>
      <c r="G210" s="60">
        <v>135.80000000000001</v>
      </c>
      <c r="H210" s="32">
        <v>1296</v>
      </c>
      <c r="I210" s="50">
        <v>1E-4</v>
      </c>
      <c r="J210" s="50">
        <v>1.12E-2</v>
      </c>
      <c r="K210" s="29">
        <v>6056738545.7299995</v>
      </c>
      <c r="L210" s="30">
        <f t="shared" si="105"/>
        <v>0.10765867458536521</v>
      </c>
      <c r="M210" s="60">
        <v>135.83000000000001</v>
      </c>
      <c r="N210" s="60">
        <v>135.83000000000001</v>
      </c>
      <c r="O210" s="32">
        <v>1299</v>
      </c>
      <c r="P210" s="50">
        <v>2.0000000000000001E-4</v>
      </c>
      <c r="Q210" s="50">
        <v>1.14E-2</v>
      </c>
      <c r="R210" s="57">
        <f t="shared" si="106"/>
        <v>3.5155185064478125E-3</v>
      </c>
      <c r="S210" s="57">
        <f t="shared" si="107"/>
        <v>2.20913107511054E-4</v>
      </c>
      <c r="T210" s="57">
        <f t="shared" si="108"/>
        <v>2.3148148148148147E-3</v>
      </c>
      <c r="U210" s="57">
        <f t="shared" si="109"/>
        <v>1E-4</v>
      </c>
      <c r="V210" s="58">
        <f t="shared" si="110"/>
        <v>2.0000000000000052E-4</v>
      </c>
    </row>
    <row r="211" spans="1:22">
      <c r="A211" s="135">
        <v>179</v>
      </c>
      <c r="B211" s="133" t="s">
        <v>248</v>
      </c>
      <c r="C211" s="134" t="s">
        <v>52</v>
      </c>
      <c r="D211" s="29">
        <v>4053257289.5100002</v>
      </c>
      <c r="E211" s="30">
        <f t="shared" si="116"/>
        <v>7.2005002594405162E-2</v>
      </c>
      <c r="F211" s="60">
        <v>1.2472000000000001</v>
      </c>
      <c r="G211" s="60">
        <v>1.2472000000000001</v>
      </c>
      <c r="H211" s="32">
        <v>1504</v>
      </c>
      <c r="I211" s="50">
        <v>0.11609999999999999</v>
      </c>
      <c r="J211" s="50">
        <v>9.8199999999999996E-2</v>
      </c>
      <c r="K211" s="29">
        <v>4059028544.21</v>
      </c>
      <c r="L211" s="30">
        <f t="shared" si="105"/>
        <v>7.2149330844385004E-2</v>
      </c>
      <c r="M211" s="60">
        <v>1.248</v>
      </c>
      <c r="N211" s="60">
        <v>1.248</v>
      </c>
      <c r="O211" s="32">
        <v>1514</v>
      </c>
      <c r="P211" s="50">
        <v>0.1009</v>
      </c>
      <c r="Q211" s="50">
        <v>9.7699999999999995E-2</v>
      </c>
      <c r="R211" s="57">
        <f t="shared" si="106"/>
        <v>1.4238559972336467E-3</v>
      </c>
      <c r="S211" s="57">
        <f t="shared" si="107"/>
        <v>6.4143681847330964E-4</v>
      </c>
      <c r="T211" s="57">
        <f t="shared" si="108"/>
        <v>6.648936170212766E-3</v>
      </c>
      <c r="U211" s="57">
        <f t="shared" si="109"/>
        <v>-1.5199999999999991E-2</v>
      </c>
      <c r="V211" s="58">
        <f t="shared" si="110"/>
        <v>-5.0000000000000044E-4</v>
      </c>
    </row>
    <row r="212" spans="1:22" ht="6" customHeight="1">
      <c r="A212" s="36"/>
      <c r="B212" s="148"/>
      <c r="C212" s="148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</row>
    <row r="213" spans="1:22">
      <c r="A213" s="149" t="s">
        <v>249</v>
      </c>
      <c r="B213" s="149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</row>
    <row r="214" spans="1:22">
      <c r="A214" s="145">
        <v>180</v>
      </c>
      <c r="B214" s="133" t="s">
        <v>250</v>
      </c>
      <c r="C214" s="134" t="s">
        <v>233</v>
      </c>
      <c r="D214" s="29">
        <v>207589758.66999999</v>
      </c>
      <c r="E214" s="30">
        <f t="shared" ref="E214" si="117">(D214/$D$216)</f>
        <v>3.6877750520032493E-3</v>
      </c>
      <c r="F214" s="35">
        <v>1078.52</v>
      </c>
      <c r="G214" s="35">
        <v>1078.52</v>
      </c>
      <c r="H214" s="32">
        <v>96</v>
      </c>
      <c r="I214" s="50">
        <v>-4.4000000000000003E-3</v>
      </c>
      <c r="J214" s="50">
        <v>-8.3000000000000001E-3</v>
      </c>
      <c r="K214" s="29">
        <v>207589758.66999999</v>
      </c>
      <c r="L214" s="30">
        <f t="shared" ref="L214" si="118">(K214/$K$216)</f>
        <v>3.6899129964366637E-3</v>
      </c>
      <c r="M214" s="35">
        <v>1078.52</v>
      </c>
      <c r="N214" s="35">
        <v>1078.52</v>
      </c>
      <c r="O214" s="32">
        <v>96</v>
      </c>
      <c r="P214" s="50">
        <v>-4.4000000000000003E-3</v>
      </c>
      <c r="Q214" s="50">
        <v>-8.3000000000000001E-3</v>
      </c>
      <c r="R214" s="57">
        <f t="shared" ref="R214" si="119">((K214-D214)/D214)</f>
        <v>0</v>
      </c>
      <c r="S214" s="57">
        <f t="shared" ref="S214" si="120">((N214-G214)/G214)</f>
        <v>0</v>
      </c>
      <c r="T214" s="57">
        <f t="shared" ref="T214" si="121">((O214-H214)/H214)</f>
        <v>0</v>
      </c>
      <c r="U214" s="57">
        <f t="shared" ref="U214" si="122">P214-I214</f>
        <v>0</v>
      </c>
      <c r="V214" s="58">
        <f t="shared" ref="V214" si="123">Q214-J214</f>
        <v>0</v>
      </c>
    </row>
    <row r="215" spans="1:22">
      <c r="A215" s="145">
        <v>181</v>
      </c>
      <c r="B215" s="133" t="s">
        <v>295</v>
      </c>
      <c r="C215" s="134" t="s">
        <v>296</v>
      </c>
      <c r="D215" s="29">
        <v>47493113.118493102</v>
      </c>
      <c r="E215" s="30">
        <f t="shared" ref="E215" si="124">(D215/$D$216)</f>
        <v>8.4370211142626166E-4</v>
      </c>
      <c r="F215" s="35">
        <v>100.27</v>
      </c>
      <c r="G215" s="35">
        <v>102.33326</v>
      </c>
      <c r="H215" s="32">
        <v>152</v>
      </c>
      <c r="I215" s="50">
        <v>1.6400000000000001E-2</v>
      </c>
      <c r="J215" s="50">
        <v>1.29E-2</v>
      </c>
      <c r="K215" s="29">
        <v>48242269.659999996</v>
      </c>
      <c r="L215" s="30">
        <f t="shared" ref="L215" si="125">(K215/$K$216)</f>
        <v>8.5750751355231176E-4</v>
      </c>
      <c r="M215" s="35">
        <v>101.01</v>
      </c>
      <c r="N215" s="35">
        <v>103.09</v>
      </c>
      <c r="O215" s="32">
        <v>153</v>
      </c>
      <c r="P215" s="50">
        <v>2.0500000000000001E-2</v>
      </c>
      <c r="Q215" s="50">
        <v>1.29E-2</v>
      </c>
      <c r="R215" s="57">
        <f t="shared" ref="R215" si="126">((K215-D215)/D215)</f>
        <v>1.5774003688446014E-2</v>
      </c>
      <c r="S215" s="57">
        <f t="shared" ref="S215" si="127">((N215-G215)/G215)</f>
        <v>7.3948587194428064E-3</v>
      </c>
      <c r="T215" s="57">
        <f t="shared" ref="T215" si="128">((O215-H215)/H215)</f>
        <v>6.5789473684210523E-3</v>
      </c>
      <c r="U215" s="57">
        <f t="shared" ref="U215" si="129">P215-I215</f>
        <v>4.0999999999999995E-3</v>
      </c>
      <c r="V215" s="58">
        <f t="shared" ref="V215" si="130">Q215-J215</f>
        <v>0</v>
      </c>
    </row>
    <row r="216" spans="1:22">
      <c r="A216" s="36"/>
      <c r="B216" s="37"/>
      <c r="C216" s="71" t="s">
        <v>53</v>
      </c>
      <c r="D216" s="48">
        <f>SUM(D195:D215)</f>
        <v>56291328983.646774</v>
      </c>
      <c r="E216" s="40">
        <f>(D216/$D$217)</f>
        <v>1.1767926142486141E-2</v>
      </c>
      <c r="F216" s="41"/>
      <c r="G216" s="74"/>
      <c r="H216" s="84">
        <f>SUM(H195:H215)</f>
        <v>31338</v>
      </c>
      <c r="I216" s="81"/>
      <c r="J216" s="81"/>
      <c r="K216" s="48">
        <f>SUM(K195:K215)</f>
        <v>56258713652.725334</v>
      </c>
      <c r="L216" s="40">
        <f>(K216/$K$217)</f>
        <v>1.1432424589955191E-2</v>
      </c>
      <c r="M216" s="41"/>
      <c r="N216" s="74"/>
      <c r="O216" s="43">
        <f>SUM(O195:O215)</f>
        <v>31379</v>
      </c>
      <c r="P216" s="81"/>
      <c r="Q216" s="81"/>
      <c r="R216" s="57">
        <f t="shared" si="106"/>
        <v>-5.7940239660916914E-4</v>
      </c>
      <c r="S216" s="57" t="e">
        <f t="shared" si="107"/>
        <v>#DIV/0!</v>
      </c>
      <c r="T216" s="57">
        <f t="shared" si="108"/>
        <v>1.3083157827557597E-3</v>
      </c>
      <c r="U216" s="57">
        <f t="shared" si="109"/>
        <v>0</v>
      </c>
      <c r="V216" s="58">
        <f t="shared" si="110"/>
        <v>0</v>
      </c>
    </row>
    <row r="217" spans="1:22">
      <c r="A217" s="85"/>
      <c r="B217" s="85"/>
      <c r="C217" s="86" t="s">
        <v>251</v>
      </c>
      <c r="D217" s="87">
        <f>SUM(D25,D68,D108,D146,D154,D185,D191,D216)</f>
        <v>4783453626583.8965</v>
      </c>
      <c r="E217" s="88"/>
      <c r="F217" s="88"/>
      <c r="G217" s="89"/>
      <c r="H217" s="87">
        <f>SUM(H25,H68,H108,H146,H154,H185,H191,H216)</f>
        <v>858658</v>
      </c>
      <c r="I217" s="111"/>
      <c r="J217" s="111"/>
      <c r="K217" s="87">
        <f>SUM(K25,K68,K108,K146,K154,K185,K191,K216)</f>
        <v>4920978328792.6191</v>
      </c>
      <c r="L217" s="88"/>
      <c r="M217" s="88"/>
      <c r="N217" s="89"/>
      <c r="O217" s="87">
        <f>SUM(O25,O68,O108,O146,O154,O185,O191,O216)</f>
        <v>860131</v>
      </c>
      <c r="P217" s="112"/>
      <c r="Q217" s="87"/>
      <c r="R217" s="118">
        <f t="shared" si="106"/>
        <v>2.8750085805041226E-2</v>
      </c>
      <c r="S217" s="118"/>
      <c r="T217" s="118"/>
      <c r="U217" s="118"/>
      <c r="V217" s="118"/>
    </row>
    <row r="218" spans="1:22" ht="6.75" customHeight="1">
      <c r="A218" s="36"/>
      <c r="B218" s="148"/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37"/>
    </row>
    <row r="219" spans="1:22" ht="14.4" customHeight="1">
      <c r="A219" s="146" t="s">
        <v>252</v>
      </c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</row>
    <row r="220" spans="1:22" ht="14.4" customHeight="1">
      <c r="A220" s="135">
        <v>1</v>
      </c>
      <c r="B220" s="133" t="s">
        <v>253</v>
      </c>
      <c r="C220" s="134" t="s">
        <v>189</v>
      </c>
      <c r="D220" s="29">
        <v>4018117095.1824355</v>
      </c>
      <c r="E220" s="30">
        <f t="shared" ref="E220" si="131">(D220/$D$216)</f>
        <v>7.138074669279422E-2</v>
      </c>
      <c r="F220" s="35">
        <v>123.2</v>
      </c>
      <c r="G220" s="35">
        <v>123.2</v>
      </c>
      <c r="H220" s="32">
        <v>9</v>
      </c>
      <c r="I220" s="50">
        <v>0.31923652582728151</v>
      </c>
      <c r="J220" s="50">
        <v>0.24730699425549954</v>
      </c>
      <c r="K220" s="29">
        <v>4039754115.726265</v>
      </c>
      <c r="L220" s="30">
        <f>(K220/$K$222)</f>
        <v>0.26102805799429979</v>
      </c>
      <c r="M220" s="35">
        <v>123.2</v>
      </c>
      <c r="N220" s="35">
        <v>123.2</v>
      </c>
      <c r="O220" s="32">
        <v>9</v>
      </c>
      <c r="P220" s="50">
        <v>0.32385011751795284</v>
      </c>
      <c r="Q220" s="50">
        <v>0.2375490385312739</v>
      </c>
      <c r="R220" s="57">
        <f t="shared" ref="R220" si="132">((K220-D220)/D220)</f>
        <v>5.3848656052784966E-3</v>
      </c>
      <c r="S220" s="57">
        <f t="shared" ref="S220" si="133">((N220-G220)/G220)</f>
        <v>0</v>
      </c>
      <c r="T220" s="57">
        <f t="shared" ref="T220" si="134">((O220-H220)/H220)</f>
        <v>0</v>
      </c>
      <c r="U220" s="57">
        <f t="shared" ref="U220" si="135">P220-I220</f>
        <v>4.6135916906713259E-3</v>
      </c>
      <c r="V220" s="58">
        <f t="shared" ref="V220" si="136">Q220-J220</f>
        <v>-9.7579557242256365E-3</v>
      </c>
    </row>
    <row r="221" spans="1:22" ht="14.4" customHeight="1">
      <c r="A221" s="135">
        <v>2</v>
      </c>
      <c r="B221" s="133" t="s">
        <v>302</v>
      </c>
      <c r="C221" s="134" t="s">
        <v>41</v>
      </c>
      <c r="D221" s="29">
        <v>11389594171.52</v>
      </c>
      <c r="E221" s="30">
        <f t="shared" ref="E221" si="137">(D221/$D$216)</f>
        <v>0.20233301251119507</v>
      </c>
      <c r="F221" s="35">
        <v>1.0900000000000001</v>
      </c>
      <c r="G221" s="35">
        <v>1.0900000000000001</v>
      </c>
      <c r="H221" s="32">
        <v>16</v>
      </c>
      <c r="I221" s="50">
        <v>-2.8E-3</v>
      </c>
      <c r="J221" s="50">
        <v>0.20480000000000001</v>
      </c>
      <c r="K221" s="29">
        <v>11436567268.139999</v>
      </c>
      <c r="L221" s="30">
        <f>(K221/$K$222)</f>
        <v>0.73897194200570027</v>
      </c>
      <c r="M221" s="35">
        <v>1.1000000000000001</v>
      </c>
      <c r="N221" s="35">
        <v>1.1000000000000001</v>
      </c>
      <c r="O221" s="32">
        <v>16</v>
      </c>
      <c r="P221" s="50">
        <v>4.1000000000000003E-3</v>
      </c>
      <c r="Q221" s="50">
        <v>0.2064</v>
      </c>
      <c r="R221" s="57">
        <f t="shared" ref="R221:R222" si="138">((K221-D221)/D221)</f>
        <v>4.1242116191862639E-3</v>
      </c>
      <c r="S221" s="57">
        <f t="shared" ref="S221" si="139">((N221-G221)/G221)</f>
        <v>9.174311926605512E-3</v>
      </c>
      <c r="T221" s="57">
        <f t="shared" ref="T221" si="140">((O221-H221)/H221)</f>
        <v>0</v>
      </c>
      <c r="U221" s="57">
        <f t="shared" ref="U221" si="141">P221-I221</f>
        <v>6.8999999999999999E-3</v>
      </c>
      <c r="V221" s="58">
        <f t="shared" ref="V221" si="142">Q221-J221</f>
        <v>1.5999999999999903E-3</v>
      </c>
    </row>
    <row r="222" spans="1:22" ht="14.4" customHeight="1">
      <c r="A222" s="90"/>
      <c r="B222" s="90"/>
      <c r="C222" s="90" t="s">
        <v>53</v>
      </c>
      <c r="D222" s="90">
        <f>SUM(D220:D221)</f>
        <v>15407711266.702436</v>
      </c>
      <c r="E222" s="90"/>
      <c r="F222" s="90"/>
      <c r="G222" s="90"/>
      <c r="H222" s="90">
        <f>SUM(H220:H221)</f>
        <v>25</v>
      </c>
      <c r="I222" s="90"/>
      <c r="J222" s="90"/>
      <c r="K222" s="90">
        <f>SUM(K220:K221)</f>
        <v>15476321383.866264</v>
      </c>
      <c r="L222" s="40"/>
      <c r="M222" s="90"/>
      <c r="N222" s="90"/>
      <c r="O222" s="90">
        <f>SUM(O220:O221)</f>
        <v>25</v>
      </c>
      <c r="P222" s="90"/>
      <c r="Q222" s="90"/>
      <c r="R222" s="118">
        <f t="shared" si="138"/>
        <v>4.452972669088175E-3</v>
      </c>
      <c r="S222" s="90"/>
      <c r="T222" s="90"/>
      <c r="U222" s="90"/>
      <c r="V222" s="90"/>
    </row>
    <row r="223" spans="1:22" ht="6" customHeight="1">
      <c r="A223" s="36"/>
      <c r="B223" s="137"/>
      <c r="C223" s="71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37"/>
    </row>
    <row r="224" spans="1:22" ht="15.6">
      <c r="A224" s="146" t="s">
        <v>254</v>
      </c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</row>
    <row r="225" spans="1:22">
      <c r="A225" s="135">
        <v>1</v>
      </c>
      <c r="B225" s="133" t="s">
        <v>255</v>
      </c>
      <c r="C225" s="134" t="s">
        <v>256</v>
      </c>
      <c r="D225" s="29">
        <v>117431274879</v>
      </c>
      <c r="E225" s="30">
        <f>(D225/$D$227)</f>
        <v>0.89687788853068728</v>
      </c>
      <c r="F225" s="60">
        <v>111.28</v>
      </c>
      <c r="G225" s="60">
        <v>111.28</v>
      </c>
      <c r="H225" s="32">
        <v>0</v>
      </c>
      <c r="I225" s="50">
        <v>0.23899999999999999</v>
      </c>
      <c r="J225" s="50">
        <v>0.23899999999999999</v>
      </c>
      <c r="K225" s="29">
        <v>117431274879</v>
      </c>
      <c r="L225" s="30">
        <f>(K225/$K$227)</f>
        <v>0.89659369073419437</v>
      </c>
      <c r="M225" s="60">
        <v>111.28</v>
      </c>
      <c r="N225" s="60">
        <v>111.28</v>
      </c>
      <c r="O225" s="32">
        <v>0</v>
      </c>
      <c r="P225" s="50">
        <v>0.23899999999999999</v>
      </c>
      <c r="Q225" s="50">
        <v>0.23899999999999999</v>
      </c>
      <c r="R225" s="57">
        <f>((K225-D225)/D225)</f>
        <v>0</v>
      </c>
      <c r="S225" s="57">
        <f>((N225-G225)/G225)</f>
        <v>0</v>
      </c>
      <c r="T225" s="57" t="e">
        <f>((O225-H225)/H225)</f>
        <v>#DIV/0!</v>
      </c>
      <c r="U225" s="57">
        <f>P225-I225</f>
        <v>0</v>
      </c>
      <c r="V225" s="58">
        <f>Q225-J225</f>
        <v>0</v>
      </c>
    </row>
    <row r="226" spans="1:22">
      <c r="A226" s="135">
        <v>2</v>
      </c>
      <c r="B226" s="133" t="s">
        <v>257</v>
      </c>
      <c r="C226" s="134" t="s">
        <v>52</v>
      </c>
      <c r="D226" s="29">
        <v>13502129077.9</v>
      </c>
      <c r="E226" s="30">
        <f>(D226/$D$227)</f>
        <v>0.10312211146931277</v>
      </c>
      <c r="F226" s="91">
        <v>1000000</v>
      </c>
      <c r="G226" s="91">
        <v>1000000</v>
      </c>
      <c r="H226" s="32">
        <v>26</v>
      </c>
      <c r="I226" s="50">
        <v>0.25790000000000002</v>
      </c>
      <c r="J226" s="50">
        <v>0.25790000000000002</v>
      </c>
      <c r="K226" s="29">
        <v>13543631695.280001</v>
      </c>
      <c r="L226" s="30">
        <f>(K226/$K$227)</f>
        <v>0.10340630926580566</v>
      </c>
      <c r="M226" s="91">
        <v>1000000</v>
      </c>
      <c r="N226" s="91">
        <v>1000000</v>
      </c>
      <c r="O226" s="32">
        <v>26</v>
      </c>
      <c r="P226" s="50">
        <v>0.25729999999999997</v>
      </c>
      <c r="Q226" s="50">
        <v>0.25729999999999997</v>
      </c>
      <c r="R226" s="57">
        <f>((K226-D226)/D226)</f>
        <v>3.0737831893439442E-3</v>
      </c>
      <c r="S226" s="57">
        <f>((N226-G226)/G226)</f>
        <v>0</v>
      </c>
      <c r="T226" s="57">
        <f>((O226-H226)/H226)</f>
        <v>0</v>
      </c>
      <c r="U226" s="57">
        <f>P226-I226</f>
        <v>-6.0000000000004494E-4</v>
      </c>
      <c r="V226" s="58">
        <f>Q226-J226</f>
        <v>-6.0000000000004494E-4</v>
      </c>
    </row>
    <row r="227" spans="1:22">
      <c r="A227" s="85"/>
      <c r="B227" s="85"/>
      <c r="C227" s="86" t="s">
        <v>258</v>
      </c>
      <c r="D227" s="90">
        <f>SUM(D225:D226)</f>
        <v>130933403956.89999</v>
      </c>
      <c r="E227" s="92"/>
      <c r="F227" s="93"/>
      <c r="G227" s="93"/>
      <c r="H227" s="90">
        <f>SUM(H225:H226)</f>
        <v>26</v>
      </c>
      <c r="I227" s="113"/>
      <c r="J227" s="113"/>
      <c r="K227" s="90">
        <f>SUM(K225:K226)</f>
        <v>130974906574.28</v>
      </c>
      <c r="L227" s="92"/>
      <c r="M227" s="93"/>
      <c r="N227" s="93"/>
      <c r="O227" s="90">
        <f>SUM(O225:O226)</f>
        <v>26</v>
      </c>
      <c r="P227" s="113"/>
      <c r="Q227" s="90"/>
      <c r="R227" s="118">
        <f>((K227-D227)/D227)</f>
        <v>3.1697501268405508E-4</v>
      </c>
      <c r="S227" s="119"/>
      <c r="T227" s="119"/>
      <c r="U227" s="118"/>
      <c r="V227" s="120"/>
    </row>
    <row r="228" spans="1:22" ht="4.5" customHeight="1">
      <c r="A228" s="36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</row>
    <row r="229" spans="1:22" ht="15.6">
      <c r="A229" s="146" t="s">
        <v>259</v>
      </c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</row>
    <row r="230" spans="1:22">
      <c r="A230" s="135">
        <v>1</v>
      </c>
      <c r="B230" s="133" t="s">
        <v>260</v>
      </c>
      <c r="C230" s="134" t="s">
        <v>82</v>
      </c>
      <c r="D230" s="94">
        <v>993817810.97833157</v>
      </c>
      <c r="E230" s="95">
        <f t="shared" ref="E230:E241" si="143">(D230/$D$242)</f>
        <v>7.5022806884369561E-2</v>
      </c>
      <c r="F230" s="91">
        <v>234.19766960724203</v>
      </c>
      <c r="G230" s="91">
        <v>238.1534596465182</v>
      </c>
      <c r="H230" s="96">
        <v>61</v>
      </c>
      <c r="I230" s="52">
        <v>0.01</v>
      </c>
      <c r="J230" s="52">
        <v>2.12E-2</v>
      </c>
      <c r="K230" s="94">
        <v>993057310.60677624</v>
      </c>
      <c r="L230" s="95">
        <f t="shared" ref="L230:L241" si="144">(K230/$K$242)</f>
        <v>7.4933373946994092E-2</v>
      </c>
      <c r="M230" s="91">
        <v>234.01845424926975</v>
      </c>
      <c r="N230" s="91">
        <v>238.08202479321315</v>
      </c>
      <c r="O230" s="96">
        <v>254</v>
      </c>
      <c r="P230" s="52">
        <v>-7.6523117532656393E-4</v>
      </c>
      <c r="Q230" s="52">
        <v>2.0399643539154688E-2</v>
      </c>
      <c r="R230" s="57">
        <f>((K230-D230)/D230)</f>
        <v>-7.6523117532647014E-4</v>
      </c>
      <c r="S230" s="57">
        <f>((N230-G230)/G230)</f>
        <v>-2.9995303621067551E-4</v>
      </c>
      <c r="T230" s="57">
        <f>((O230-H230)/H230)</f>
        <v>3.1639344262295084</v>
      </c>
      <c r="U230" s="57">
        <f>P230-I230</f>
        <v>-1.0765231175326564E-2</v>
      </c>
      <c r="V230" s="58">
        <f>Q230-J230</f>
        <v>-8.003564608453119E-4</v>
      </c>
    </row>
    <row r="231" spans="1:22">
      <c r="A231" s="135">
        <v>2</v>
      </c>
      <c r="B231" s="133" t="s">
        <v>261</v>
      </c>
      <c r="C231" s="134" t="s">
        <v>233</v>
      </c>
      <c r="D231" s="94">
        <v>1160328151.8699999</v>
      </c>
      <c r="E231" s="95">
        <f t="shared" si="143"/>
        <v>8.7592588801106153E-2</v>
      </c>
      <c r="F231" s="91">
        <v>33</v>
      </c>
      <c r="G231" s="91">
        <v>36.479999999999997</v>
      </c>
      <c r="H231" s="96">
        <v>220</v>
      </c>
      <c r="I231" s="52">
        <v>8.0000000000000004E-4</v>
      </c>
      <c r="J231" s="52">
        <v>7.6200000000000004E-2</v>
      </c>
      <c r="K231" s="94">
        <v>1160328151.8699999</v>
      </c>
      <c r="L231" s="95">
        <f t="shared" si="144"/>
        <v>8.7555171666953285E-2</v>
      </c>
      <c r="M231" s="91">
        <v>33</v>
      </c>
      <c r="N231" s="91">
        <v>36.479999999999997</v>
      </c>
      <c r="O231" s="96">
        <v>220</v>
      </c>
      <c r="P231" s="52">
        <v>8.0000000000000004E-4</v>
      </c>
      <c r="Q231" s="52">
        <v>7.6200000000000004E-2</v>
      </c>
      <c r="R231" s="57">
        <f t="shared" ref="R231:R242" si="145">((K231-D231)/D231)</f>
        <v>0</v>
      </c>
      <c r="S231" s="57">
        <f t="shared" ref="S231:S242" si="146">((N231-G231)/G231)</f>
        <v>0</v>
      </c>
      <c r="T231" s="57">
        <f t="shared" ref="T231:T242" si="147">((O231-H231)/H231)</f>
        <v>0</v>
      </c>
      <c r="U231" s="57">
        <f t="shared" ref="U231:U242" si="148">P231-I231</f>
        <v>0</v>
      </c>
      <c r="V231" s="58">
        <f t="shared" ref="V231:V242" si="149">Q231-J231</f>
        <v>0</v>
      </c>
    </row>
    <row r="232" spans="1:22">
      <c r="A232" s="135">
        <v>3</v>
      </c>
      <c r="B232" s="133" t="s">
        <v>262</v>
      </c>
      <c r="C232" s="134" t="s">
        <v>43</v>
      </c>
      <c r="D232" s="94">
        <v>390980992.96999997</v>
      </c>
      <c r="E232" s="95">
        <f t="shared" si="143"/>
        <v>2.9514958583980243E-2</v>
      </c>
      <c r="F232" s="91">
        <v>29.171382999999999</v>
      </c>
      <c r="G232" s="91">
        <v>29.539182</v>
      </c>
      <c r="H232" s="96">
        <v>167</v>
      </c>
      <c r="I232" s="52">
        <v>5.7372024711601632E-3</v>
      </c>
      <c r="J232" s="52">
        <v>2.0068244686084702E-2</v>
      </c>
      <c r="K232" s="94">
        <v>394354288.5</v>
      </c>
      <c r="L232" s="95">
        <f t="shared" si="144"/>
        <v>2.9756890213834201E-2</v>
      </c>
      <c r="M232" s="91">
        <v>29.045261</v>
      </c>
      <c r="N232" s="91">
        <v>29.423935</v>
      </c>
      <c r="O232" s="96">
        <v>167</v>
      </c>
      <c r="P232" s="52">
        <v>-4.3234891219627869E-3</v>
      </c>
      <c r="Q232" s="52">
        <v>1.5657990726524851E-2</v>
      </c>
      <c r="R232" s="57">
        <f t="shared" si="145"/>
        <v>8.6277737042293121E-3</v>
      </c>
      <c r="S232" s="57">
        <f t="shared" si="146"/>
        <v>-3.9014959859078055E-3</v>
      </c>
      <c r="T232" s="57">
        <f t="shared" si="147"/>
        <v>0</v>
      </c>
      <c r="U232" s="57">
        <f t="shared" si="148"/>
        <v>-1.006069159312295E-2</v>
      </c>
      <c r="V232" s="58">
        <f t="shared" si="149"/>
        <v>-4.4102539595598511E-3</v>
      </c>
    </row>
    <row r="233" spans="1:22">
      <c r="A233" s="135">
        <v>4</v>
      </c>
      <c r="B233" s="133" t="s">
        <v>263</v>
      </c>
      <c r="C233" s="134" t="s">
        <v>43</v>
      </c>
      <c r="D233" s="94">
        <v>861443824.65999997</v>
      </c>
      <c r="E233" s="95">
        <f t="shared" si="143"/>
        <v>6.5029961211481038E-2</v>
      </c>
      <c r="F233" s="91">
        <v>64.641448999999994</v>
      </c>
      <c r="G233" s="91">
        <v>65.196922999999998</v>
      </c>
      <c r="H233" s="96">
        <v>460</v>
      </c>
      <c r="I233" s="52">
        <v>6.9018578106108119E-3</v>
      </c>
      <c r="J233" s="52">
        <v>-2.5577034330139803E-2</v>
      </c>
      <c r="K233" s="94">
        <v>869440180.33000004</v>
      </c>
      <c r="L233" s="95">
        <f t="shared" si="144"/>
        <v>6.5605565218992218E-2</v>
      </c>
      <c r="M233" s="91">
        <v>64.669683000000006</v>
      </c>
      <c r="N233" s="91">
        <v>65.243408000000002</v>
      </c>
      <c r="O233" s="96">
        <v>460</v>
      </c>
      <c r="P233" s="52">
        <v>4.3678678658887193E-4</v>
      </c>
      <c r="Q233" s="52">
        <v>-2.5151419254186402E-2</v>
      </c>
      <c r="R233" s="57">
        <f t="shared" si="145"/>
        <v>9.2825039092434471E-3</v>
      </c>
      <c r="S233" s="57">
        <f t="shared" si="146"/>
        <v>7.1299377119383544E-4</v>
      </c>
      <c r="T233" s="57">
        <f t="shared" si="147"/>
        <v>0</v>
      </c>
      <c r="U233" s="57">
        <f t="shared" si="148"/>
        <v>-6.46507102402194E-3</v>
      </c>
      <c r="V233" s="58">
        <f t="shared" si="149"/>
        <v>4.2561507595340053E-4</v>
      </c>
    </row>
    <row r="234" spans="1:22">
      <c r="A234" s="135">
        <v>5</v>
      </c>
      <c r="B234" s="133" t="s">
        <v>264</v>
      </c>
      <c r="C234" s="134" t="s">
        <v>265</v>
      </c>
      <c r="D234" s="94">
        <v>1477270903.9000001</v>
      </c>
      <c r="E234" s="95">
        <f t="shared" si="143"/>
        <v>0.1115184378010752</v>
      </c>
      <c r="F234" s="91">
        <v>43500</v>
      </c>
      <c r="G234" s="91">
        <v>45550</v>
      </c>
      <c r="H234" s="96">
        <v>228</v>
      </c>
      <c r="I234" s="52">
        <v>1.2E-2</v>
      </c>
      <c r="J234" s="52">
        <v>0.17</v>
      </c>
      <c r="K234" s="94">
        <v>1466703894.6600001</v>
      </c>
      <c r="L234" s="95">
        <f t="shared" si="144"/>
        <v>0.11067344274512857</v>
      </c>
      <c r="M234" s="91">
        <v>42750</v>
      </c>
      <c r="N234" s="91">
        <v>46000</v>
      </c>
      <c r="O234" s="96">
        <v>228</v>
      </c>
      <c r="P234" s="52">
        <v>-7.0000000000000001E-3</v>
      </c>
      <c r="Q234" s="52">
        <v>0.17</v>
      </c>
      <c r="R234" s="57">
        <f t="shared" si="145"/>
        <v>-7.1530612375178245E-3</v>
      </c>
      <c r="S234" s="57">
        <f t="shared" si="146"/>
        <v>9.8792535675082324E-3</v>
      </c>
      <c r="T234" s="57">
        <f t="shared" si="147"/>
        <v>0</v>
      </c>
      <c r="U234" s="57">
        <f t="shared" si="148"/>
        <v>-1.9E-2</v>
      </c>
      <c r="V234" s="58">
        <f t="shared" si="149"/>
        <v>0</v>
      </c>
    </row>
    <row r="235" spans="1:22">
      <c r="A235" s="135">
        <v>6</v>
      </c>
      <c r="B235" s="133" t="s">
        <v>266</v>
      </c>
      <c r="C235" s="134" t="s">
        <v>267</v>
      </c>
      <c r="D235" s="94">
        <v>1034858759.9</v>
      </c>
      <c r="E235" s="95">
        <f t="shared" si="143"/>
        <v>7.81209674841183E-2</v>
      </c>
      <c r="F235" s="91">
        <v>300</v>
      </c>
      <c r="G235" s="91">
        <v>300</v>
      </c>
      <c r="H235" s="96">
        <v>141</v>
      </c>
      <c r="I235" s="52">
        <v>1.8700000000000001E-2</v>
      </c>
      <c r="J235" s="52">
        <v>6.9599999999999995E-2</v>
      </c>
      <c r="K235" s="94">
        <v>1040004045.75</v>
      </c>
      <c r="L235" s="95">
        <f t="shared" si="144"/>
        <v>7.8475845486655968E-2</v>
      </c>
      <c r="M235" s="91">
        <v>300</v>
      </c>
      <c r="N235" s="91">
        <v>300</v>
      </c>
      <c r="O235" s="96">
        <v>141</v>
      </c>
      <c r="P235" s="52">
        <v>5.0000000000000001E-3</v>
      </c>
      <c r="Q235" s="52">
        <v>7.4800000000000005E-2</v>
      </c>
      <c r="R235" s="57">
        <f t="shared" si="145"/>
        <v>4.9719691704568662E-3</v>
      </c>
      <c r="S235" s="57">
        <f t="shared" si="146"/>
        <v>0</v>
      </c>
      <c r="T235" s="57">
        <f t="shared" si="147"/>
        <v>0</v>
      </c>
      <c r="U235" s="57">
        <f t="shared" si="148"/>
        <v>-1.37E-2</v>
      </c>
      <c r="V235" s="58">
        <f t="shared" si="149"/>
        <v>5.2000000000000102E-3</v>
      </c>
    </row>
    <row r="236" spans="1:22">
      <c r="A236" s="135">
        <v>7</v>
      </c>
      <c r="B236" s="133" t="s">
        <v>268</v>
      </c>
      <c r="C236" s="134" t="s">
        <v>267</v>
      </c>
      <c r="D236" s="94">
        <v>860653608.63</v>
      </c>
      <c r="E236" s="95">
        <f t="shared" si="143"/>
        <v>6.497030820067691E-2</v>
      </c>
      <c r="F236" s="91">
        <v>380</v>
      </c>
      <c r="G236" s="91">
        <v>380</v>
      </c>
      <c r="H236" s="96">
        <v>630</v>
      </c>
      <c r="I236" s="52">
        <v>3.8E-3</v>
      </c>
      <c r="J236" s="52">
        <v>2.81E-2</v>
      </c>
      <c r="K236" s="94">
        <v>861228989.12</v>
      </c>
      <c r="L236" s="95">
        <f t="shared" si="144"/>
        <v>6.4985971309439047E-2</v>
      </c>
      <c r="M236" s="91">
        <v>350</v>
      </c>
      <c r="N236" s="91">
        <v>350</v>
      </c>
      <c r="O236" s="96">
        <v>630</v>
      </c>
      <c r="P236" s="52">
        <v>6.9999999999999999E-4</v>
      </c>
      <c r="Q236" s="52">
        <v>2.8799999999999999E-2</v>
      </c>
      <c r="R236" s="57">
        <f t="shared" si="145"/>
        <v>6.6853898505800488E-4</v>
      </c>
      <c r="S236" s="57">
        <f t="shared" si="146"/>
        <v>-7.8947368421052627E-2</v>
      </c>
      <c r="T236" s="57">
        <f t="shared" si="147"/>
        <v>0</v>
      </c>
      <c r="U236" s="57">
        <f t="shared" si="148"/>
        <v>-3.0999999999999999E-3</v>
      </c>
      <c r="V236" s="58">
        <f t="shared" si="149"/>
        <v>6.9999999999999923E-4</v>
      </c>
    </row>
    <row r="237" spans="1:22">
      <c r="A237" s="135">
        <v>8</v>
      </c>
      <c r="B237" s="133" t="s">
        <v>269</v>
      </c>
      <c r="C237" s="134" t="s">
        <v>270</v>
      </c>
      <c r="D237" s="94">
        <v>63116855.789999999</v>
      </c>
      <c r="E237" s="95">
        <f t="shared" si="143"/>
        <v>4.7646597100331253E-3</v>
      </c>
      <c r="F237" s="91">
        <v>18.11</v>
      </c>
      <c r="G237" s="91">
        <v>18.21</v>
      </c>
      <c r="H237" s="96">
        <v>122</v>
      </c>
      <c r="I237" s="52">
        <v>-7.6899999999999996E-2</v>
      </c>
      <c r="J237" s="52">
        <v>4.65E-2</v>
      </c>
      <c r="K237" s="94">
        <v>62808301.810000002</v>
      </c>
      <c r="L237" s="95">
        <f t="shared" si="144"/>
        <v>4.739341744162455E-3</v>
      </c>
      <c r="M237" s="91">
        <v>17.940000000000001</v>
      </c>
      <c r="N237" s="91">
        <v>18.04</v>
      </c>
      <c r="O237" s="96">
        <v>84</v>
      </c>
      <c r="P237" s="52">
        <v>9.1700000000000004E-2</v>
      </c>
      <c r="Q237" s="52">
        <v>0.1424</v>
      </c>
      <c r="R237" s="57">
        <f t="shared" si="145"/>
        <v>-4.8886145568880325E-3</v>
      </c>
      <c r="S237" s="57">
        <f t="shared" si="146"/>
        <v>-9.335529928610746E-3</v>
      </c>
      <c r="T237" s="57">
        <f t="shared" si="147"/>
        <v>-0.31147540983606559</v>
      </c>
      <c r="U237" s="57">
        <f t="shared" si="148"/>
        <v>0.1686</v>
      </c>
      <c r="V237" s="58">
        <f t="shared" si="149"/>
        <v>9.5899999999999999E-2</v>
      </c>
    </row>
    <row r="238" spans="1:22">
      <c r="A238" s="135">
        <v>9</v>
      </c>
      <c r="B238" s="133" t="s">
        <v>271</v>
      </c>
      <c r="C238" s="134" t="s">
        <v>270</v>
      </c>
      <c r="D238" s="97">
        <v>701791135.13999999</v>
      </c>
      <c r="E238" s="95">
        <f t="shared" si="143"/>
        <v>5.2977859948938541E-2</v>
      </c>
      <c r="F238" s="91">
        <v>11.55</v>
      </c>
      <c r="G238" s="91">
        <v>11.65</v>
      </c>
      <c r="H238" s="96">
        <v>212</v>
      </c>
      <c r="I238" s="52">
        <v>0</v>
      </c>
      <c r="J238" s="52">
        <v>0.1651</v>
      </c>
      <c r="K238" s="97">
        <v>703380914.38</v>
      </c>
      <c r="L238" s="95">
        <f t="shared" si="144"/>
        <v>5.3075189640576136E-2</v>
      </c>
      <c r="M238" s="91">
        <v>11.57</v>
      </c>
      <c r="N238" s="91">
        <v>11.67</v>
      </c>
      <c r="O238" s="96">
        <v>127</v>
      </c>
      <c r="P238" s="52">
        <v>0</v>
      </c>
      <c r="Q238" s="52">
        <v>0.1651</v>
      </c>
      <c r="R238" s="57">
        <f t="shared" si="145"/>
        <v>2.2653167878543597E-3</v>
      </c>
      <c r="S238" s="57">
        <f t="shared" si="146"/>
        <v>1.716738197424856E-3</v>
      </c>
      <c r="T238" s="57">
        <f t="shared" si="147"/>
        <v>-0.40094339622641512</v>
      </c>
      <c r="U238" s="57">
        <f t="shared" si="148"/>
        <v>0</v>
      </c>
      <c r="V238" s="58">
        <f t="shared" si="149"/>
        <v>0</v>
      </c>
    </row>
    <row r="239" spans="1:22" ht="15" customHeight="1">
      <c r="A239" s="135">
        <v>10</v>
      </c>
      <c r="B239" s="133" t="s">
        <v>272</v>
      </c>
      <c r="C239" s="134" t="s">
        <v>270</v>
      </c>
      <c r="D239" s="94">
        <v>97595687.840000004</v>
      </c>
      <c r="E239" s="95">
        <f t="shared" si="143"/>
        <v>7.3674494064055133E-3</v>
      </c>
      <c r="F239" s="91">
        <v>133.41</v>
      </c>
      <c r="G239" s="91">
        <v>135.41</v>
      </c>
      <c r="H239" s="96">
        <v>304</v>
      </c>
      <c r="I239" s="52">
        <v>0.3075</v>
      </c>
      <c r="J239" s="52">
        <v>0.2195</v>
      </c>
      <c r="K239" s="94">
        <v>97627863.299999997</v>
      </c>
      <c r="L239" s="95">
        <f t="shared" si="144"/>
        <v>7.3667301072834991E-3</v>
      </c>
      <c r="M239" s="91">
        <v>133.46</v>
      </c>
      <c r="N239" s="91">
        <v>135.46</v>
      </c>
      <c r="O239" s="96">
        <v>304</v>
      </c>
      <c r="P239" s="52">
        <v>-0.23519999999999999</v>
      </c>
      <c r="Q239" s="52">
        <v>-6.7299999999999999E-2</v>
      </c>
      <c r="R239" s="57">
        <f t="shared" si="145"/>
        <v>3.2968116432298145E-4</v>
      </c>
      <c r="S239" s="57">
        <f t="shared" si="146"/>
        <v>3.6924894764058322E-4</v>
      </c>
      <c r="T239" s="57">
        <f t="shared" si="147"/>
        <v>0</v>
      </c>
      <c r="U239" s="57">
        <f t="shared" si="148"/>
        <v>-0.54269999999999996</v>
      </c>
      <c r="V239" s="58">
        <f t="shared" si="149"/>
        <v>-0.2868</v>
      </c>
    </row>
    <row r="240" spans="1:22">
      <c r="A240" s="135">
        <v>11</v>
      </c>
      <c r="B240" s="133" t="s">
        <v>273</v>
      </c>
      <c r="C240" s="134" t="s">
        <v>270</v>
      </c>
      <c r="D240" s="94">
        <v>5543896278.9499998</v>
      </c>
      <c r="E240" s="95">
        <f t="shared" si="143"/>
        <v>0.41850594276752123</v>
      </c>
      <c r="F240" s="91">
        <v>39.46</v>
      </c>
      <c r="G240" s="91">
        <v>39.659999999999997</v>
      </c>
      <c r="H240" s="96">
        <v>433</v>
      </c>
      <c r="I240" s="52">
        <v>-4.82E-2</v>
      </c>
      <c r="J240" s="52">
        <v>5.0500000000000003E-2</v>
      </c>
      <c r="K240" s="94">
        <v>5542375758.6400003</v>
      </c>
      <c r="L240" s="95">
        <f t="shared" si="144"/>
        <v>0.41821243430871557</v>
      </c>
      <c r="M240" s="91">
        <v>39.43</v>
      </c>
      <c r="N240" s="91">
        <v>39.630000000000003</v>
      </c>
      <c r="O240" s="96">
        <v>288</v>
      </c>
      <c r="P240" s="52">
        <v>6.3299999999999995E-2</v>
      </c>
      <c r="Q240" s="52">
        <v>0.11700000000000001</v>
      </c>
      <c r="R240" s="57">
        <f t="shared" si="145"/>
        <v>-2.74269256402367E-4</v>
      </c>
      <c r="S240" s="57">
        <f t="shared" si="146"/>
        <v>-7.5642965204220959E-4</v>
      </c>
      <c r="T240" s="57">
        <f t="shared" si="147"/>
        <v>-0.3348729792147806</v>
      </c>
      <c r="U240" s="57">
        <f t="shared" si="148"/>
        <v>0.11149999999999999</v>
      </c>
      <c r="V240" s="58">
        <f t="shared" si="149"/>
        <v>6.6500000000000004E-2</v>
      </c>
    </row>
    <row r="241" spans="1:26">
      <c r="A241" s="135">
        <v>12</v>
      </c>
      <c r="B241" s="133" t="s">
        <v>274</v>
      </c>
      <c r="C241" s="134" t="s">
        <v>270</v>
      </c>
      <c r="D241" s="97">
        <v>61121869.530000001</v>
      </c>
      <c r="E241" s="95">
        <f t="shared" si="143"/>
        <v>4.6140592002942094E-3</v>
      </c>
      <c r="F241" s="91">
        <v>34.799999999999997</v>
      </c>
      <c r="G241" s="91">
        <v>35</v>
      </c>
      <c r="H241" s="96">
        <v>117</v>
      </c>
      <c r="I241" s="52">
        <v>-5.21E-2</v>
      </c>
      <c r="J241" s="52">
        <v>-4.4200000000000003E-2</v>
      </c>
      <c r="K241" s="97">
        <v>61227298.890000001</v>
      </c>
      <c r="L241" s="95">
        <f t="shared" si="144"/>
        <v>4.6200436112649058E-3</v>
      </c>
      <c r="M241" s="91">
        <v>34.72</v>
      </c>
      <c r="N241" s="91">
        <v>34.92</v>
      </c>
      <c r="O241" s="96">
        <v>73</v>
      </c>
      <c r="P241" s="52">
        <v>0</v>
      </c>
      <c r="Q241" s="52">
        <v>-4.4200000000000003E-2</v>
      </c>
      <c r="R241" s="57">
        <f t="shared" si="145"/>
        <v>1.7249040451593563E-3</v>
      </c>
      <c r="S241" s="57">
        <f t="shared" si="146"/>
        <v>-2.2857142857142369E-3</v>
      </c>
      <c r="T241" s="57">
        <f t="shared" si="147"/>
        <v>-0.37606837606837606</v>
      </c>
      <c r="U241" s="57">
        <f t="shared" si="148"/>
        <v>5.21E-2</v>
      </c>
      <c r="V241" s="58">
        <f t="shared" si="149"/>
        <v>0</v>
      </c>
    </row>
    <row r="242" spans="1:26">
      <c r="A242" s="130"/>
      <c r="B242" s="130"/>
      <c r="C242" s="131" t="s">
        <v>275</v>
      </c>
      <c r="D242" s="90">
        <f>SUM(D230:D241)</f>
        <v>13246875880.158331</v>
      </c>
      <c r="E242" s="92"/>
      <c r="F242" s="92"/>
      <c r="G242" s="93"/>
      <c r="H242" s="90">
        <f>SUM(H230:H241)</f>
        <v>3095</v>
      </c>
      <c r="I242" s="113"/>
      <c r="J242" s="113"/>
      <c r="K242" s="90">
        <f>SUM(K230:K241)</f>
        <v>13252536997.856777</v>
      </c>
      <c r="L242" s="92"/>
      <c r="M242" s="92"/>
      <c r="N242" s="93"/>
      <c r="O242" s="90">
        <f>SUM(O230:O241)</f>
        <v>2976</v>
      </c>
      <c r="P242" s="113"/>
      <c r="Q242" s="113"/>
      <c r="R242" s="57">
        <f t="shared" si="145"/>
        <v>4.2735492878933886E-4</v>
      </c>
      <c r="S242" s="57" t="e">
        <f t="shared" si="146"/>
        <v>#DIV/0!</v>
      </c>
      <c r="T242" s="57">
        <f t="shared" si="147"/>
        <v>-3.8449111470113088E-2</v>
      </c>
      <c r="U242" s="57">
        <f t="shared" si="148"/>
        <v>0</v>
      </c>
      <c r="V242" s="58">
        <f t="shared" si="149"/>
        <v>0</v>
      </c>
      <c r="Z242" s="65"/>
    </row>
    <row r="243" spans="1:26">
      <c r="A243" s="98"/>
      <c r="B243" s="98"/>
      <c r="C243" s="99" t="s">
        <v>276</v>
      </c>
      <c r="D243" s="100">
        <f>SUM(D217,D222,D227,D242)</f>
        <v>4943041617687.6572</v>
      </c>
      <c r="E243" s="101"/>
      <c r="F243" s="101"/>
      <c r="G243" s="102"/>
      <c r="H243" s="100">
        <f>SUM(H217,H222,H227,H242)</f>
        <v>861804</v>
      </c>
      <c r="I243" s="114"/>
      <c r="J243" s="114"/>
      <c r="K243" s="100">
        <f>SUM(K217,K222,K227,K242)</f>
        <v>5080682093748.6221</v>
      </c>
      <c r="L243" s="101"/>
      <c r="M243" s="101"/>
      <c r="N243" s="100"/>
      <c r="O243" s="100">
        <f>SUM(O217,O222,O227,O242)</f>
        <v>863158</v>
      </c>
      <c r="P243" s="115"/>
      <c r="Q243" s="100"/>
      <c r="R243" s="121"/>
      <c r="S243" s="122"/>
      <c r="T243" s="122"/>
      <c r="U243" s="123"/>
      <c r="V243" s="123"/>
      <c r="Z243" s="65"/>
    </row>
    <row r="244" spans="1:26">
      <c r="A244" s="103" t="s">
        <v>277</v>
      </c>
      <c r="B244" s="128" t="s">
        <v>313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</row>
    <row r="245" spans="1:26">
      <c r="B245" s="127"/>
    </row>
    <row r="246" spans="1:26">
      <c r="B246" s="127"/>
      <c r="C246" s="105"/>
      <c r="D246" s="106"/>
      <c r="K246" s="106"/>
    </row>
    <row r="247" spans="1:26" ht="15">
      <c r="B247" s="107"/>
      <c r="C247" s="108"/>
      <c r="D247" s="109"/>
      <c r="F247" s="110"/>
      <c r="G247" s="110"/>
      <c r="I247" s="116"/>
      <c r="J247" s="117"/>
    </row>
    <row r="250" spans="1:26">
      <c r="B250" s="105"/>
    </row>
  </sheetData>
  <sheetProtection algorithmName="SHA-512" hashValue="qnr0o2CGbkePPshetJR9GTtO7IUtNQmut4xGLKnoqBRfH+jh6FpPY/G2SbwbGwPXZ7Qe/ccG206j7AwnfHJkUg==" saltValue="xSBOR/IbGoftbtSJuhZ4bg==" spinCount="100000" sheet="1" objects="1" scenarios="1"/>
  <sortState ref="A150:C177">
    <sortCondition descending="1" ref="A149"/>
  </sortState>
  <mergeCells count="34">
    <mergeCell ref="A1:V1"/>
    <mergeCell ref="D2:J2"/>
    <mergeCell ref="K2:Q2"/>
    <mergeCell ref="R2:T2"/>
    <mergeCell ref="U2:V2"/>
    <mergeCell ref="B4:V4"/>
    <mergeCell ref="A5:V5"/>
    <mergeCell ref="B26:V26"/>
    <mergeCell ref="A27:V27"/>
    <mergeCell ref="B69:V69"/>
    <mergeCell ref="A70:V70"/>
    <mergeCell ref="B109:V109"/>
    <mergeCell ref="A110:V110"/>
    <mergeCell ref="A111:V111"/>
    <mergeCell ref="B129:V129"/>
    <mergeCell ref="A130:V130"/>
    <mergeCell ref="B147:V147"/>
    <mergeCell ref="A148:V148"/>
    <mergeCell ref="B155:V155"/>
    <mergeCell ref="A156:V156"/>
    <mergeCell ref="B186:V186"/>
    <mergeCell ref="A187:V187"/>
    <mergeCell ref="B192:V192"/>
    <mergeCell ref="A193:V193"/>
    <mergeCell ref="A194:V194"/>
    <mergeCell ref="A219:V219"/>
    <mergeCell ref="A224:V224"/>
    <mergeCell ref="B228:V228"/>
    <mergeCell ref="A229:V229"/>
    <mergeCell ref="B197:V197"/>
    <mergeCell ref="A198:V198"/>
    <mergeCell ref="B212:V212"/>
    <mergeCell ref="A213:V213"/>
    <mergeCell ref="B218:U218"/>
  </mergeCells>
  <pageMargins left="0.7" right="0.7" top="0.75" bottom="0.75" header="0.3" footer="0.3"/>
  <pageSetup paperSize="9" orientation="portrait" horizontalDpi="300" verticalDpi="300" r:id="rId1"/>
  <ignoredErrors>
    <ignoredError sqref="L94 E94 E75 L49 E49 L34 E34 L134 E134" formula="1"/>
    <ignoredError sqref="S154 S25 T39 S68 S108 S146 S185 S191 S216 S242 T225:T226 R50:T50 R134 T164 R123:T123 R46:T46" evalError="1"/>
    <ignoredError sqref="P120:Q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A8" sqref="A8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6">
      <c r="A1" s="164"/>
      <c r="B1" s="164"/>
      <c r="C1" s="164"/>
      <c r="D1" s="164"/>
      <c r="E1" s="19"/>
      <c r="F1" s="15"/>
    </row>
    <row r="2" spans="1:6" ht="27.6">
      <c r="A2" s="173" t="s">
        <v>278</v>
      </c>
      <c r="B2" s="174" t="s">
        <v>310</v>
      </c>
      <c r="C2" s="174" t="s">
        <v>314</v>
      </c>
      <c r="D2" s="175"/>
      <c r="E2" s="19"/>
      <c r="F2" s="15"/>
    </row>
    <row r="3" spans="1:6">
      <c r="A3" s="176" t="s">
        <v>17</v>
      </c>
      <c r="B3" s="177">
        <f t="shared" ref="B3:C10" si="0">B13</f>
        <v>37.656201173972605</v>
      </c>
      <c r="C3" s="177">
        <f t="shared" si="0"/>
        <v>37.097805539873704</v>
      </c>
      <c r="D3" s="175"/>
      <c r="E3" s="19"/>
      <c r="F3" s="15"/>
    </row>
    <row r="4" spans="1:6" ht="17.25" customHeight="1">
      <c r="A4" s="173" t="s">
        <v>54</v>
      </c>
      <c r="B4" s="178">
        <f t="shared" si="0"/>
        <v>2481.105692224794</v>
      </c>
      <c r="C4" s="178">
        <f t="shared" si="0"/>
        <v>2556.1306286649051</v>
      </c>
      <c r="D4" s="175"/>
      <c r="E4" s="19"/>
      <c r="F4" s="15"/>
    </row>
    <row r="5" spans="1:6" ht="19.5" customHeight="1">
      <c r="A5" s="173" t="s">
        <v>279</v>
      </c>
      <c r="B5" s="177">
        <f t="shared" si="0"/>
        <v>198.33479810343573</v>
      </c>
      <c r="C5" s="177">
        <f t="shared" si="0"/>
        <v>200.66214858212146</v>
      </c>
      <c r="D5" s="175"/>
      <c r="E5" s="19"/>
      <c r="F5" s="15"/>
    </row>
    <row r="6" spans="1:6">
      <c r="A6" s="173" t="s">
        <v>157</v>
      </c>
      <c r="B6" s="178">
        <f t="shared" si="0"/>
        <v>1844.9628947513052</v>
      </c>
      <c r="C6" s="178">
        <f t="shared" si="0"/>
        <v>1905.4364957549351</v>
      </c>
      <c r="D6" s="175"/>
      <c r="E6" s="19"/>
      <c r="F6" s="15"/>
    </row>
    <row r="7" spans="1:6">
      <c r="A7" s="173" t="s">
        <v>280</v>
      </c>
      <c r="B7" s="177">
        <f t="shared" si="0"/>
        <v>101.3627945135286</v>
      </c>
      <c r="C7" s="177">
        <f t="shared" si="0"/>
        <v>101.41608429950922</v>
      </c>
      <c r="D7" s="175"/>
      <c r="E7" s="19"/>
      <c r="F7" s="15"/>
    </row>
    <row r="8" spans="1:6">
      <c r="A8" s="173" t="s">
        <v>194</v>
      </c>
      <c r="B8" s="179">
        <f t="shared" si="0"/>
        <v>57.062758533043763</v>
      </c>
      <c r="C8" s="179">
        <f t="shared" si="0"/>
        <v>57.167466185858181</v>
      </c>
      <c r="D8" s="175"/>
      <c r="E8" s="19"/>
      <c r="F8" s="15"/>
    </row>
    <row r="9" spans="1:6">
      <c r="A9" s="173" t="s">
        <v>225</v>
      </c>
      <c r="B9" s="177">
        <f t="shared" si="0"/>
        <v>6.6771583001700003</v>
      </c>
      <c r="C9" s="177">
        <f t="shared" si="0"/>
        <v>6.8089861126900004</v>
      </c>
      <c r="D9" s="175"/>
      <c r="E9" s="19"/>
      <c r="F9" s="15"/>
    </row>
    <row r="10" spans="1:6">
      <c r="A10" s="173" t="s">
        <v>281</v>
      </c>
      <c r="B10" s="177">
        <f t="shared" si="0"/>
        <v>56.291328983646771</v>
      </c>
      <c r="C10" s="177">
        <f t="shared" si="0"/>
        <v>56.258713652725334</v>
      </c>
      <c r="D10" s="175"/>
      <c r="E10" s="19"/>
      <c r="F10" s="15"/>
    </row>
    <row r="11" spans="1:6">
      <c r="A11" s="173"/>
      <c r="B11" s="177"/>
      <c r="C11" s="177"/>
      <c r="D11" s="175"/>
      <c r="E11" s="19"/>
      <c r="F11" s="15"/>
    </row>
    <row r="12" spans="1:6">
      <c r="A12" s="164"/>
      <c r="B12" s="164"/>
      <c r="C12" s="164"/>
      <c r="D12" s="164"/>
      <c r="E12" s="19"/>
      <c r="F12" s="15"/>
    </row>
    <row r="13" spans="1:6">
      <c r="A13" s="180" t="s">
        <v>17</v>
      </c>
      <c r="B13" s="181">
        <f>'Weekly Valuation'!D25/1000000000</f>
        <v>37.656201173972605</v>
      </c>
      <c r="C13" s="182">
        <f>'Weekly Valuation'!K25/1000000000</f>
        <v>37.097805539873704</v>
      </c>
      <c r="D13" s="164"/>
      <c r="E13" s="19"/>
      <c r="F13" s="15"/>
    </row>
    <row r="14" spans="1:6">
      <c r="A14" s="183" t="s">
        <v>54</v>
      </c>
      <c r="B14" s="181">
        <f>'Weekly Valuation'!D68/1000000000</f>
        <v>2481.105692224794</v>
      </c>
      <c r="C14" s="184">
        <f>'Weekly Valuation'!K68/1000000000</f>
        <v>2556.1306286649051</v>
      </c>
      <c r="D14" s="164"/>
      <c r="E14" s="19"/>
      <c r="F14" s="15"/>
    </row>
    <row r="15" spans="1:6">
      <c r="A15" s="183" t="s">
        <v>279</v>
      </c>
      <c r="B15" s="181">
        <f>'Weekly Valuation'!D108/1000000000</f>
        <v>198.33479810343573</v>
      </c>
      <c r="C15" s="182">
        <f>'Weekly Valuation'!K108/1000000000</f>
        <v>200.66214858212146</v>
      </c>
      <c r="D15" s="164"/>
      <c r="E15" s="19"/>
      <c r="F15" s="15"/>
    </row>
    <row r="16" spans="1:6">
      <c r="A16" s="183" t="s">
        <v>157</v>
      </c>
      <c r="B16" s="181">
        <f>'Weekly Valuation'!D146/1000000000</f>
        <v>1844.9628947513052</v>
      </c>
      <c r="C16" s="184">
        <f>'Weekly Valuation'!K146/1000000000</f>
        <v>1905.4364957549351</v>
      </c>
      <c r="D16" s="164"/>
      <c r="E16" s="19"/>
      <c r="F16" s="15"/>
    </row>
    <row r="17" spans="1:6">
      <c r="A17" s="183" t="s">
        <v>280</v>
      </c>
      <c r="B17" s="181">
        <f>'Weekly Valuation'!D154/1000000000</f>
        <v>101.3627945135286</v>
      </c>
      <c r="C17" s="182">
        <f>'Weekly Valuation'!K154/1000000000</f>
        <v>101.41608429950922</v>
      </c>
      <c r="D17" s="164"/>
      <c r="E17" s="19"/>
      <c r="F17" s="15"/>
    </row>
    <row r="18" spans="1:6">
      <c r="A18" s="183" t="s">
        <v>194</v>
      </c>
      <c r="B18" s="181">
        <f>'Weekly Valuation'!D185/1000000000</f>
        <v>57.062758533043763</v>
      </c>
      <c r="C18" s="185">
        <f>'Weekly Valuation'!K185/1000000000</f>
        <v>57.167466185858181</v>
      </c>
      <c r="D18" s="164"/>
      <c r="E18" s="19"/>
      <c r="F18" s="15"/>
    </row>
    <row r="19" spans="1:6">
      <c r="A19" s="183" t="s">
        <v>225</v>
      </c>
      <c r="B19" s="181">
        <f>'Weekly Valuation'!D191/1000000000</f>
        <v>6.6771583001700003</v>
      </c>
      <c r="C19" s="182">
        <f>'Weekly Valuation'!K191/1000000000</f>
        <v>6.8089861126900004</v>
      </c>
      <c r="D19" s="164"/>
      <c r="E19" s="19"/>
      <c r="F19" s="15"/>
    </row>
    <row r="20" spans="1:6">
      <c r="A20" s="183" t="s">
        <v>281</v>
      </c>
      <c r="B20" s="181">
        <f>'Weekly Valuation'!D216/1000000000</f>
        <v>56.291328983646771</v>
      </c>
      <c r="C20" s="182">
        <f>'Weekly Valuation'!K216/1000000000</f>
        <v>56.258713652725334</v>
      </c>
      <c r="D20" s="164"/>
      <c r="E20" s="19"/>
      <c r="F20" s="15"/>
    </row>
    <row r="21" spans="1:6">
      <c r="A21" s="160"/>
      <c r="B21" s="164"/>
      <c r="C21" s="163"/>
      <c r="D21" s="164"/>
      <c r="E21" s="19"/>
      <c r="F21" s="15"/>
    </row>
    <row r="22" spans="1:6">
      <c r="A22" s="160"/>
      <c r="B22" s="164"/>
      <c r="C22" s="161"/>
      <c r="D22" s="164"/>
      <c r="E22" s="19"/>
      <c r="F22" s="15"/>
    </row>
    <row r="23" spans="1:6">
      <c r="A23" s="186"/>
      <c r="B23" s="166"/>
      <c r="C23" s="162"/>
      <c r="D23" s="19"/>
      <c r="E23" s="19"/>
      <c r="F23" s="15"/>
    </row>
    <row r="24" spans="1:6">
      <c r="A24" s="186"/>
      <c r="B24" s="166"/>
      <c r="C24" s="166"/>
      <c r="D24" s="19"/>
      <c r="E24" s="19"/>
      <c r="F24" s="15"/>
    </row>
    <row r="25" spans="1:6">
      <c r="A25" s="186"/>
      <c r="B25" s="166"/>
      <c r="C25" s="166"/>
      <c r="D25" s="19"/>
      <c r="E25" s="19"/>
      <c r="F25" s="15"/>
    </row>
    <row r="26" spans="1:6">
      <c r="A26" s="21"/>
      <c r="B26" s="22"/>
      <c r="C26" s="22"/>
      <c r="D26" s="15"/>
      <c r="E26" s="15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t/FCFGRRTft0WbOYdnCZHMHpbOOcch5Ajvpk/V9QibeaStsCA1WdN+//FATKEP1icUtTZl/pEwBHruCIC+7suQ==" saltValue="K483MlrfLY974dIzrXmOU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0" sqref="J10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58" t="s">
        <v>278</v>
      </c>
      <c r="B1" s="159">
        <v>45751</v>
      </c>
      <c r="C1" s="19"/>
      <c r="D1" s="19"/>
      <c r="E1" s="15"/>
      <c r="F1" s="15"/>
      <c r="G1" s="15"/>
      <c r="H1" s="156"/>
      <c r="I1" s="156"/>
      <c r="J1" s="156"/>
      <c r="K1" s="156"/>
      <c r="L1" s="156"/>
      <c r="M1" s="156"/>
      <c r="N1" s="156"/>
      <c r="O1" s="156"/>
      <c r="P1" s="156"/>
    </row>
    <row r="2" spans="1:16">
      <c r="A2" s="160" t="s">
        <v>225</v>
      </c>
      <c r="B2" s="161">
        <f>'Weekly Valuation'!K191</f>
        <v>6808986112.6900005</v>
      </c>
      <c r="C2" s="19"/>
      <c r="D2" s="19"/>
      <c r="E2" s="15"/>
      <c r="F2" s="15"/>
      <c r="G2" s="15"/>
      <c r="H2" s="156"/>
      <c r="I2" s="156"/>
      <c r="J2" s="156"/>
      <c r="K2" s="156"/>
      <c r="L2" s="156"/>
      <c r="M2" s="156"/>
      <c r="N2" s="156"/>
      <c r="O2" s="156"/>
      <c r="P2" s="156"/>
    </row>
    <row r="3" spans="1:16">
      <c r="A3" s="160" t="s">
        <v>17</v>
      </c>
      <c r="B3" s="161">
        <f>'Weekly Valuation'!K25</f>
        <v>37097805539.873703</v>
      </c>
      <c r="C3" s="19"/>
      <c r="D3" s="19"/>
      <c r="E3" s="15"/>
      <c r="F3" s="15"/>
      <c r="G3" s="15"/>
      <c r="H3" s="156"/>
      <c r="I3" s="156"/>
      <c r="J3" s="156"/>
      <c r="K3" s="156"/>
      <c r="L3" s="156"/>
      <c r="M3" s="156"/>
      <c r="N3" s="156"/>
      <c r="O3" s="156"/>
      <c r="P3" s="156"/>
    </row>
    <row r="4" spans="1:16">
      <c r="A4" s="160" t="s">
        <v>281</v>
      </c>
      <c r="B4" s="162">
        <f>'Weekly Valuation'!K216</f>
        <v>56258713652.725334</v>
      </c>
      <c r="C4" s="19"/>
      <c r="D4" s="19"/>
      <c r="E4" s="15"/>
      <c r="F4" s="15"/>
      <c r="G4" s="15"/>
      <c r="H4" s="156"/>
      <c r="I4" s="156"/>
      <c r="J4" s="156"/>
      <c r="K4" s="156"/>
      <c r="L4" s="156"/>
      <c r="M4" s="156"/>
      <c r="N4" s="156"/>
      <c r="O4" s="156"/>
      <c r="P4" s="156"/>
    </row>
    <row r="5" spans="1:16">
      <c r="A5" s="160" t="s">
        <v>194</v>
      </c>
      <c r="B5" s="161">
        <f>'Weekly Valuation'!K185</f>
        <v>57167466185.858185</v>
      </c>
      <c r="C5" s="19"/>
      <c r="D5" s="19"/>
      <c r="E5" s="15"/>
      <c r="F5" s="15"/>
      <c r="G5" s="15"/>
      <c r="H5" s="156"/>
      <c r="I5" s="156"/>
      <c r="J5" s="156"/>
      <c r="K5" s="156"/>
      <c r="L5" s="156"/>
      <c r="M5" s="156"/>
      <c r="N5" s="156"/>
      <c r="O5" s="156"/>
      <c r="P5" s="156"/>
    </row>
    <row r="6" spans="1:16">
      <c r="A6" s="160" t="s">
        <v>280</v>
      </c>
      <c r="B6" s="161">
        <f>'Weekly Valuation'!K154</f>
        <v>101416084299.50922</v>
      </c>
      <c r="C6" s="19"/>
      <c r="D6" s="19"/>
      <c r="E6" s="15"/>
      <c r="F6" s="15"/>
      <c r="G6" s="15"/>
      <c r="H6" s="156"/>
      <c r="I6" s="156"/>
      <c r="J6" s="156"/>
      <c r="K6" s="156"/>
      <c r="L6" s="156"/>
      <c r="M6" s="156"/>
      <c r="N6" s="156"/>
      <c r="O6" s="156"/>
      <c r="P6" s="156"/>
    </row>
    <row r="7" spans="1:16">
      <c r="A7" s="160" t="s">
        <v>279</v>
      </c>
      <c r="B7" s="161">
        <f>'Weekly Valuation'!K108</f>
        <v>200662148582.12146</v>
      </c>
      <c r="C7" s="19"/>
      <c r="D7" s="19"/>
      <c r="E7" s="15"/>
      <c r="F7" s="15"/>
      <c r="G7" s="15"/>
      <c r="H7" s="156"/>
      <c r="I7" s="156"/>
      <c r="J7" s="156"/>
      <c r="K7" s="156"/>
      <c r="L7" s="156"/>
      <c r="M7" s="156"/>
      <c r="N7" s="156"/>
      <c r="O7" s="156"/>
      <c r="P7" s="156"/>
    </row>
    <row r="8" spans="1:16">
      <c r="A8" s="160" t="s">
        <v>157</v>
      </c>
      <c r="B8" s="163">
        <f>'Weekly Valuation'!K146</f>
        <v>1905436495754.9351</v>
      </c>
      <c r="C8" s="19"/>
      <c r="D8" s="19"/>
      <c r="E8" s="15"/>
      <c r="F8" s="15"/>
      <c r="G8" s="15"/>
      <c r="H8" s="156"/>
      <c r="I8" s="156"/>
      <c r="J8" s="156"/>
      <c r="K8" s="156"/>
      <c r="L8" s="156"/>
      <c r="M8" s="156"/>
      <c r="N8" s="156"/>
      <c r="O8" s="156"/>
      <c r="P8" s="156"/>
    </row>
    <row r="9" spans="1:16">
      <c r="A9" s="160" t="s">
        <v>54</v>
      </c>
      <c r="B9" s="163">
        <f>'Weekly Valuation'!K68</f>
        <v>2556130628664.9053</v>
      </c>
      <c r="C9" s="19"/>
      <c r="D9" s="19"/>
      <c r="E9" s="15"/>
      <c r="F9" s="15"/>
      <c r="G9" s="15"/>
      <c r="H9" s="156"/>
      <c r="I9" s="156"/>
      <c r="J9" s="156"/>
      <c r="K9" s="156"/>
      <c r="L9" s="156"/>
      <c r="M9" s="156"/>
      <c r="N9" s="156"/>
      <c r="O9" s="156"/>
      <c r="P9" s="156"/>
    </row>
    <row r="10" spans="1:16">
      <c r="A10" s="164"/>
      <c r="B10" s="164"/>
      <c r="C10" s="19"/>
      <c r="D10" s="19"/>
      <c r="E10" s="15"/>
      <c r="F10" s="15"/>
      <c r="G10" s="15"/>
      <c r="H10" s="156"/>
      <c r="I10" s="156"/>
      <c r="J10" s="156"/>
      <c r="K10" s="156"/>
      <c r="L10" s="156"/>
      <c r="M10" s="156"/>
      <c r="N10" s="156"/>
      <c r="O10" s="156"/>
      <c r="P10" s="156"/>
    </row>
    <row r="11" spans="1:16">
      <c r="A11" s="160"/>
      <c r="B11" s="165"/>
      <c r="C11" s="19"/>
      <c r="D11" s="19"/>
      <c r="E11" s="15"/>
      <c r="F11" s="15"/>
      <c r="G11" s="15"/>
      <c r="H11" s="156"/>
      <c r="I11" s="156"/>
      <c r="J11" s="156"/>
      <c r="K11" s="156"/>
      <c r="L11" s="156"/>
      <c r="M11" s="156"/>
      <c r="N11" s="156"/>
      <c r="O11" s="156"/>
      <c r="P11" s="156"/>
    </row>
    <row r="12" spans="1:16">
      <c r="A12" s="160"/>
      <c r="B12" s="19"/>
      <c r="C12" s="19"/>
      <c r="D12" s="19"/>
      <c r="E12" s="15"/>
      <c r="F12" s="15"/>
      <c r="G12" s="15"/>
      <c r="H12" s="156"/>
      <c r="I12" s="156"/>
      <c r="J12" s="156"/>
      <c r="K12" s="156"/>
      <c r="L12" s="156"/>
      <c r="M12" s="156"/>
      <c r="N12" s="156"/>
      <c r="O12" s="156"/>
      <c r="P12" s="156"/>
    </row>
    <row r="13" spans="1:16">
      <c r="A13" s="166"/>
      <c r="B13" s="166"/>
      <c r="C13" s="19"/>
      <c r="D13" s="19"/>
      <c r="E13" s="15"/>
      <c r="F13" s="15"/>
      <c r="G13" s="15"/>
      <c r="H13" s="156"/>
      <c r="I13" s="156"/>
      <c r="J13" s="156"/>
      <c r="K13" s="156"/>
      <c r="L13" s="156"/>
      <c r="M13" s="156"/>
      <c r="N13" s="156"/>
      <c r="O13" s="156"/>
      <c r="P13" s="156"/>
    </row>
    <row r="14" spans="1:16">
      <c r="A14" s="166"/>
      <c r="B14" s="166"/>
      <c r="C14" s="19"/>
      <c r="D14" s="19"/>
      <c r="E14" s="15"/>
      <c r="F14" s="15"/>
      <c r="G14" s="15"/>
      <c r="H14" s="156"/>
      <c r="I14" s="156"/>
      <c r="J14" s="156"/>
      <c r="K14" s="156"/>
      <c r="L14" s="156"/>
      <c r="M14" s="156"/>
      <c r="N14" s="156"/>
      <c r="O14" s="156"/>
      <c r="P14" s="156"/>
    </row>
    <row r="15" spans="1:16" ht="16.5" customHeight="1">
      <c r="A15" s="160"/>
      <c r="B15" s="162"/>
      <c r="C15" s="19"/>
      <c r="D15" s="19"/>
      <c r="E15" s="15"/>
      <c r="F15" s="15"/>
      <c r="G15" s="15"/>
      <c r="H15" s="156"/>
      <c r="I15" s="156"/>
      <c r="J15" s="156"/>
      <c r="K15" s="156"/>
      <c r="L15" s="156"/>
      <c r="M15" s="156"/>
      <c r="N15" s="156"/>
      <c r="O15" s="156"/>
      <c r="P15" s="156"/>
    </row>
    <row r="16" spans="1:16">
      <c r="A16" s="166"/>
      <c r="B16" s="166"/>
      <c r="C16" s="19"/>
      <c r="D16" s="19"/>
      <c r="E16" s="15"/>
      <c r="F16" s="15"/>
      <c r="G16" s="15"/>
      <c r="H16" s="156"/>
      <c r="I16" s="156"/>
      <c r="J16" s="156"/>
      <c r="K16" s="156"/>
      <c r="L16" s="156"/>
      <c r="M16" s="156"/>
      <c r="N16" s="156"/>
      <c r="O16" s="156"/>
      <c r="P16" s="156"/>
    </row>
    <row r="17" spans="1:17">
      <c r="A17" s="166"/>
      <c r="B17" s="166"/>
      <c r="C17" s="19"/>
      <c r="D17" s="19"/>
      <c r="E17" s="15"/>
      <c r="F17" s="15"/>
      <c r="G17" s="15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7">
      <c r="A18" s="167"/>
      <c r="B18" s="166"/>
      <c r="C18" s="19"/>
      <c r="D18" s="19"/>
      <c r="E18" s="15"/>
      <c r="F18" s="15"/>
      <c r="G18" s="15"/>
      <c r="H18" s="156"/>
      <c r="I18" s="156"/>
      <c r="J18" s="156"/>
      <c r="K18" s="156"/>
      <c r="L18" s="156"/>
      <c r="M18" s="156"/>
      <c r="N18" s="156"/>
      <c r="O18" s="156"/>
      <c r="P18" s="156"/>
    </row>
    <row r="19" spans="1:17">
      <c r="A19" s="125"/>
      <c r="B19" s="125"/>
      <c r="C19" s="15"/>
      <c r="D19" s="15"/>
      <c r="E19" s="15"/>
      <c r="F19" s="15"/>
      <c r="G19" s="15"/>
      <c r="H19" s="156"/>
      <c r="I19" s="156"/>
      <c r="J19" s="156"/>
      <c r="K19" s="156"/>
      <c r="L19" s="156"/>
      <c r="M19" s="156"/>
      <c r="N19" s="156"/>
      <c r="O19" s="156"/>
      <c r="P19" s="156"/>
    </row>
    <row r="20" spans="1:17">
      <c r="A20" s="125"/>
      <c r="B20" s="125"/>
      <c r="C20" s="15"/>
      <c r="D20" s="15"/>
      <c r="E20" s="15"/>
      <c r="F20" s="15"/>
      <c r="G20" s="15"/>
      <c r="H20" s="156"/>
      <c r="I20" s="156"/>
      <c r="J20" s="156"/>
      <c r="K20" s="156"/>
      <c r="L20" s="156"/>
      <c r="M20" s="156"/>
      <c r="N20" s="156"/>
      <c r="O20" s="156"/>
      <c r="P20" s="156"/>
    </row>
    <row r="21" spans="1:17">
      <c r="A21" s="21"/>
      <c r="B21" s="125"/>
      <c r="C21" s="15"/>
      <c r="D21" s="15"/>
      <c r="E21" s="15"/>
      <c r="F21" s="15"/>
      <c r="G21" s="15"/>
      <c r="H21" s="156"/>
      <c r="I21" s="156"/>
      <c r="J21" s="156"/>
      <c r="K21" s="156"/>
      <c r="L21" s="156"/>
      <c r="M21" s="156"/>
      <c r="N21" s="156"/>
      <c r="O21" s="156"/>
      <c r="P21" s="156"/>
    </row>
    <row r="22" spans="1:17">
      <c r="A22" s="15"/>
      <c r="B22" s="125"/>
      <c r="C22" s="15"/>
      <c r="D22" s="15"/>
      <c r="E22" s="15"/>
      <c r="F22" s="15"/>
      <c r="G22" s="15"/>
      <c r="H22" s="156"/>
      <c r="I22" s="156"/>
      <c r="J22" s="156"/>
      <c r="K22" s="156"/>
      <c r="L22" s="156"/>
      <c r="M22" s="156"/>
      <c r="N22" s="156"/>
      <c r="O22" s="156"/>
      <c r="P22" s="156"/>
    </row>
    <row r="23" spans="1:17">
      <c r="A23" s="15"/>
      <c r="B23" s="15"/>
      <c r="C23" s="15"/>
      <c r="D23" s="15"/>
      <c r="E23" s="15"/>
      <c r="F23" s="15"/>
      <c r="G23" s="15"/>
      <c r="H23" s="156"/>
      <c r="I23" s="156"/>
      <c r="J23" s="156"/>
      <c r="K23" s="156"/>
      <c r="L23" s="156"/>
      <c r="M23" s="156"/>
      <c r="N23" s="156"/>
      <c r="O23" s="156"/>
      <c r="P23" s="156"/>
    </row>
    <row r="24" spans="1:17">
      <c r="A24" s="15"/>
      <c r="B24" s="15"/>
      <c r="C24" s="15"/>
      <c r="D24" s="15"/>
      <c r="E24" s="15"/>
      <c r="F24" s="15"/>
      <c r="G24" s="15"/>
      <c r="H24" s="156"/>
      <c r="I24" s="156"/>
      <c r="J24" s="156"/>
      <c r="K24" s="156"/>
      <c r="L24" s="156"/>
      <c r="M24" s="156"/>
      <c r="N24" s="156"/>
      <c r="O24" s="156"/>
      <c r="P24" s="156"/>
    </row>
    <row r="25" spans="1:17">
      <c r="A25" s="15"/>
      <c r="B25" s="15"/>
      <c r="C25" s="15"/>
      <c r="D25" s="15"/>
      <c r="E25" s="15"/>
      <c r="F25" s="15"/>
      <c r="G25" s="15"/>
      <c r="H25" s="156"/>
      <c r="I25" s="156"/>
      <c r="J25" s="156"/>
      <c r="K25" s="156"/>
      <c r="L25" s="156"/>
      <c r="M25" s="156"/>
      <c r="N25" s="156"/>
      <c r="O25" s="156"/>
      <c r="P25" s="156"/>
    </row>
    <row r="26" spans="1:17">
      <c r="A26" s="15"/>
      <c r="B26" s="15"/>
      <c r="C26" s="15"/>
      <c r="D26" s="15"/>
      <c r="E26" s="15"/>
      <c r="F26" s="15"/>
      <c r="G26" s="15"/>
      <c r="H26" s="156"/>
      <c r="I26" s="156"/>
      <c r="J26" s="156"/>
      <c r="K26" s="156"/>
      <c r="L26" s="156"/>
      <c r="M26" s="156"/>
      <c r="N26" s="156"/>
      <c r="O26" s="156"/>
      <c r="P26" s="156"/>
    </row>
    <row r="27" spans="1:17">
      <c r="A27" s="15"/>
      <c r="B27" s="15"/>
      <c r="C27" s="15"/>
      <c r="D27" s="15"/>
      <c r="E27" s="15"/>
      <c r="F27" s="15"/>
      <c r="G27" s="15"/>
      <c r="H27" s="156"/>
      <c r="I27" s="156"/>
      <c r="J27" s="156"/>
      <c r="K27" s="156"/>
      <c r="L27" s="156"/>
      <c r="M27" s="156"/>
      <c r="N27" s="156"/>
      <c r="O27" s="156"/>
      <c r="P27" s="156"/>
    </row>
    <row r="28" spans="1:17">
      <c r="A28" s="15"/>
      <c r="B28" s="15"/>
      <c r="C28" s="15"/>
      <c r="D28" s="15"/>
      <c r="E28" s="15"/>
      <c r="F28" s="15"/>
      <c r="G28" s="15"/>
      <c r="H28" s="156"/>
      <c r="I28" s="156"/>
      <c r="J28" s="156"/>
      <c r="K28" s="156"/>
      <c r="L28" s="156"/>
      <c r="M28" s="156"/>
      <c r="N28" s="156"/>
      <c r="O28" s="156"/>
      <c r="P28" s="156"/>
    </row>
    <row r="29" spans="1:17">
      <c r="A29" s="15"/>
      <c r="B29" s="15"/>
      <c r="C29" s="15"/>
      <c r="D29" s="15"/>
      <c r="E29" s="15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</row>
    <row r="30" spans="1:17">
      <c r="A30" s="15"/>
      <c r="B30" s="15"/>
      <c r="C30" s="15"/>
      <c r="D30" s="15"/>
      <c r="E30" s="15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7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</row>
    <row r="32" spans="1:17" ht="16.5" customHeight="1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20"/>
    </row>
    <row r="33" spans="1:17" ht="15" customHeight="1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20"/>
    </row>
  </sheetData>
  <sheetProtection algorithmName="SHA-512" hashValue="IZ+ksJ/F9AzajenDJIT5tCwSOxZrtLxUnnX6iPFSVGwAaS7krzFNO9mTu+6Jo46LkA+kOW6+YlxlDAyjox06jA==" saltValue="ROzoX8rTkL5o/8uMyPO8f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1"/>
  <sheetViews>
    <sheetView zoomScale="110" zoomScaleNormal="110" workbookViewId="0">
      <selection activeCell="G7" sqref="G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8" t="s">
        <v>282</v>
      </c>
      <c r="B2" s="169">
        <v>45702</v>
      </c>
      <c r="C2" s="169">
        <v>45709</v>
      </c>
      <c r="D2" s="169">
        <v>45716</v>
      </c>
      <c r="E2" s="169">
        <v>45723</v>
      </c>
      <c r="F2" s="169">
        <v>45730</v>
      </c>
      <c r="G2" s="169">
        <v>45737</v>
      </c>
      <c r="H2" s="169">
        <v>45744</v>
      </c>
      <c r="I2" s="169">
        <v>45751</v>
      </c>
      <c r="J2" s="19"/>
      <c r="K2" s="15"/>
      <c r="L2" s="15"/>
      <c r="M2" s="15"/>
    </row>
    <row r="3" spans="1:13">
      <c r="A3" s="168" t="s">
        <v>283</v>
      </c>
      <c r="B3" s="170">
        <f t="shared" ref="B3:I3" si="0">B4</f>
        <v>4269.5517023318498</v>
      </c>
      <c r="C3" s="170">
        <f t="shared" si="0"/>
        <v>4304.4471471275037</v>
      </c>
      <c r="D3" s="170">
        <f t="shared" si="0"/>
        <v>4378.8424481915499</v>
      </c>
      <c r="E3" s="170">
        <f t="shared" si="0"/>
        <v>4472.6943933207594</v>
      </c>
      <c r="F3" s="170">
        <f t="shared" si="0"/>
        <v>4607.4792017079635</v>
      </c>
      <c r="G3" s="170">
        <f t="shared" si="0"/>
        <v>4719.0196974991832</v>
      </c>
      <c r="H3" s="170">
        <f t="shared" si="0"/>
        <v>4783.453626583896</v>
      </c>
      <c r="I3" s="170">
        <f t="shared" si="0"/>
        <v>4920.9783287926193</v>
      </c>
      <c r="J3" s="19"/>
      <c r="K3" s="15"/>
      <c r="L3" s="15"/>
      <c r="M3" s="15"/>
    </row>
    <row r="4" spans="1:13">
      <c r="A4" s="19"/>
      <c r="B4" s="171">
        <f>'NAV Trend'!C10/1000000000</f>
        <v>4269.5517023318498</v>
      </c>
      <c r="C4" s="171">
        <f>'NAV Trend'!D10/1000000000</f>
        <v>4304.4471471275037</v>
      </c>
      <c r="D4" s="171">
        <f>'NAV Trend'!E10/1000000000</f>
        <v>4378.8424481915499</v>
      </c>
      <c r="E4" s="171">
        <f>'NAV Trend'!F10/1000000000</f>
        <v>4472.6943933207594</v>
      </c>
      <c r="F4" s="171">
        <f>'NAV Trend'!G10/1000000000</f>
        <v>4607.4792017079635</v>
      </c>
      <c r="G4" s="171">
        <f>'NAV Trend'!H10/1000000000</f>
        <v>4719.0196974991832</v>
      </c>
      <c r="H4" s="172">
        <f>'NAV Trend'!I10/1000000000</f>
        <v>4783.453626583896</v>
      </c>
      <c r="I4" s="172">
        <f>'NAV Trend'!J10/1000000000</f>
        <v>4920.9783287926193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sheetProtection algorithmName="SHA-512" hashValue="vlUS203ptETtTeMmzWQ4797+nwmEDIeg3qbxYGOPutd77k1wzaFR1QOWNPI0ul7JscK+bIuu6s7QqxrbaetDIQ==" saltValue="MfgZGu3ARZXZSy/ZDLrKM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1"/>
  <sheetViews>
    <sheetView workbookViewId="0">
      <selection activeCell="E7" sqref="E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68" t="s">
        <v>282</v>
      </c>
      <c r="B2" s="169">
        <v>45702</v>
      </c>
      <c r="C2" s="169">
        <v>45709</v>
      </c>
      <c r="D2" s="169">
        <v>45716</v>
      </c>
      <c r="E2" s="169">
        <v>45723</v>
      </c>
      <c r="F2" s="169">
        <v>45730</v>
      </c>
      <c r="G2" s="169">
        <v>45737</v>
      </c>
      <c r="H2" s="169">
        <v>45744</v>
      </c>
      <c r="I2" s="169">
        <v>45751</v>
      </c>
      <c r="J2" s="19"/>
      <c r="K2" s="19"/>
      <c r="L2" s="19"/>
    </row>
    <row r="3" spans="1:12">
      <c r="A3" s="168" t="s">
        <v>284</v>
      </c>
      <c r="B3" s="170">
        <f t="shared" ref="B3:I3" si="0">B4</f>
        <v>13.762029268867213</v>
      </c>
      <c r="C3" s="170">
        <f t="shared" si="0"/>
        <v>13.757028670379999</v>
      </c>
      <c r="D3" s="170">
        <f t="shared" si="0"/>
        <v>13.569005930702859</v>
      </c>
      <c r="E3" s="170">
        <f t="shared" si="0"/>
        <v>13.40889556580691</v>
      </c>
      <c r="F3" s="170">
        <f t="shared" si="0"/>
        <v>13.225205337489792</v>
      </c>
      <c r="G3" s="170">
        <f t="shared" si="0"/>
        <v>13.115951569109791</v>
      </c>
      <c r="H3" s="170">
        <f t="shared" si="0"/>
        <v>13.246875880158331</v>
      </c>
      <c r="I3" s="170">
        <f t="shared" si="0"/>
        <v>13.252536997856778</v>
      </c>
      <c r="J3" s="19"/>
      <c r="K3" s="19"/>
      <c r="L3" s="19"/>
    </row>
    <row r="4" spans="1:12">
      <c r="A4" s="19"/>
      <c r="B4" s="171">
        <f>'NAV Trend'!C16/1000000000</f>
        <v>13.762029268867213</v>
      </c>
      <c r="C4" s="171">
        <f>'NAV Trend'!D16/1000000000</f>
        <v>13.757028670379999</v>
      </c>
      <c r="D4" s="171">
        <f>'NAV Trend'!E16/1000000000</f>
        <v>13.569005930702859</v>
      </c>
      <c r="E4" s="171">
        <f>'NAV Trend'!F16/1000000000</f>
        <v>13.40889556580691</v>
      </c>
      <c r="F4" s="171">
        <f>'NAV Trend'!G16/1000000000</f>
        <v>13.225205337489792</v>
      </c>
      <c r="G4" s="171">
        <f>'NAV Trend'!H16/1000000000</f>
        <v>13.115951569109791</v>
      </c>
      <c r="H4" s="171">
        <f>'NAV Trend'!I16/1000000000</f>
        <v>13.246875880158331</v>
      </c>
      <c r="I4" s="172">
        <f>'NAV Trend'!J16/1000000000</f>
        <v>13.252536997856778</v>
      </c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sheetProtection algorithmName="SHA-512" hashValue="L2oLrVieZ023rY5n/e/8K5JbFnOPyTJ0e53sFel+h+cg0IY5G+2W59vGvq8FKBuNbOiAiWO/j+igNOehWCFw2w==" saltValue="Koo1FpHO5HQRykhU58IGo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278</v>
      </c>
      <c r="B1" s="2">
        <v>45695</v>
      </c>
      <c r="C1" s="2">
        <v>45702</v>
      </c>
      <c r="D1" s="2">
        <v>45709</v>
      </c>
      <c r="E1" s="2">
        <v>45716</v>
      </c>
      <c r="F1" s="2">
        <v>45723</v>
      </c>
      <c r="G1" s="2">
        <v>45730</v>
      </c>
      <c r="H1" s="2">
        <v>45737</v>
      </c>
      <c r="I1" s="2">
        <v>45744</v>
      </c>
      <c r="J1" s="2">
        <v>45751</v>
      </c>
    </row>
    <row r="2" spans="1:11">
      <c r="A2" s="3" t="s">
        <v>17</v>
      </c>
      <c r="B2" s="4">
        <v>37602437204.949997</v>
      </c>
      <c r="C2" s="4">
        <v>38501630325.360001</v>
      </c>
      <c r="D2" s="4">
        <v>38542552735.119995</v>
      </c>
      <c r="E2" s="4">
        <v>38249076563.470001</v>
      </c>
      <c r="F2" s="4">
        <v>37421289714.760002</v>
      </c>
      <c r="G2" s="4">
        <v>37398821266.276306</v>
      </c>
      <c r="H2" s="4">
        <v>36993931889.602303</v>
      </c>
      <c r="I2" s="4">
        <v>37656201173.972603</v>
      </c>
      <c r="J2" s="4">
        <v>37097805539.873703</v>
      </c>
    </row>
    <row r="3" spans="1:11">
      <c r="A3" s="3" t="s">
        <v>54</v>
      </c>
      <c r="B3" s="4">
        <v>1986545662853.3892</v>
      </c>
      <c r="C3" s="4">
        <v>2038200432744.7246</v>
      </c>
      <c r="D3" s="4">
        <v>2072298319201.4285</v>
      </c>
      <c r="E3" s="4">
        <v>2134730862264.1289</v>
      </c>
      <c r="F3" s="4">
        <v>2212690003394.8403</v>
      </c>
      <c r="G3" s="4">
        <v>2332451611056.791</v>
      </c>
      <c r="H3" s="4">
        <v>2419975361780.4546</v>
      </c>
      <c r="I3" s="4">
        <v>2481105692224.7939</v>
      </c>
      <c r="J3" s="4">
        <v>2556130628664.9053</v>
      </c>
    </row>
    <row r="4" spans="1:11">
      <c r="A4" s="3" t="s">
        <v>279</v>
      </c>
      <c r="B4" s="5">
        <v>192823646052.3956</v>
      </c>
      <c r="C4" s="5">
        <v>193170423716.56946</v>
      </c>
      <c r="D4" s="5">
        <v>192875996875.99237</v>
      </c>
      <c r="E4" s="5">
        <v>192425332553.69519</v>
      </c>
      <c r="F4" s="5">
        <v>192651675169.49469</v>
      </c>
      <c r="G4" s="5">
        <v>195446236973.35144</v>
      </c>
      <c r="H4" s="5">
        <v>198728860225.19843</v>
      </c>
      <c r="I4" s="5">
        <v>198334798103.43573</v>
      </c>
      <c r="J4" s="5">
        <v>200662148582.12146</v>
      </c>
    </row>
    <row r="5" spans="1:11">
      <c r="A5" s="3" t="s">
        <v>157</v>
      </c>
      <c r="B5" s="4">
        <v>1755642575885.7151</v>
      </c>
      <c r="C5" s="4">
        <v>1779191321733.2319</v>
      </c>
      <c r="D5" s="4">
        <v>1780596293589.6721</v>
      </c>
      <c r="E5" s="4">
        <v>1793326811823.8843</v>
      </c>
      <c r="F5" s="4">
        <v>1809741056607.6074</v>
      </c>
      <c r="G5" s="4">
        <v>1822153380010.8662</v>
      </c>
      <c r="H5" s="4">
        <v>1842785877653.4534</v>
      </c>
      <c r="I5" s="4">
        <v>1844962894751.3052</v>
      </c>
      <c r="J5" s="4">
        <v>1905436495754.9351</v>
      </c>
    </row>
    <row r="6" spans="1:11">
      <c r="A6" s="3" t="s">
        <v>280</v>
      </c>
      <c r="B6" s="6">
        <v>100952306055.92899</v>
      </c>
      <c r="C6" s="6">
        <v>101014000313.43393</v>
      </c>
      <c r="D6" s="6">
        <v>101070214650.21515</v>
      </c>
      <c r="E6" s="6">
        <v>101128099964.18001</v>
      </c>
      <c r="F6" s="6">
        <v>101180384926.77501</v>
      </c>
      <c r="G6" s="6">
        <v>101227556666.0634</v>
      </c>
      <c r="H6" s="6">
        <v>101283752942.61555</v>
      </c>
      <c r="I6" s="6">
        <v>101362794513.52859</v>
      </c>
      <c r="J6" s="6">
        <v>101416084299.50922</v>
      </c>
    </row>
    <row r="7" spans="1:11">
      <c r="A7" s="3" t="s">
        <v>194</v>
      </c>
      <c r="B7" s="7">
        <v>57357776059.173073</v>
      </c>
      <c r="C7" s="7">
        <v>58252652887.652779</v>
      </c>
      <c r="D7" s="7">
        <v>58059986733.763725</v>
      </c>
      <c r="E7" s="7">
        <v>57798914251.53302</v>
      </c>
      <c r="F7" s="7">
        <v>57327361079.561821</v>
      </c>
      <c r="G7" s="7">
        <v>57195873585.465897</v>
      </c>
      <c r="H7" s="7">
        <v>56948936665.773132</v>
      </c>
      <c r="I7" s="7">
        <v>57062758533.043762</v>
      </c>
      <c r="J7" s="7">
        <v>57167466185.858185</v>
      </c>
    </row>
    <row r="8" spans="1:11">
      <c r="A8" s="3" t="s">
        <v>225</v>
      </c>
      <c r="B8" s="6">
        <v>6582585973.7099991</v>
      </c>
      <c r="C8" s="6">
        <v>6738837889.1400003</v>
      </c>
      <c r="D8" s="6">
        <v>6681271892.7000008</v>
      </c>
      <c r="E8" s="6">
        <v>6710470953.1500006</v>
      </c>
      <c r="F8" s="6">
        <v>6663538612.0999994</v>
      </c>
      <c r="G8" s="6">
        <v>6647856625.3699999</v>
      </c>
      <c r="H8" s="6">
        <v>6567080938.7299995</v>
      </c>
      <c r="I8" s="6">
        <v>6677158300.1700001</v>
      </c>
      <c r="J8" s="6">
        <v>6808986112.6900005</v>
      </c>
    </row>
    <row r="9" spans="1:11">
      <c r="A9" s="3" t="s">
        <v>281</v>
      </c>
      <c r="B9" s="6">
        <v>53889279380.166801</v>
      </c>
      <c r="C9" s="6">
        <v>54482402721.736488</v>
      </c>
      <c r="D9" s="6">
        <v>54322511448.611656</v>
      </c>
      <c r="E9" s="6">
        <v>54472879817.508156</v>
      </c>
      <c r="F9" s="6">
        <v>55019083815.621017</v>
      </c>
      <c r="G9" s="6">
        <v>54957865523.779152</v>
      </c>
      <c r="H9" s="6">
        <v>55735895403.355507</v>
      </c>
      <c r="I9" s="6">
        <v>56291328983.646774</v>
      </c>
      <c r="J9" s="6">
        <v>56258713652.725334</v>
      </c>
    </row>
    <row r="10" spans="1:11" ht="15.6">
      <c r="A10" s="8" t="s">
        <v>285</v>
      </c>
      <c r="B10" s="9">
        <f t="shared" ref="B10:J10" si="0">SUM(B2:B9)</f>
        <v>4191396269465.4292</v>
      </c>
      <c r="C10" s="9">
        <f t="shared" si="0"/>
        <v>4269551702331.8496</v>
      </c>
      <c r="D10" s="9">
        <f t="shared" si="0"/>
        <v>4304447147127.5039</v>
      </c>
      <c r="E10" s="9">
        <f t="shared" si="0"/>
        <v>4378842448191.5498</v>
      </c>
      <c r="F10" s="9">
        <f t="shared" si="0"/>
        <v>4472694393320.7598</v>
      </c>
      <c r="G10" s="9">
        <f t="shared" si="0"/>
        <v>4607479201707.9639</v>
      </c>
      <c r="H10" s="9">
        <f t="shared" si="0"/>
        <v>4719019697499.1836</v>
      </c>
      <c r="I10" s="9">
        <f t="shared" si="0"/>
        <v>4783453626583.8965</v>
      </c>
      <c r="J10" s="9">
        <f t="shared" si="0"/>
        <v>4920978328792.6191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286</v>
      </c>
      <c r="B12" s="124" t="s">
        <v>287</v>
      </c>
      <c r="C12" s="13">
        <f>(B10+C10)/2</f>
        <v>4230473985898.6396</v>
      </c>
      <c r="D12" s="14">
        <f t="shared" ref="D12:J12" si="1">(C10+D10)/2</f>
        <v>4286999424729.6768</v>
      </c>
      <c r="E12" s="14">
        <f t="shared" si="1"/>
        <v>4341644797659.5269</v>
      </c>
      <c r="F12" s="14">
        <f t="shared" si="1"/>
        <v>4425768420756.1543</v>
      </c>
      <c r="G12" s="14">
        <f t="shared" si="1"/>
        <v>4540086797514.3613</v>
      </c>
      <c r="H12" s="14">
        <f t="shared" si="1"/>
        <v>4663249449603.5742</v>
      </c>
      <c r="I12" s="14">
        <f t="shared" si="1"/>
        <v>4751236662041.54</v>
      </c>
      <c r="J12" s="14">
        <f t="shared" si="1"/>
        <v>4852215977688.2578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45695</v>
      </c>
      <c r="C15" s="2">
        <v>45702</v>
      </c>
      <c r="D15" s="2">
        <v>45709</v>
      </c>
      <c r="E15" s="2">
        <v>45716</v>
      </c>
      <c r="F15" s="2">
        <v>45723</v>
      </c>
      <c r="G15" s="2">
        <v>45730</v>
      </c>
      <c r="H15" s="2">
        <v>45737</v>
      </c>
      <c r="I15" s="2">
        <v>45744</v>
      </c>
      <c r="J15" s="2">
        <v>45751</v>
      </c>
      <c r="K15" s="15"/>
    </row>
    <row r="16" spans="1:11">
      <c r="A16" s="16" t="s">
        <v>288</v>
      </c>
      <c r="B16" s="17">
        <v>13518762702.094183</v>
      </c>
      <c r="C16" s="17">
        <v>13762029268.867212</v>
      </c>
      <c r="D16" s="17">
        <v>13757028670.379999</v>
      </c>
      <c r="E16" s="17">
        <v>13569005930.70286</v>
      </c>
      <c r="F16" s="17">
        <v>13408895565.80691</v>
      </c>
      <c r="G16" s="17">
        <v>13225205337.489792</v>
      </c>
      <c r="H16" s="17">
        <v>13115951569.109791</v>
      </c>
      <c r="I16" s="17">
        <v>13246875880.158331</v>
      </c>
      <c r="J16" s="17">
        <v>13252536997.856777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2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Etbbjst0SEGwC1wbDvfe9LMPzn43urxkasqTuS91kTYn4XV/N6q3On2ivNgwgK0dlt9E9vUdC4J31z9Qnlvi+g==" saltValue="p8KqeGWMIyKEasWVGXcwa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2025-04-09T14:56:42Z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