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R142" i="1" l="1"/>
  <c r="S142" i="1"/>
  <c r="N123" i="1" l="1"/>
  <c r="N122" i="1"/>
  <c r="M123" i="1"/>
  <c r="M122" i="1"/>
  <c r="K123" i="1"/>
  <c r="K122" i="1"/>
  <c r="N125" i="1" l="1"/>
  <c r="M125" i="1"/>
  <c r="K125" i="1"/>
  <c r="N147" i="1"/>
  <c r="M147" i="1"/>
  <c r="K147" i="1"/>
  <c r="N133" i="1"/>
  <c r="M133" i="1"/>
  <c r="K133" i="1"/>
  <c r="N118" i="1"/>
  <c r="M118" i="1"/>
  <c r="K118" i="1"/>
  <c r="N141" i="1"/>
  <c r="M141" i="1"/>
  <c r="K141" i="1"/>
  <c r="N114" i="1"/>
  <c r="M114" i="1"/>
  <c r="K114" i="1"/>
  <c r="N126" i="1"/>
  <c r="M126" i="1"/>
  <c r="K126" i="1"/>
  <c r="N116" i="1"/>
  <c r="M116" i="1"/>
  <c r="K116" i="1"/>
  <c r="N115" i="1"/>
  <c r="K115" i="1"/>
  <c r="M115" i="1"/>
  <c r="N144" i="1" l="1"/>
  <c r="M144" i="1"/>
  <c r="K144" i="1"/>
  <c r="N139" i="1"/>
  <c r="M139" i="1"/>
  <c r="K139" i="1"/>
  <c r="N137" i="1" l="1"/>
  <c r="M137" i="1"/>
  <c r="N119" i="1"/>
  <c r="M119" i="1"/>
  <c r="K119" i="1"/>
  <c r="N138" i="1"/>
  <c r="M138" i="1"/>
  <c r="K138" i="1"/>
  <c r="N127" i="1" l="1"/>
  <c r="M127" i="1"/>
  <c r="K127" i="1"/>
  <c r="V142" i="1"/>
  <c r="U142" i="1"/>
  <c r="T142" i="1"/>
  <c r="E142" i="1"/>
  <c r="N142" i="1"/>
  <c r="M142" i="1"/>
  <c r="K142" i="1"/>
  <c r="R58" i="1"/>
  <c r="V58" i="1"/>
  <c r="U58" i="1"/>
  <c r="S58" i="1"/>
  <c r="T58" i="1"/>
  <c r="N128" i="1"/>
  <c r="M128" i="1"/>
  <c r="K128" i="1"/>
  <c r="N120" i="1" l="1"/>
  <c r="M120" i="1"/>
  <c r="K120" i="1"/>
  <c r="N117" i="1" l="1"/>
  <c r="M117" i="1"/>
  <c r="K117" i="1"/>
  <c r="N113" i="1"/>
  <c r="M113" i="1"/>
  <c r="K113" i="1"/>
  <c r="N135" i="1" l="1"/>
  <c r="M135" i="1"/>
  <c r="K135" i="1"/>
  <c r="N145" i="1"/>
  <c r="M145" i="1"/>
  <c r="K145" i="1"/>
  <c r="N129" i="1"/>
  <c r="M129" i="1"/>
  <c r="K129" i="1"/>
  <c r="N132" i="1" l="1"/>
  <c r="M132" i="1"/>
  <c r="K132" i="1"/>
  <c r="N140" i="1" l="1"/>
  <c r="M140" i="1"/>
  <c r="K124" i="1"/>
  <c r="F139" i="1"/>
  <c r="G147" i="1"/>
  <c r="F147" i="1"/>
  <c r="G145" i="1"/>
  <c r="F145" i="1"/>
  <c r="G144" i="1"/>
  <c r="F144" i="1"/>
  <c r="G141" i="1"/>
  <c r="F141" i="1"/>
  <c r="G140" i="1"/>
  <c r="F140" i="1"/>
  <c r="G139" i="1"/>
  <c r="G138" i="1"/>
  <c r="F138" i="1"/>
  <c r="G137" i="1"/>
  <c r="F137" i="1"/>
  <c r="G135" i="1"/>
  <c r="F135" i="1"/>
  <c r="G133" i="1"/>
  <c r="F133" i="1"/>
  <c r="G132" i="1"/>
  <c r="F132" i="1"/>
  <c r="D147" i="1"/>
  <c r="D145" i="1"/>
  <c r="D144" i="1"/>
  <c r="D141" i="1"/>
  <c r="D139" i="1"/>
  <c r="D138" i="1"/>
  <c r="D135" i="1"/>
  <c r="D133" i="1"/>
  <c r="D132" i="1"/>
  <c r="G129" i="1"/>
  <c r="F129" i="1"/>
  <c r="G128" i="1"/>
  <c r="F128" i="1"/>
  <c r="G127" i="1"/>
  <c r="F127" i="1"/>
  <c r="G126" i="1"/>
  <c r="F126" i="1"/>
  <c r="G125" i="1"/>
  <c r="F125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D129" i="1"/>
  <c r="D128" i="1"/>
  <c r="D127" i="1"/>
  <c r="D126" i="1"/>
  <c r="D125" i="1"/>
  <c r="D124" i="1"/>
  <c r="D120" i="1"/>
  <c r="D119" i="1"/>
  <c r="D118" i="1"/>
  <c r="D117" i="1"/>
  <c r="D116" i="1"/>
  <c r="D115" i="1"/>
  <c r="D114" i="1"/>
  <c r="D113" i="1"/>
  <c r="V228" i="1" l="1"/>
  <c r="R32" i="1" l="1"/>
  <c r="V32" i="1"/>
  <c r="U32" i="1"/>
  <c r="T32" i="1"/>
  <c r="S32" i="1"/>
  <c r="R124" i="1" l="1"/>
  <c r="S124" i="1"/>
  <c r="T136" i="1" l="1"/>
  <c r="V124" i="1" l="1"/>
  <c r="U124" i="1"/>
  <c r="T124" i="1"/>
  <c r="R46" i="1"/>
  <c r="S46" i="1"/>
  <c r="T46" i="1"/>
  <c r="U46" i="1"/>
  <c r="V46" i="1"/>
  <c r="O224" i="1" l="1"/>
  <c r="K224" i="1"/>
  <c r="L222" i="1" s="1"/>
  <c r="H224" i="1"/>
  <c r="D224" i="1"/>
  <c r="V222" i="1"/>
  <c r="U222" i="1"/>
  <c r="T222" i="1"/>
  <c r="S222" i="1"/>
  <c r="R222" i="1"/>
  <c r="R135" i="1" l="1"/>
  <c r="V135" i="1"/>
  <c r="U135" i="1"/>
  <c r="T135" i="1"/>
  <c r="S135" i="1"/>
  <c r="V82" i="1"/>
  <c r="U82" i="1"/>
  <c r="T82" i="1"/>
  <c r="S82" i="1"/>
  <c r="R82" i="1"/>
  <c r="R168" i="1" l="1"/>
  <c r="V23" i="1" l="1"/>
  <c r="U23" i="1"/>
  <c r="T23" i="1"/>
  <c r="S23" i="1"/>
  <c r="R23" i="1"/>
  <c r="O218" i="1"/>
  <c r="K218" i="1"/>
  <c r="H218" i="1"/>
  <c r="D218" i="1"/>
  <c r="V217" i="1"/>
  <c r="U217" i="1"/>
  <c r="T217" i="1"/>
  <c r="S217" i="1"/>
  <c r="R217" i="1"/>
  <c r="L217" i="1" l="1"/>
  <c r="L211" i="1"/>
  <c r="E217" i="1"/>
  <c r="E222" i="1"/>
  <c r="R31" i="1"/>
  <c r="K148" i="1" l="1"/>
  <c r="B8" i="3" l="1"/>
  <c r="L142" i="1"/>
  <c r="L134" i="1"/>
  <c r="L124" i="1"/>
  <c r="R116" i="1"/>
  <c r="S116" i="1"/>
  <c r="T116" i="1"/>
  <c r="U116" i="1"/>
  <c r="V116" i="1"/>
  <c r="R53" i="1" l="1"/>
  <c r="R210" i="1" l="1"/>
  <c r="V202" i="1" l="1"/>
  <c r="U202" i="1"/>
  <c r="T202" i="1"/>
  <c r="S202" i="1"/>
  <c r="R202" i="1"/>
  <c r="R144" i="1"/>
  <c r="S144" i="1"/>
  <c r="T144" i="1"/>
  <c r="U144" i="1"/>
  <c r="V144" i="1"/>
  <c r="R6" i="1" l="1"/>
  <c r="V186" i="1" l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R94" i="1" l="1"/>
  <c r="V34" i="1" l="1"/>
  <c r="U34" i="1"/>
  <c r="T34" i="1"/>
  <c r="S34" i="1"/>
  <c r="R34" i="1"/>
  <c r="V76" i="1" l="1"/>
  <c r="V50" i="1" l="1"/>
  <c r="U50" i="1"/>
  <c r="T50" i="1"/>
  <c r="S50" i="1"/>
  <c r="R50" i="1"/>
  <c r="J10" i="4" l="1"/>
  <c r="I4" i="5" s="1"/>
  <c r="I3" i="5" s="1"/>
  <c r="I10" i="4"/>
  <c r="H10" i="4"/>
  <c r="G4" i="5" s="1"/>
  <c r="G3" i="5" s="1"/>
  <c r="G10" i="4"/>
  <c r="F10" i="4"/>
  <c r="E4" i="5" s="1"/>
  <c r="E3" i="5" s="1"/>
  <c r="E10" i="4"/>
  <c r="D10" i="4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4" i="1"/>
  <c r="U244" i="1"/>
  <c r="S244" i="1"/>
  <c r="O244" i="1"/>
  <c r="K244" i="1"/>
  <c r="H244" i="1"/>
  <c r="D244" i="1"/>
  <c r="E242" i="1" s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O229" i="1"/>
  <c r="K229" i="1"/>
  <c r="L228" i="1" s="1"/>
  <c r="H229" i="1"/>
  <c r="D229" i="1"/>
  <c r="E228" i="1" s="1"/>
  <c r="U228" i="1"/>
  <c r="T228" i="1"/>
  <c r="S228" i="1"/>
  <c r="R228" i="1"/>
  <c r="V227" i="1"/>
  <c r="U227" i="1"/>
  <c r="T227" i="1"/>
  <c r="S227" i="1"/>
  <c r="R227" i="1"/>
  <c r="L223" i="1"/>
  <c r="V223" i="1"/>
  <c r="U223" i="1"/>
  <c r="T223" i="1"/>
  <c r="S223" i="1"/>
  <c r="R223" i="1"/>
  <c r="V218" i="1"/>
  <c r="U218" i="1"/>
  <c r="S218" i="1"/>
  <c r="V216" i="1"/>
  <c r="U216" i="1"/>
  <c r="T216" i="1"/>
  <c r="S216" i="1"/>
  <c r="R216" i="1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1" i="1"/>
  <c r="U201" i="1"/>
  <c r="T201" i="1"/>
  <c r="S201" i="1"/>
  <c r="R201" i="1"/>
  <c r="V198" i="1"/>
  <c r="U198" i="1"/>
  <c r="T198" i="1"/>
  <c r="S198" i="1"/>
  <c r="R198" i="1"/>
  <c r="V197" i="1"/>
  <c r="U197" i="1"/>
  <c r="T197" i="1"/>
  <c r="S197" i="1"/>
  <c r="R197" i="1"/>
  <c r="V193" i="1"/>
  <c r="U193" i="1"/>
  <c r="S193" i="1"/>
  <c r="O193" i="1"/>
  <c r="K193" i="1"/>
  <c r="H193" i="1"/>
  <c r="D193" i="1"/>
  <c r="V192" i="1"/>
  <c r="U192" i="1"/>
  <c r="T192" i="1"/>
  <c r="S192" i="1"/>
  <c r="R192" i="1"/>
  <c r="V191" i="1"/>
  <c r="U191" i="1"/>
  <c r="T191" i="1"/>
  <c r="S191" i="1"/>
  <c r="R191" i="1"/>
  <c r="V190" i="1"/>
  <c r="U190" i="1"/>
  <c r="T190" i="1"/>
  <c r="S190" i="1"/>
  <c r="R190" i="1"/>
  <c r="V187" i="1"/>
  <c r="U187" i="1"/>
  <c r="S187" i="1"/>
  <c r="O187" i="1"/>
  <c r="K187" i="1"/>
  <c r="L165" i="1" s="1"/>
  <c r="H187" i="1"/>
  <c r="D187" i="1"/>
  <c r="V156" i="1"/>
  <c r="U156" i="1"/>
  <c r="S156" i="1"/>
  <c r="O156" i="1"/>
  <c r="K156" i="1"/>
  <c r="B6" i="3" s="1"/>
  <c r="H156" i="1"/>
  <c r="D156" i="1"/>
  <c r="E154" i="1" s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48" i="1"/>
  <c r="U148" i="1"/>
  <c r="S148" i="1"/>
  <c r="O148" i="1"/>
  <c r="H148" i="1"/>
  <c r="V147" i="1"/>
  <c r="U147" i="1"/>
  <c r="T147" i="1"/>
  <c r="R147" i="1"/>
  <c r="V146" i="1"/>
  <c r="U146" i="1"/>
  <c r="T146" i="1"/>
  <c r="S146" i="1"/>
  <c r="R146" i="1"/>
  <c r="V145" i="1"/>
  <c r="U145" i="1"/>
  <c r="T145" i="1"/>
  <c r="S145" i="1"/>
  <c r="V143" i="1"/>
  <c r="U143" i="1"/>
  <c r="T143" i="1"/>
  <c r="S143" i="1"/>
  <c r="R143" i="1"/>
  <c r="V141" i="1"/>
  <c r="U141" i="1"/>
  <c r="T141" i="1"/>
  <c r="S141" i="1"/>
  <c r="V140" i="1"/>
  <c r="U140" i="1"/>
  <c r="T140" i="1"/>
  <c r="R140" i="1"/>
  <c r="S140" i="1"/>
  <c r="V139" i="1"/>
  <c r="U139" i="1"/>
  <c r="T139" i="1"/>
  <c r="S139" i="1"/>
  <c r="V138" i="1"/>
  <c r="U138" i="1"/>
  <c r="T138" i="1"/>
  <c r="S138" i="1"/>
  <c r="R138" i="1"/>
  <c r="V137" i="1"/>
  <c r="U137" i="1"/>
  <c r="T137" i="1"/>
  <c r="R137" i="1"/>
  <c r="V136" i="1"/>
  <c r="U136" i="1"/>
  <c r="S136" i="1"/>
  <c r="R136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S132" i="1"/>
  <c r="R132" i="1"/>
  <c r="V129" i="1"/>
  <c r="U129" i="1"/>
  <c r="T129" i="1"/>
  <c r="S129" i="1"/>
  <c r="V128" i="1"/>
  <c r="U128" i="1"/>
  <c r="T128" i="1"/>
  <c r="S128" i="1"/>
  <c r="R128" i="1"/>
  <c r="V127" i="1"/>
  <c r="U127" i="1"/>
  <c r="T127" i="1"/>
  <c r="S127" i="1"/>
  <c r="R127" i="1"/>
  <c r="V126" i="1"/>
  <c r="U126" i="1"/>
  <c r="T126" i="1"/>
  <c r="S126" i="1"/>
  <c r="V125" i="1"/>
  <c r="U125" i="1"/>
  <c r="T125" i="1"/>
  <c r="S125" i="1"/>
  <c r="R125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V118" i="1"/>
  <c r="U118" i="1"/>
  <c r="T118" i="1"/>
  <c r="S118" i="1"/>
  <c r="V117" i="1"/>
  <c r="U117" i="1"/>
  <c r="T117" i="1"/>
  <c r="S117" i="1"/>
  <c r="R117" i="1"/>
  <c r="V115" i="1"/>
  <c r="U115" i="1"/>
  <c r="T115" i="1"/>
  <c r="S115" i="1"/>
  <c r="V114" i="1"/>
  <c r="U114" i="1"/>
  <c r="T114" i="1"/>
  <c r="S114" i="1"/>
  <c r="V113" i="1"/>
  <c r="U113" i="1"/>
  <c r="T113" i="1"/>
  <c r="R113" i="1"/>
  <c r="S113" i="1"/>
  <c r="V109" i="1"/>
  <c r="U109" i="1"/>
  <c r="S109" i="1"/>
  <c r="O109" i="1"/>
  <c r="K109" i="1"/>
  <c r="H109" i="1"/>
  <c r="D109" i="1"/>
  <c r="E135" i="1" s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58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78" i="1" l="1"/>
  <c r="L108" i="1"/>
  <c r="H12" i="4"/>
  <c r="B9" i="3"/>
  <c r="E58" i="1"/>
  <c r="L104" i="1"/>
  <c r="L45" i="1"/>
  <c r="L36" i="1"/>
  <c r="L32" i="1"/>
  <c r="L92" i="1"/>
  <c r="E12" i="4"/>
  <c r="E46" i="1"/>
  <c r="E32" i="1"/>
  <c r="L103" i="1"/>
  <c r="L35" i="1"/>
  <c r="L46" i="1"/>
  <c r="C12" i="4"/>
  <c r="L97" i="1"/>
  <c r="L80" i="1"/>
  <c r="L23" i="1"/>
  <c r="L15" i="1"/>
  <c r="L82" i="1"/>
  <c r="L135" i="1"/>
  <c r="F12" i="4"/>
  <c r="B15" i="2"/>
  <c r="B5" i="2" s="1"/>
  <c r="E82" i="1"/>
  <c r="L44" i="1"/>
  <c r="L87" i="1"/>
  <c r="L89" i="1"/>
  <c r="L61" i="1"/>
  <c r="B20" i="2"/>
  <c r="B10" i="2" s="1"/>
  <c r="E202" i="1"/>
  <c r="L206" i="1"/>
  <c r="L202" i="1"/>
  <c r="E186" i="1"/>
  <c r="E174" i="1"/>
  <c r="E162" i="1"/>
  <c r="E184" i="1"/>
  <c r="E172" i="1"/>
  <c r="E160" i="1"/>
  <c r="E179" i="1"/>
  <c r="E167" i="1"/>
  <c r="E177" i="1"/>
  <c r="E182" i="1"/>
  <c r="E170" i="1"/>
  <c r="E161" i="1"/>
  <c r="E169" i="1"/>
  <c r="E175" i="1"/>
  <c r="E163" i="1"/>
  <c r="E181" i="1"/>
  <c r="E180" i="1"/>
  <c r="E168" i="1"/>
  <c r="E165" i="1"/>
  <c r="E185" i="1"/>
  <c r="E173" i="1"/>
  <c r="E178" i="1"/>
  <c r="E166" i="1"/>
  <c r="E176" i="1"/>
  <c r="E164" i="1"/>
  <c r="E183" i="1"/>
  <c r="E171" i="1"/>
  <c r="E159" i="1"/>
  <c r="L179" i="1"/>
  <c r="L167" i="1"/>
  <c r="L177" i="1"/>
  <c r="L184" i="1"/>
  <c r="L172" i="1"/>
  <c r="L160" i="1"/>
  <c r="L182" i="1"/>
  <c r="L175" i="1"/>
  <c r="L163" i="1"/>
  <c r="L169" i="1"/>
  <c r="L170" i="1"/>
  <c r="L180" i="1"/>
  <c r="L168" i="1"/>
  <c r="L166" i="1"/>
  <c r="L185" i="1"/>
  <c r="L173" i="1"/>
  <c r="L161" i="1"/>
  <c r="L181" i="1"/>
  <c r="L174" i="1"/>
  <c r="L178" i="1"/>
  <c r="L162" i="1"/>
  <c r="L183" i="1"/>
  <c r="L171" i="1"/>
  <c r="L159" i="1"/>
  <c r="L176" i="1"/>
  <c r="L164" i="1"/>
  <c r="B2" i="3"/>
  <c r="L191" i="1"/>
  <c r="L34" i="1"/>
  <c r="L12" i="1"/>
  <c r="L105" i="1"/>
  <c r="L73" i="1"/>
  <c r="E14" i="1"/>
  <c r="E34" i="1"/>
  <c r="E50" i="1"/>
  <c r="L50" i="1"/>
  <c r="R224" i="1"/>
  <c r="B5" i="3"/>
  <c r="L21" i="1"/>
  <c r="L7" i="1"/>
  <c r="D4" i="5"/>
  <c r="D3" i="5" s="1"/>
  <c r="B4" i="3"/>
  <c r="L204" i="1"/>
  <c r="R244" i="1"/>
  <c r="E240" i="1"/>
  <c r="E238" i="1"/>
  <c r="E236" i="1"/>
  <c r="E8" i="1"/>
  <c r="L213" i="1"/>
  <c r="E198" i="1"/>
  <c r="T244" i="1"/>
  <c r="J12" i="4"/>
  <c r="E12" i="1"/>
  <c r="E10" i="1"/>
  <c r="E6" i="1"/>
  <c r="E18" i="1"/>
  <c r="E203" i="1"/>
  <c r="E227" i="1"/>
  <c r="E234" i="1"/>
  <c r="E87" i="1"/>
  <c r="E22" i="1"/>
  <c r="E49" i="1"/>
  <c r="E20" i="1"/>
  <c r="E16" i="1"/>
  <c r="E75" i="1"/>
  <c r="E107" i="1"/>
  <c r="E103" i="1"/>
  <c r="E78" i="1"/>
  <c r="E101" i="1"/>
  <c r="S147" i="1"/>
  <c r="E232" i="1"/>
  <c r="E243" i="1"/>
  <c r="E99" i="1"/>
  <c r="E97" i="1"/>
  <c r="E80" i="1"/>
  <c r="E72" i="1"/>
  <c r="E74" i="1"/>
  <c r="E152" i="1"/>
  <c r="T193" i="1"/>
  <c r="E93" i="1"/>
  <c r="E85" i="1"/>
  <c r="E105" i="1"/>
  <c r="E91" i="1"/>
  <c r="E73" i="1"/>
  <c r="E83" i="1"/>
  <c r="E89" i="1"/>
  <c r="L24" i="1"/>
  <c r="E96" i="1"/>
  <c r="E98" i="1"/>
  <c r="E100" i="1"/>
  <c r="E102" i="1"/>
  <c r="E104" i="1"/>
  <c r="E106" i="1"/>
  <c r="E108" i="1"/>
  <c r="E233" i="1"/>
  <c r="E235" i="1"/>
  <c r="E237" i="1"/>
  <c r="E239" i="1"/>
  <c r="E241" i="1"/>
  <c r="L19" i="1"/>
  <c r="E77" i="1"/>
  <c r="E79" i="1"/>
  <c r="E81" i="1"/>
  <c r="E84" i="1"/>
  <c r="E86" i="1"/>
  <c r="E88" i="1"/>
  <c r="E90" i="1"/>
  <c r="E92" i="1"/>
  <c r="E94" i="1"/>
  <c r="T148" i="1"/>
  <c r="L11" i="1"/>
  <c r="L151" i="1"/>
  <c r="L155" i="1"/>
  <c r="L243" i="1"/>
  <c r="T69" i="1"/>
  <c r="L190" i="1"/>
  <c r="L192" i="1"/>
  <c r="E206" i="1"/>
  <c r="E208" i="1"/>
  <c r="E210" i="1"/>
  <c r="E212" i="1"/>
  <c r="T218" i="1"/>
  <c r="L6" i="1"/>
  <c r="L10" i="1"/>
  <c r="L14" i="1"/>
  <c r="L18" i="1"/>
  <c r="L22" i="1"/>
  <c r="E197" i="1"/>
  <c r="E201" i="1"/>
  <c r="E204" i="1"/>
  <c r="E216" i="1"/>
  <c r="H219" i="1"/>
  <c r="H245" i="1" s="1"/>
  <c r="R229" i="1"/>
  <c r="D148" i="1"/>
  <c r="T109" i="1"/>
  <c r="L154" i="1"/>
  <c r="T156" i="1"/>
  <c r="T187" i="1"/>
  <c r="E207" i="1"/>
  <c r="E209" i="1"/>
  <c r="E211" i="1"/>
  <c r="E213" i="1"/>
  <c r="C4" i="5"/>
  <c r="C3" i="5" s="1"/>
  <c r="D12" i="4"/>
  <c r="G12" i="4"/>
  <c r="H4" i="5"/>
  <c r="H3" i="5" s="1"/>
  <c r="I12" i="4"/>
  <c r="E95" i="1"/>
  <c r="L67" i="1"/>
  <c r="L83" i="1"/>
  <c r="L107" i="1"/>
  <c r="L63" i="1"/>
  <c r="L59" i="1"/>
  <c r="L56" i="1"/>
  <c r="L65" i="1"/>
  <c r="L54" i="1"/>
  <c r="L52" i="1"/>
  <c r="E57" i="1"/>
  <c r="E60" i="1"/>
  <c r="E62" i="1"/>
  <c r="E64" i="1"/>
  <c r="E66" i="1"/>
  <c r="E68" i="1"/>
  <c r="E55" i="1"/>
  <c r="E53" i="1"/>
  <c r="E51" i="1"/>
  <c r="L201" i="1"/>
  <c r="L207" i="1"/>
  <c r="L197" i="1"/>
  <c r="L205" i="1"/>
  <c r="L209" i="1"/>
  <c r="L235" i="1"/>
  <c r="L239" i="1"/>
  <c r="L233" i="1"/>
  <c r="L237" i="1"/>
  <c r="L241" i="1"/>
  <c r="L232" i="1"/>
  <c r="L234" i="1"/>
  <c r="L236" i="1"/>
  <c r="L238" i="1"/>
  <c r="L240" i="1"/>
  <c r="L242" i="1"/>
  <c r="L91" i="1"/>
  <c r="L99" i="1"/>
  <c r="L75" i="1"/>
  <c r="E76" i="1"/>
  <c r="L49" i="1"/>
  <c r="L85" i="1"/>
  <c r="L93" i="1"/>
  <c r="L101" i="1"/>
  <c r="R156" i="1"/>
  <c r="L152" i="1"/>
  <c r="L153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87" i="1"/>
  <c r="B7" i="3"/>
  <c r="C15" i="2"/>
  <c r="C5" i="2" s="1"/>
  <c r="R115" i="1"/>
  <c r="R118" i="1"/>
  <c r="R119" i="1"/>
  <c r="R126" i="1"/>
  <c r="E7" i="1"/>
  <c r="E9" i="1"/>
  <c r="E11" i="1"/>
  <c r="E13" i="1"/>
  <c r="E15" i="1"/>
  <c r="E17" i="1"/>
  <c r="E19" i="1"/>
  <c r="E21" i="1"/>
  <c r="E24" i="1"/>
  <c r="B3" i="3"/>
  <c r="C13" i="2"/>
  <c r="C3" i="2" s="1"/>
  <c r="O219" i="1"/>
  <c r="O245" i="1" s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3" i="1"/>
  <c r="E54" i="1"/>
  <c r="L55" i="1"/>
  <c r="E56" i="1"/>
  <c r="L57" i="1"/>
  <c r="E59" i="1"/>
  <c r="L60" i="1"/>
  <c r="E61" i="1"/>
  <c r="L62" i="1"/>
  <c r="E63" i="1"/>
  <c r="L64" i="1"/>
  <c r="E65" i="1"/>
  <c r="L66" i="1"/>
  <c r="E67" i="1"/>
  <c r="L68" i="1"/>
  <c r="R69" i="1"/>
  <c r="L72" i="1"/>
  <c r="L74" i="1"/>
  <c r="L76" i="1"/>
  <c r="L77" i="1"/>
  <c r="L79" i="1"/>
  <c r="L81" i="1"/>
  <c r="L84" i="1"/>
  <c r="L86" i="1"/>
  <c r="L88" i="1"/>
  <c r="L90" i="1"/>
  <c r="L94" i="1"/>
  <c r="L96" i="1"/>
  <c r="L98" i="1"/>
  <c r="L100" i="1"/>
  <c r="L102" i="1"/>
  <c r="L106" i="1"/>
  <c r="R109" i="1"/>
  <c r="R114" i="1"/>
  <c r="R129" i="1"/>
  <c r="R133" i="1"/>
  <c r="S137" i="1"/>
  <c r="B19" i="2"/>
  <c r="B9" i="2" s="1"/>
  <c r="E192" i="1"/>
  <c r="E190" i="1"/>
  <c r="B13" i="2"/>
  <c r="B3" i="2" s="1"/>
  <c r="R25" i="1"/>
  <c r="T25" i="1"/>
  <c r="C14" i="2"/>
  <c r="C4" i="2" s="1"/>
  <c r="L95" i="1"/>
  <c r="R139" i="1"/>
  <c r="R141" i="1"/>
  <c r="R145" i="1"/>
  <c r="B17" i="2"/>
  <c r="B7" i="2" s="1"/>
  <c r="E155" i="1"/>
  <c r="E153" i="1"/>
  <c r="E151" i="1"/>
  <c r="B18" i="2"/>
  <c r="B8" i="2" s="1"/>
  <c r="E191" i="1"/>
  <c r="R193" i="1"/>
  <c r="L198" i="1"/>
  <c r="L203" i="1"/>
  <c r="L208" i="1"/>
  <c r="L210" i="1"/>
  <c r="L212" i="1"/>
  <c r="L216" i="1"/>
  <c r="R218" i="1"/>
  <c r="E223" i="1"/>
  <c r="L227" i="1"/>
  <c r="C17" i="2"/>
  <c r="C7" i="2" s="1"/>
  <c r="C18" i="2"/>
  <c r="C8" i="2" s="1"/>
  <c r="C19" i="2"/>
  <c r="C9" i="2" s="1"/>
  <c r="C20" i="2"/>
  <c r="C10" i="2" s="1"/>
  <c r="E116" i="1" l="1"/>
  <c r="E124" i="1"/>
  <c r="L116" i="1"/>
  <c r="E129" i="1"/>
  <c r="E144" i="1"/>
  <c r="L126" i="1"/>
  <c r="L144" i="1"/>
  <c r="E132" i="1"/>
  <c r="E137" i="1"/>
  <c r="E138" i="1"/>
  <c r="E128" i="1"/>
  <c r="E113" i="1"/>
  <c r="E118" i="1"/>
  <c r="E133" i="1"/>
  <c r="D219" i="1"/>
  <c r="E69" i="1" s="1"/>
  <c r="E126" i="1"/>
  <c r="E145" i="1"/>
  <c r="E134" i="1"/>
  <c r="E115" i="1"/>
  <c r="E117" i="1"/>
  <c r="E147" i="1"/>
  <c r="E141" i="1"/>
  <c r="E120" i="1"/>
  <c r="E136" i="1"/>
  <c r="E121" i="1"/>
  <c r="E140" i="1"/>
  <c r="E139" i="1"/>
  <c r="E123" i="1"/>
  <c r="E143" i="1"/>
  <c r="E125" i="1"/>
  <c r="B16" i="2"/>
  <c r="B6" i="2" s="1"/>
  <c r="E127" i="1"/>
  <c r="E122" i="1"/>
  <c r="E114" i="1"/>
  <c r="L141" i="1"/>
  <c r="K219" i="1"/>
  <c r="L148" i="1" s="1"/>
  <c r="L133" i="1"/>
  <c r="L115" i="1"/>
  <c r="C16" i="2"/>
  <c r="C6" i="2" s="1"/>
  <c r="L146" i="1"/>
  <c r="L137" i="1"/>
  <c r="L147" i="1"/>
  <c r="L143" i="1"/>
  <c r="L140" i="1"/>
  <c r="R148" i="1"/>
  <c r="L138" i="1"/>
  <c r="L136" i="1"/>
  <c r="L132" i="1"/>
  <c r="L128" i="1"/>
  <c r="L123" i="1"/>
  <c r="L121" i="1"/>
  <c r="L113" i="1"/>
  <c r="L127" i="1"/>
  <c r="L125" i="1"/>
  <c r="L122" i="1"/>
  <c r="L120" i="1"/>
  <c r="L117" i="1"/>
  <c r="L114" i="1"/>
  <c r="L145" i="1"/>
  <c r="L139" i="1"/>
  <c r="L129" i="1"/>
  <c r="L118" i="1"/>
  <c r="L119" i="1"/>
  <c r="E193" i="1" l="1"/>
  <c r="E109" i="1"/>
  <c r="E187" i="1"/>
  <c r="E156" i="1"/>
  <c r="E218" i="1"/>
  <c r="D245" i="1"/>
  <c r="E25" i="1"/>
  <c r="E148" i="1"/>
  <c r="K245" i="1"/>
  <c r="R219" i="1"/>
  <c r="L193" i="1"/>
  <c r="L25" i="1"/>
  <c r="L187" i="1"/>
  <c r="L156" i="1"/>
  <c r="L69" i="1"/>
  <c r="L109" i="1"/>
  <c r="L218" i="1"/>
</calcChain>
</file>

<file path=xl/sharedStrings.xml><?xml version="1.0" encoding="utf-8"?>
<sst xmlns="http://schemas.openxmlformats.org/spreadsheetml/2006/main" count="503" uniqueCount="319">
  <si>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</si>
  <si>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</si>
  <si>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</si>
  <si>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</si>
  <si>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</si>
  <si>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</si>
  <si>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</si>
  <si>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</si>
  <si>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</si>
  <si>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</si>
  <si>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</si>
  <si>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</si>
  <si>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</si>
  <si>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</si>
  <si>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</si>
  <si>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</si>
  <si>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</si>
  <si>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</si>
  <si>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</si>
  <si>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</si>
  <si>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</si>
  <si>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</si>
  <si>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</si>
  <si>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</si>
  <si>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</si>
  <si>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</si>
  <si>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</si>
  <si>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</si>
  <si>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</si>
  <si>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</si>
  <si>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</si>
  <si>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</si>
  <si>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</si>
  <si>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</si>
  <si>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</si>
  <si>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</si>
  <si>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</si>
  <si>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</si>
  <si>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</si>
  <si>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</si>
  <si>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</si>
  <si>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</si>
  <si>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</si>
  <si>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</si>
  <si>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</si>
  <si>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</si>
  <si>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</si>
  <si>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</si>
  <si>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</si>
  <si>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</si>
  <si>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</si>
  <si>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</si>
  <si>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</si>
  <si>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</si>
  <si>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</si>
  <si>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</si>
  <si>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</si>
  <si>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</si>
  <si>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</si>
  <si>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</si>
  <si>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</si>
  <si>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</si>
  <si>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</si>
  <si>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</si>
  <si>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</si>
  <si>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</si>
  <si>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</si>
  <si>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</si>
  <si>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</si>
  <si>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</si>
  <si>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</si>
  <si>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</si>
  <si>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</si>
  <si>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</si>
  <si>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</si>
  <si>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</si>
  <si>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</si>
  <si>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</si>
  <si>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</si>
  <si>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</si>
  <si>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</si>
  <si>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</si>
  <si>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</si>
  <si>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</si>
  <si>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</si>
  <si>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</si>
  <si>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</si>
  <si>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</si>
  <si>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</si>
  <si>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</si>
  <si>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</si>
  <si>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</si>
  <si>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</si>
  <si>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</si>
  <si>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</si>
  <si>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</si>
  <si>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</si>
  <si>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</si>
  <si>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</si>
  <si>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</si>
  <si>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</si>
  <si>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</si>
  <si>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</si>
  <si>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</si>
  <si>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</si>
  <si>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</si>
  <si>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</si>
  <si>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</si>
  <si>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</si>
  <si>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</si>
  <si>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</si>
  <si>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</si>
  <si>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</si>
  <si>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</si>
  <si>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</si>
  <si>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</si>
  <si>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</si>
  <si>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</si>
  <si>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</si>
  <si>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</si>
  <si>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</si>
  <si>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</si>
  <si>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</si>
  <si>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</si>
  <si>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</si>
  <si>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</si>
  <si>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</si>
  <si>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</si>
  <si>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</si>
  <si>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</si>
  <si>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</si>
  <si>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</si>
  <si>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</si>
  <si>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</si>
  <si>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</si>
  <si>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</si>
  <si>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</si>
  <si>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</si>
  <si>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</si>
  <si>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</si>
  <si>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</si>
  <si>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</si>
  <si>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</si>
  <si>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</si>
  <si>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</si>
  <si>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</si>
  <si>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</si>
  <si>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</si>
  <si>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</si>
  <si>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</si>
  <si>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</si>
  <si>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</si>
  <si>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</si>
  <si>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</si>
  <si>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</si>
  <si>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</si>
  <si>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</si>
  <si>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</si>
  <si>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</si>
  <si>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</si>
  <si>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</si>
  <si>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</si>
  <si>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</si>
  <si>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</si>
  <si>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</si>
  <si>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</si>
  <si>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</si>
  <si>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</si>
  <si>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</si>
  <si>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</si>
  <si>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</si>
  <si>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</si>
  <si>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</si>
  <si>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</si>
  <si>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</si>
  <si>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</si>
  <si>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</si>
  <si>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</si>
  <si>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</si>
  <si>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</si>
  <si>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</si>
  <si>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</si>
  <si>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</si>
  <si>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</si>
  <si>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</si>
  <si>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</si>
  <si>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</si>
  <si>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</si>
  <si>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</si>
  <si>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</si>
  <si>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</si>
  <si>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</si>
  <si>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</si>
  <si>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</si>
  <si>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</si>
  <si>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</si>
  <si>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</si>
  <si>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</si>
  <si>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</si>
  <si>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</si>
  <si>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</si>
  <si>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</si>
  <si>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</si>
  <si>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</si>
  <si>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</si>
  <si>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</si>
  <si>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</si>
  <si>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</si>
  <si>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</si>
  <si>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</si>
  <si>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</si>
  <si>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</si>
  <si>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</si>
  <si>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</si>
  <si>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</si>
  <si>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</si>
  <si>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</si>
  <si>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</si>
  <si>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</si>
  <si>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</si>
  <si>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</si>
  <si>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</si>
  <si>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</si>
  <si>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</si>
  <si>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</si>
  <si>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</si>
  <si>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</si>
  <si>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</si>
  <si>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</si>
  <si>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</si>
  <si>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</si>
  <si>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</si>
  <si>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</si>
  <si>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</si>
  <si>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</si>
  <si>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</si>
  <si>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</si>
  <si>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</si>
  <si>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</si>
  <si>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</si>
  <si>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</si>
  <si>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</si>
  <si>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</si>
  <si>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</si>
  <si>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</si>
  <si>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</si>
  <si>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</si>
  <si>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</si>
  <si>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</si>
  <si>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</si>
  <si>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</si>
  <si>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</si>
  <si>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</si>
  <si>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</si>
  <si>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</si>
  <si>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</si>
  <si>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</si>
  <si>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</si>
  <si>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</si>
  <si>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</si>
  <si>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</si>
  <si>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</si>
  <si>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</si>
  <si>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</si>
  <si>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</si>
  <si>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</si>
  <si>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</si>
  <si>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</si>
  <si>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</si>
  <si>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</si>
  <si>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</si>
  <si>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</si>
  <si>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</si>
  <si>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</si>
  <si>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</si>
  <si>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</si>
  <si>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</si>
  <si>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</si>
  <si>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</si>
  <si>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</si>
  <si>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</si>
  <si>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</si>
  <si>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</si>
  <si>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</si>
  <si>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</si>
  <si>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</si>
  <si>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</si>
  <si>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</si>
  <si>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</si>
  <si>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</si>
  <si>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</si>
  <si>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</si>
  <si>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</si>
  <si>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</si>
  <si>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</si>
  <si>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</si>
  <si>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</si>
  <si>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</si>
  <si>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</si>
  <si>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</si>
  <si>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</si>
  <si>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</si>
  <si>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</si>
  <si>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</si>
  <si>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</si>
  <si>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</si>
  <si>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</si>
  <si>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</si>
  <si>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0.09%</t>
  </si>
  <si>
    <t>NAV, Unit Price and Yield as at Week Ended April 4, 2025</t>
  </si>
  <si>
    <t>Week Ended April 4, 2025</t>
  </si>
  <si>
    <t>WEEKLY VALUATION REPORT OF COLLECTIVE INVESTMENT SCHEMES AS AT WEEK ENDED FRIDAY, APRIL 11, 2025</t>
  </si>
  <si>
    <t>NAV, Unit Price and Yield as at Week Ended April 11, 2025</t>
  </si>
  <si>
    <t>NFEM RATE NG₦/US$ as at 11th April, 2025 = N1,591.8496</t>
  </si>
  <si>
    <t>Parthian Capital Limited</t>
  </si>
  <si>
    <t>Parthian Money Market Fund</t>
  </si>
  <si>
    <t>Parthian Dollar Fixed Income Fund</t>
  </si>
  <si>
    <t>0.08%</t>
  </si>
  <si>
    <t>Week Ended 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</si>
</sst>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0" fontId="42" fillId="0" borderId="0" xfId="0" applyFont="1"/>
    <xf numFmtId="0" fontId="43" fillId="0" borderId="0" xfId="0" applyFont="1" applyBorder="1" applyAlignment="1">
      <alignment horizontal="right"/>
    </xf>
    <xf numFmtId="16" fontId="44" fillId="2" borderId="0" xfId="0" applyNumberFormat="1" applyFont="1" applyFill="1" applyBorder="1"/>
    <xf numFmtId="0" fontId="44" fillId="0" borderId="0" xfId="0" applyFont="1" applyBorder="1" applyAlignment="1">
      <alignment horizontal="right"/>
    </xf>
    <xf numFmtId="4" fontId="45" fillId="2" borderId="0" xfId="0" applyNumberFormat="1" applyFont="1" applyFill="1" applyBorder="1"/>
    <xf numFmtId="164" fontId="45" fillId="2" borderId="0" xfId="1" applyFont="1" applyFill="1" applyBorder="1" applyAlignment="1">
      <alignment horizontal="right" vertical="top" wrapText="1"/>
    </xf>
    <xf numFmtId="4" fontId="45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4" fontId="45" fillId="2" borderId="0" xfId="0" applyNumberFormat="1" applyFont="1" applyFill="1"/>
    <xf numFmtId="0" fontId="41" fillId="0" borderId="0" xfId="0" applyFont="1"/>
    <xf numFmtId="16" fontId="46" fillId="2" borderId="0" xfId="0" applyNumberFormat="1" applyFont="1" applyFill="1"/>
    <xf numFmtId="164" fontId="47" fillId="0" borderId="0" xfId="1" applyFont="1"/>
    <xf numFmtId="43" fontId="47" fillId="0" borderId="0" xfId="0" applyNumberFormat="1" applyFont="1"/>
    <xf numFmtId="4" fontId="47" fillId="0" borderId="0" xfId="0" applyNumberFormat="1" applyFont="1"/>
    <xf numFmtId="0" fontId="48" fillId="0" borderId="0" xfId="0" applyFont="1" applyBorder="1" applyAlignment="1">
      <alignment horizontal="right"/>
    </xf>
    <xf numFmtId="16" fontId="48" fillId="2" borderId="0" xfId="0" applyNumberFormat="1" applyFont="1" applyFill="1" applyBorder="1" applyAlignment="1">
      <alignment horizontal="center" wrapText="1"/>
    </xf>
    <xf numFmtId="0" fontId="49" fillId="0" borderId="0" xfId="0" applyFont="1" applyBorder="1"/>
    <xf numFmtId="0" fontId="48" fillId="0" borderId="0" xfId="0" applyFont="1" applyBorder="1" applyAlignment="1">
      <alignment horizontal="right" wrapText="1"/>
    </xf>
    <xf numFmtId="4" fontId="50" fillId="2" borderId="0" xfId="0" applyNumberFormat="1" applyFont="1" applyFill="1" applyBorder="1"/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 wrapText="1"/>
    </xf>
    <xf numFmtId="164" fontId="52" fillId="0" borderId="0" xfId="1" applyFont="1" applyBorder="1"/>
    <xf numFmtId="4" fontId="52" fillId="2" borderId="0" xfId="0" applyNumberFormat="1" applyFont="1" applyFill="1" applyBorder="1"/>
    <xf numFmtId="0" fontId="51" fillId="0" borderId="0" xfId="0" applyFont="1" applyBorder="1" applyAlignment="1">
      <alignment horizontal="right"/>
    </xf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44" fillId="0" borderId="0" xfId="0" applyFont="1" applyAlignment="1">
      <alignment horizontal="right"/>
    </xf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7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23" fillId="14" borderId="1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4,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37.097805539873704</c:v>
                </c:pt>
                <c:pt idx="1">
                  <c:v>2556.1306286649051</c:v>
                </c:pt>
                <c:pt idx="2">
                  <c:v>200.66214858212146</c:v>
                </c:pt>
                <c:pt idx="3">
                  <c:v>1905.4364957549351</c:v>
                </c:pt>
                <c:pt idx="4">
                  <c:v>101.41608429950922</c:v>
                </c:pt>
                <c:pt idx="5" formatCode="_-* #,##0.00_-;\-* #,##0.00_-;_-* &quot;-&quot;??_-;_-@_-">
                  <c:v>57.167466185858181</c:v>
                </c:pt>
                <c:pt idx="6">
                  <c:v>6.8089861126900004</c:v>
                </c:pt>
                <c:pt idx="7">
                  <c:v>56.258713652725334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11,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36.611510201960002</c:v>
                </c:pt>
                <c:pt idx="1">
                  <c:v>2628.9623770447274</c:v>
                </c:pt>
                <c:pt idx="2">
                  <c:v>208.69720878068358</c:v>
                </c:pt>
                <c:pt idx="3">
                  <c:v>1931.2870687030197</c:v>
                </c:pt>
                <c:pt idx="4">
                  <c:v>101.44890023100531</c:v>
                </c:pt>
                <c:pt idx="5" formatCode="_-* #,##0.00_-;\-* #,##0.00_-;_-* &quot;-&quot;??_-;_-@_-">
                  <c:v>57.12527213611007</c:v>
                </c:pt>
                <c:pt idx="6">
                  <c:v>6.7892931999500004</c:v>
                </c:pt>
                <c:pt idx="7">
                  <c:v>56.384304267594231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11TH APRIL,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11-Apr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6789293199.9500008</c:v>
                </c:pt>
                <c:pt idx="1">
                  <c:v>36611510201.959999</c:v>
                </c:pt>
                <c:pt idx="2" formatCode="_-* #,##0.00_-;\-* #,##0.00_-;_-* &quot;-&quot;??_-;_-@_-">
                  <c:v>56384304267.594231</c:v>
                </c:pt>
                <c:pt idx="3">
                  <c:v>57125272136.110069</c:v>
                </c:pt>
                <c:pt idx="4">
                  <c:v>101448900231.00531</c:v>
                </c:pt>
                <c:pt idx="5">
                  <c:v>208697208780.68359</c:v>
                </c:pt>
                <c:pt idx="6">
                  <c:v>1931287068703.0198</c:v>
                </c:pt>
                <c:pt idx="7">
                  <c:v>2628962377044.7275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45709</c:v>
                </c:pt>
                <c:pt idx="1">
                  <c:v>45716</c:v>
                </c:pt>
                <c:pt idx="2">
                  <c:v>45723</c:v>
                </c:pt>
                <c:pt idx="3">
                  <c:v>45730</c:v>
                </c:pt>
                <c:pt idx="4">
                  <c:v>45737</c:v>
                </c:pt>
                <c:pt idx="5">
                  <c:v>45744</c:v>
                </c:pt>
                <c:pt idx="6">
                  <c:v>45751</c:v>
                </c:pt>
                <c:pt idx="7">
                  <c:v>45758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4304.4471471275037</c:v>
                </c:pt>
                <c:pt idx="1">
                  <c:v>4378.8424481915499</c:v>
                </c:pt>
                <c:pt idx="2">
                  <c:v>4472.6943933207594</c:v>
                </c:pt>
                <c:pt idx="3">
                  <c:v>4607.4792017079635</c:v>
                </c:pt>
                <c:pt idx="4">
                  <c:v>4719.0196974991832</c:v>
                </c:pt>
                <c:pt idx="5">
                  <c:v>4783.453626583896</c:v>
                </c:pt>
                <c:pt idx="6">
                  <c:v>4920.9783287926193</c:v>
                </c:pt>
                <c:pt idx="7">
                  <c:v>5027.3059345650499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45709</c:v>
                </c:pt>
                <c:pt idx="1">
                  <c:v>45716</c:v>
                </c:pt>
                <c:pt idx="2">
                  <c:v>45723</c:v>
                </c:pt>
                <c:pt idx="3">
                  <c:v>45730</c:v>
                </c:pt>
                <c:pt idx="4">
                  <c:v>45737</c:v>
                </c:pt>
                <c:pt idx="5">
                  <c:v>45744</c:v>
                </c:pt>
                <c:pt idx="6">
                  <c:v>45751</c:v>
                </c:pt>
                <c:pt idx="7">
                  <c:v>45758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13.757028670379999</c:v>
                </c:pt>
                <c:pt idx="1">
                  <c:v>13.569005930702859</c:v>
                </c:pt>
                <c:pt idx="2">
                  <c:v>13.40889556580691</c:v>
                </c:pt>
                <c:pt idx="3">
                  <c:v>13.225205337489792</c:v>
                </c:pt>
                <c:pt idx="4">
                  <c:v>13.115951569109791</c:v>
                </c:pt>
                <c:pt idx="5">
                  <c:v>13.246875880158331</c:v>
                </c:pt>
                <c:pt idx="6">
                  <c:v>13.252536997856778</c:v>
                </c:pt>
                <c:pt idx="7">
                  <c:v>13.325340046259999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2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83" t="s">
        <v>311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</row>
    <row r="2" spans="1:25" ht="15" customHeight="1">
      <c r="A2" s="138"/>
      <c r="B2" s="23"/>
      <c r="C2" s="126"/>
      <c r="D2" s="184" t="s">
        <v>309</v>
      </c>
      <c r="E2" s="184"/>
      <c r="F2" s="184"/>
      <c r="G2" s="184"/>
      <c r="H2" s="184"/>
      <c r="I2" s="184"/>
      <c r="J2" s="184"/>
      <c r="K2" s="184" t="s">
        <v>312</v>
      </c>
      <c r="L2" s="184"/>
      <c r="M2" s="184"/>
      <c r="N2" s="184"/>
      <c r="O2" s="184"/>
      <c r="P2" s="184"/>
      <c r="Q2" s="184"/>
      <c r="R2" s="184" t="s">
        <v>0</v>
      </c>
      <c r="S2" s="184"/>
      <c r="T2" s="184"/>
      <c r="U2" s="184" t="s">
        <v>1</v>
      </c>
      <c r="V2" s="184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289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9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5" ht="15" customHeight="1">
      <c r="A5" s="181" t="s">
        <v>17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</row>
    <row r="6" spans="1:25">
      <c r="A6" s="140">
        <v>1</v>
      </c>
      <c r="B6" s="133" t="s">
        <v>18</v>
      </c>
      <c r="C6" s="134" t="s">
        <v>19</v>
      </c>
      <c r="D6" s="29">
        <v>1588551937.5</v>
      </c>
      <c r="E6" s="30">
        <f t="shared" ref="E6:E22" si="0">(D6/$D$25)</f>
        <v>4.2820644358399648E-2</v>
      </c>
      <c r="F6" s="31">
        <v>419.24209999999999</v>
      </c>
      <c r="G6" s="31">
        <v>422.45049999999998</v>
      </c>
      <c r="H6" s="32">
        <v>1816</v>
      </c>
      <c r="I6" s="50">
        <v>-5.4000000000000003E-3</v>
      </c>
      <c r="J6" s="50">
        <v>5.4699999999999999E-2</v>
      </c>
      <c r="K6" s="29">
        <v>1526429370.74</v>
      </c>
      <c r="L6" s="30">
        <f t="shared" ref="L6:L22" si="1">(K6/$K$25)</f>
        <v>4.1692608753907193E-2</v>
      </c>
      <c r="M6" s="31">
        <v>414.95280000000002</v>
      </c>
      <c r="N6" s="31">
        <v>418.43529999999998</v>
      </c>
      <c r="O6" s="32">
        <v>1816</v>
      </c>
      <c r="P6" s="50">
        <v>-1.0200000000000001E-2</v>
      </c>
      <c r="Q6" s="50">
        <v>4.3900000000000002E-2</v>
      </c>
      <c r="R6" s="56">
        <f>((K6-D6)/D6)</f>
        <v>-3.9106412131394347E-2</v>
      </c>
      <c r="S6" s="56">
        <f>((N6-G6)/G6)</f>
        <v>-9.5045455029642359E-3</v>
      </c>
      <c r="T6" s="56">
        <f>((O6-H6)/H6)</f>
        <v>0</v>
      </c>
      <c r="U6" s="57">
        <f>P6-I6</f>
        <v>-4.8000000000000004E-3</v>
      </c>
      <c r="V6" s="58">
        <f>Q6-J6</f>
        <v>-1.0799999999999997E-2</v>
      </c>
    </row>
    <row r="7" spans="1:25">
      <c r="A7" s="140">
        <v>2</v>
      </c>
      <c r="B7" s="133" t="s">
        <v>20</v>
      </c>
      <c r="C7" s="134" t="s">
        <v>21</v>
      </c>
      <c r="D7" s="33">
        <v>654027630.75999999</v>
      </c>
      <c r="E7" s="30">
        <f t="shared" si="0"/>
        <v>1.7629819910965724E-2</v>
      </c>
      <c r="F7" s="33">
        <v>273.41480000000001</v>
      </c>
      <c r="G7" s="33">
        <v>276.73610000000002</v>
      </c>
      <c r="H7" s="32">
        <v>466</v>
      </c>
      <c r="I7" s="50">
        <v>2.2169999999999998E-3</v>
      </c>
      <c r="J7" s="50">
        <v>6.1800000000000001E-2</v>
      </c>
      <c r="K7" s="33">
        <v>647352095.01999998</v>
      </c>
      <c r="L7" s="30">
        <f t="shared" si="1"/>
        <v>1.7681655071014907E-2</v>
      </c>
      <c r="M7" s="33">
        <v>270.57569999999998</v>
      </c>
      <c r="N7" s="33">
        <v>273.84949999999998</v>
      </c>
      <c r="O7" s="32">
        <v>467</v>
      </c>
      <c r="P7" s="50">
        <v>-9.4600000000000001E-4</v>
      </c>
      <c r="Q7" s="50">
        <v>5.0700000000000002E-2</v>
      </c>
      <c r="R7" s="56">
        <f t="shared" ref="R7:R25" si="2">((K7-D7)/D7)</f>
        <v>-1.0206809966488472E-2</v>
      </c>
      <c r="S7" s="56">
        <f t="shared" ref="S7:S25" si="3">((N7-G7)/G7)</f>
        <v>-1.0430876202996443E-2</v>
      </c>
      <c r="T7" s="56">
        <f t="shared" ref="T7:T25" si="4">((O7-H7)/H7)</f>
        <v>2.1459227467811159E-3</v>
      </c>
      <c r="U7" s="57">
        <f t="shared" ref="U7:U25" si="5">P7-I7</f>
        <v>-3.163E-3</v>
      </c>
      <c r="V7" s="58">
        <f t="shared" ref="V7:V25" si="6">Q7-J7</f>
        <v>-1.1099999999999999E-2</v>
      </c>
    </row>
    <row r="8" spans="1:25">
      <c r="A8" s="140">
        <v>3</v>
      </c>
      <c r="B8" s="133" t="s">
        <v>22</v>
      </c>
      <c r="C8" s="134" t="s">
        <v>23</v>
      </c>
      <c r="D8" s="33">
        <v>4000742349.0700002</v>
      </c>
      <c r="E8" s="30">
        <f t="shared" si="0"/>
        <v>0.10784309990438373</v>
      </c>
      <c r="F8" s="33">
        <v>36.058900000000001</v>
      </c>
      <c r="G8" s="33">
        <v>37.146099999999997</v>
      </c>
      <c r="H8" s="34">
        <v>6670</v>
      </c>
      <c r="I8" s="51">
        <v>0.1207</v>
      </c>
      <c r="J8" s="51">
        <v>6.6100000000000006E-2</v>
      </c>
      <c r="K8" s="33">
        <v>3969526331.25</v>
      </c>
      <c r="L8" s="30">
        <f t="shared" si="1"/>
        <v>0.10842290605749148</v>
      </c>
      <c r="M8" s="33">
        <v>35.792700000000004</v>
      </c>
      <c r="N8" s="33">
        <v>36.871899999999997</v>
      </c>
      <c r="O8" s="34">
        <v>6680</v>
      </c>
      <c r="P8" s="51">
        <v>-0.38490000000000002</v>
      </c>
      <c r="Q8" s="51">
        <v>3.44E-2</v>
      </c>
      <c r="R8" s="56">
        <f t="shared" si="2"/>
        <v>-7.8025563998782741E-3</v>
      </c>
      <c r="S8" s="56">
        <f t="shared" si="3"/>
        <v>-7.3816632163268949E-3</v>
      </c>
      <c r="T8" s="56">
        <f t="shared" si="4"/>
        <v>1.4992503748125937E-3</v>
      </c>
      <c r="U8" s="57">
        <f t="shared" si="5"/>
        <v>-0.50560000000000005</v>
      </c>
      <c r="V8" s="58">
        <f t="shared" si="6"/>
        <v>-3.1700000000000006E-2</v>
      </c>
      <c r="X8" s="59"/>
      <c r="Y8" s="59"/>
    </row>
    <row r="9" spans="1:25">
      <c r="A9" s="140">
        <v>4</v>
      </c>
      <c r="B9" s="133" t="s">
        <v>24</v>
      </c>
      <c r="C9" s="134" t="s">
        <v>25</v>
      </c>
      <c r="D9" s="33">
        <v>595757406.11000001</v>
      </c>
      <c r="E9" s="30">
        <f t="shared" si="0"/>
        <v>1.6059101001800878E-2</v>
      </c>
      <c r="F9" s="33">
        <v>224.40620000000001</v>
      </c>
      <c r="G9" s="33">
        <v>224.40620000000001</v>
      </c>
      <c r="H9" s="32">
        <v>1942</v>
      </c>
      <c r="I9" s="50">
        <v>5.7999999999999996E-3</v>
      </c>
      <c r="J9" s="50">
        <v>2.4799999999999999E-2</v>
      </c>
      <c r="K9" s="33">
        <v>582699662.02999997</v>
      </c>
      <c r="L9" s="30">
        <f t="shared" si="1"/>
        <v>1.5915750506211163E-2</v>
      </c>
      <c r="M9" s="33">
        <v>222.14760000000001</v>
      </c>
      <c r="N9" s="33">
        <v>222.14760000000001</v>
      </c>
      <c r="O9" s="32">
        <v>1941</v>
      </c>
      <c r="P9" s="50">
        <v>-1.01E-2</v>
      </c>
      <c r="Q9" s="50">
        <v>1.4500000000000001E-2</v>
      </c>
      <c r="R9" s="56">
        <f t="shared" si="2"/>
        <v>-2.1917887962586362E-2</v>
      </c>
      <c r="S9" s="56">
        <f t="shared" si="3"/>
        <v>-1.0064784306315962E-2</v>
      </c>
      <c r="T9" s="56">
        <f t="shared" si="4"/>
        <v>-5.1493305870236867E-4</v>
      </c>
      <c r="U9" s="57">
        <f t="shared" si="5"/>
        <v>-1.5899999999999997E-2</v>
      </c>
      <c r="V9" s="58">
        <f t="shared" si="6"/>
        <v>-1.0299999999999998E-2</v>
      </c>
    </row>
    <row r="10" spans="1:25">
      <c r="A10" s="140">
        <v>5</v>
      </c>
      <c r="B10" s="133" t="s">
        <v>26</v>
      </c>
      <c r="C10" s="134" t="s">
        <v>27</v>
      </c>
      <c r="D10" s="33">
        <v>1018978408.92</v>
      </c>
      <c r="E10" s="30">
        <f t="shared" si="0"/>
        <v>2.7467349997960796E-2</v>
      </c>
      <c r="F10" s="33">
        <v>1.3176000000000001</v>
      </c>
      <c r="G10" s="33">
        <v>1.3337000000000001</v>
      </c>
      <c r="H10" s="32">
        <v>507</v>
      </c>
      <c r="I10" s="50">
        <v>0</v>
      </c>
      <c r="J10" s="50">
        <v>6.3E-2</v>
      </c>
      <c r="K10" s="33">
        <v>999666144.84000003</v>
      </c>
      <c r="L10" s="30">
        <f t="shared" si="1"/>
        <v>2.7304695690659679E-2</v>
      </c>
      <c r="M10" s="33">
        <v>1.2943</v>
      </c>
      <c r="N10" s="33">
        <v>1.3090999999999999</v>
      </c>
      <c r="O10" s="32">
        <v>509</v>
      </c>
      <c r="P10" s="50">
        <v>-1.8100000000000002E-2</v>
      </c>
      <c r="Q10" s="50">
        <v>4.4200000000000003E-2</v>
      </c>
      <c r="R10" s="56">
        <f t="shared" si="2"/>
        <v>-1.8952574373453806E-2</v>
      </c>
      <c r="S10" s="56">
        <f t="shared" si="3"/>
        <v>-1.8444927644897784E-2</v>
      </c>
      <c r="T10" s="56">
        <f t="shared" si="4"/>
        <v>3.9447731755424065E-3</v>
      </c>
      <c r="U10" s="57">
        <f t="shared" si="5"/>
        <v>-1.8100000000000002E-2</v>
      </c>
      <c r="V10" s="58">
        <f t="shared" si="6"/>
        <v>-1.8799999999999997E-2</v>
      </c>
    </row>
    <row r="11" spans="1:25">
      <c r="A11" s="140">
        <v>6</v>
      </c>
      <c r="B11" s="133" t="s">
        <v>28</v>
      </c>
      <c r="C11" s="134" t="s">
        <v>29</v>
      </c>
      <c r="D11" s="35">
        <v>111999086.42</v>
      </c>
      <c r="E11" s="30">
        <f t="shared" si="0"/>
        <v>3.0190218744777348E-3</v>
      </c>
      <c r="F11" s="33">
        <v>181.36879999999999</v>
      </c>
      <c r="G11" s="33">
        <v>182.28210000000001</v>
      </c>
      <c r="H11" s="34">
        <v>70</v>
      </c>
      <c r="I11" s="51">
        <v>9.9599999999999992E-4</v>
      </c>
      <c r="J11" s="51">
        <v>5.5199999999999999E-2</v>
      </c>
      <c r="K11" s="35">
        <v>112265235.62</v>
      </c>
      <c r="L11" s="30">
        <f t="shared" si="1"/>
        <v>3.0663918259779921E-3</v>
      </c>
      <c r="M11" s="33">
        <v>179.88550000000001</v>
      </c>
      <c r="N11" s="33">
        <v>180.77719999999999</v>
      </c>
      <c r="O11" s="34">
        <v>70</v>
      </c>
      <c r="P11" s="51">
        <v>5.7949999999999998E-3</v>
      </c>
      <c r="Q11" s="51">
        <v>4.6600000000000003E-2</v>
      </c>
      <c r="R11" s="56">
        <f t="shared" si="2"/>
        <v>2.3763515266717028E-3</v>
      </c>
      <c r="S11" s="56">
        <f t="shared" si="3"/>
        <v>-8.2558846974004601E-3</v>
      </c>
      <c r="T11" s="56">
        <f t="shared" si="4"/>
        <v>0</v>
      </c>
      <c r="U11" s="57">
        <f t="shared" si="5"/>
        <v>4.7989999999999994E-3</v>
      </c>
      <c r="V11" s="58">
        <f t="shared" si="6"/>
        <v>-8.5999999999999965E-3</v>
      </c>
    </row>
    <row r="12" spans="1:25">
      <c r="A12" s="140">
        <v>7</v>
      </c>
      <c r="B12" s="133" t="s">
        <v>30</v>
      </c>
      <c r="C12" s="134" t="s">
        <v>31</v>
      </c>
      <c r="D12" s="33">
        <v>1462292131.48</v>
      </c>
      <c r="E12" s="30">
        <f t="shared" si="0"/>
        <v>3.9417213773151348E-2</v>
      </c>
      <c r="F12" s="33">
        <v>355.95</v>
      </c>
      <c r="G12" s="33">
        <v>360.66</v>
      </c>
      <c r="H12" s="34">
        <v>1677</v>
      </c>
      <c r="I12" s="51">
        <v>-8.9999999999999998E-4</v>
      </c>
      <c r="J12" s="51">
        <v>9.9299999999999999E-2</v>
      </c>
      <c r="K12" s="33">
        <v>1455544419.01</v>
      </c>
      <c r="L12" s="30">
        <f t="shared" si="1"/>
        <v>3.9756470328068505E-2</v>
      </c>
      <c r="M12" s="33">
        <v>356.05</v>
      </c>
      <c r="N12" s="33">
        <v>360.76</v>
      </c>
      <c r="O12" s="34">
        <v>1675</v>
      </c>
      <c r="P12" s="51">
        <v>2.9999999999999997E-4</v>
      </c>
      <c r="Q12" s="51">
        <v>9.9599999999999994E-2</v>
      </c>
      <c r="R12" s="56">
        <f t="shared" si="2"/>
        <v>-4.6144763585444469E-3</v>
      </c>
      <c r="S12" s="56">
        <f t="shared" si="3"/>
        <v>2.772694504518546E-4</v>
      </c>
      <c r="T12" s="56">
        <f t="shared" si="4"/>
        <v>-1.1926058437686344E-3</v>
      </c>
      <c r="U12" s="57">
        <f t="shared" si="5"/>
        <v>1.1999999999999999E-3</v>
      </c>
      <c r="V12" s="58">
        <f t="shared" si="6"/>
        <v>2.9999999999999472E-4</v>
      </c>
    </row>
    <row r="13" spans="1:25">
      <c r="A13" s="140">
        <v>8</v>
      </c>
      <c r="B13" s="133" t="s">
        <v>32</v>
      </c>
      <c r="C13" s="134" t="s">
        <v>33</v>
      </c>
      <c r="D13" s="29">
        <v>436026353.19</v>
      </c>
      <c r="E13" s="30">
        <f t="shared" si="0"/>
        <v>1.1753427105583034E-2</v>
      </c>
      <c r="F13" s="33">
        <v>217.29</v>
      </c>
      <c r="G13" s="33">
        <v>224.14</v>
      </c>
      <c r="H13" s="32">
        <v>2468</v>
      </c>
      <c r="I13" s="50">
        <v>2.3E-3</v>
      </c>
      <c r="J13" s="50">
        <v>0.72850000000000004</v>
      </c>
      <c r="K13" s="29">
        <v>388287684.58999997</v>
      </c>
      <c r="L13" s="30">
        <f t="shared" si="1"/>
        <v>1.0605617808391116E-2</v>
      </c>
      <c r="M13" s="33">
        <v>214.63</v>
      </c>
      <c r="N13" s="33">
        <v>219.64</v>
      </c>
      <c r="O13" s="32">
        <v>2468</v>
      </c>
      <c r="P13" s="50">
        <v>-1.226E-2</v>
      </c>
      <c r="Q13" s="50">
        <v>2.291E-2</v>
      </c>
      <c r="R13" s="56">
        <f t="shared" si="2"/>
        <v>-0.10948574151709067</v>
      </c>
      <c r="S13" s="56">
        <f t="shared" si="3"/>
        <v>-2.0076737753189973E-2</v>
      </c>
      <c r="T13" s="56">
        <f t="shared" si="4"/>
        <v>0</v>
      </c>
      <c r="U13" s="57">
        <f t="shared" si="5"/>
        <v>-1.456E-2</v>
      </c>
      <c r="V13" s="58">
        <f t="shared" si="6"/>
        <v>-0.70559000000000005</v>
      </c>
    </row>
    <row r="14" spans="1:25">
      <c r="A14" s="140">
        <v>9</v>
      </c>
      <c r="B14" s="133" t="s">
        <v>34</v>
      </c>
      <c r="C14" s="134" t="s">
        <v>35</v>
      </c>
      <c r="D14" s="35">
        <v>64764985.133699998</v>
      </c>
      <c r="E14" s="30">
        <f t="shared" si="0"/>
        <v>1.745790194088135E-3</v>
      </c>
      <c r="F14" s="33">
        <v>226.85480000000001</v>
      </c>
      <c r="G14" s="33">
        <v>234.01750000000001</v>
      </c>
      <c r="H14" s="32">
        <v>18</v>
      </c>
      <c r="I14" s="50">
        <v>1.1000000000000001E-3</v>
      </c>
      <c r="J14" s="50">
        <v>2.6700000000000002E-2</v>
      </c>
      <c r="K14" s="35">
        <v>64013223.57</v>
      </c>
      <c r="L14" s="30">
        <f t="shared" si="1"/>
        <v>1.7484453172481546E-3</v>
      </c>
      <c r="M14" s="33">
        <v>224.94</v>
      </c>
      <c r="N14" s="33">
        <v>232.04</v>
      </c>
      <c r="O14" s="32">
        <v>18</v>
      </c>
      <c r="P14" s="50">
        <v>-8.5000000000000006E-3</v>
      </c>
      <c r="Q14" s="50">
        <v>1.8100000000000002E-2</v>
      </c>
      <c r="R14" s="56">
        <f t="shared" si="2"/>
        <v>-1.1607530861746838E-2</v>
      </c>
      <c r="S14" s="56">
        <f t="shared" si="3"/>
        <v>-8.4502227397524558E-3</v>
      </c>
      <c r="T14" s="56">
        <f t="shared" si="4"/>
        <v>0</v>
      </c>
      <c r="U14" s="57">
        <f t="shared" si="5"/>
        <v>-9.6000000000000009E-3</v>
      </c>
      <c r="V14" s="58">
        <f t="shared" si="6"/>
        <v>-8.6E-3</v>
      </c>
    </row>
    <row r="15" spans="1:25" ht="14.25" customHeight="1">
      <c r="A15" s="140">
        <v>10</v>
      </c>
      <c r="B15" s="133" t="s">
        <v>36</v>
      </c>
      <c r="C15" s="134" t="s">
        <v>37</v>
      </c>
      <c r="D15" s="29">
        <v>758446053.67999995</v>
      </c>
      <c r="E15" s="30">
        <f t="shared" si="0"/>
        <v>2.0444499146042534E-2</v>
      </c>
      <c r="F15" s="33">
        <v>2.5542129999999998</v>
      </c>
      <c r="G15" s="33">
        <v>2.5825589999999998</v>
      </c>
      <c r="H15" s="32">
        <v>501</v>
      </c>
      <c r="I15" s="50">
        <v>1.8988990229749092E-3</v>
      </c>
      <c r="J15" s="50">
        <v>0.21938857107120135</v>
      </c>
      <c r="K15" s="29">
        <v>774772355.62</v>
      </c>
      <c r="L15" s="30">
        <f t="shared" si="1"/>
        <v>2.1161988438775807E-2</v>
      </c>
      <c r="M15" s="33">
        <v>2.5665770000000001</v>
      </c>
      <c r="N15" s="33">
        <v>2.5665770000000001</v>
      </c>
      <c r="O15" s="32">
        <v>502</v>
      </c>
      <c r="P15" s="50">
        <v>4.8406299709540246E-3</v>
      </c>
      <c r="Q15" s="50">
        <v>0.22529117993456738</v>
      </c>
      <c r="R15" s="56">
        <f t="shared" si="2"/>
        <v>2.1525989700631201E-2</v>
      </c>
      <c r="S15" s="56">
        <f t="shared" si="3"/>
        <v>-6.1884355788191948E-3</v>
      </c>
      <c r="T15" s="56">
        <f t="shared" si="4"/>
        <v>1.996007984031936E-3</v>
      </c>
      <c r="U15" s="57">
        <f t="shared" si="5"/>
        <v>2.9417309479791154E-3</v>
      </c>
      <c r="V15" s="58">
        <f t="shared" si="6"/>
        <v>5.9026088633660212E-3</v>
      </c>
    </row>
    <row r="16" spans="1:25" ht="14.25" customHeight="1">
      <c r="A16" s="140">
        <v>11</v>
      </c>
      <c r="B16" s="133" t="s">
        <v>38</v>
      </c>
      <c r="C16" s="134" t="s">
        <v>39</v>
      </c>
      <c r="D16" s="29">
        <v>38592246.229999997</v>
      </c>
      <c r="E16" s="30">
        <f t="shared" si="0"/>
        <v>1.0402838030006932E-3</v>
      </c>
      <c r="F16" s="33">
        <v>15.91</v>
      </c>
      <c r="G16" s="33">
        <v>16.399999999999999</v>
      </c>
      <c r="H16" s="32">
        <v>29</v>
      </c>
      <c r="I16" s="50">
        <v>-1.0999999999999999E-2</v>
      </c>
      <c r="J16" s="50">
        <v>0.59</v>
      </c>
      <c r="K16" s="29">
        <v>37246246.18</v>
      </c>
      <c r="L16" s="30">
        <f t="shared" si="1"/>
        <v>1.0173370607915E-3</v>
      </c>
      <c r="M16" s="33">
        <v>15.68</v>
      </c>
      <c r="N16" s="33">
        <v>16.190000000000001</v>
      </c>
      <c r="O16" s="32">
        <v>29</v>
      </c>
      <c r="P16" s="50">
        <v>-1.4E-2</v>
      </c>
      <c r="Q16" s="50">
        <v>0.54</v>
      </c>
      <c r="R16" s="56">
        <f t="shared" ref="R16" si="7">((K16-D16)/D16)</f>
        <v>-3.4877473624576764E-2</v>
      </c>
      <c r="S16" s="56">
        <f t="shared" ref="S16" si="8">((N16-G16)/G16)</f>
        <v>-1.2804878048780324E-2</v>
      </c>
      <c r="T16" s="56">
        <f t="shared" ref="T16" si="9">((O16-H16)/H16)</f>
        <v>0</v>
      </c>
      <c r="U16" s="57">
        <f t="shared" ref="U16" si="10">P16-I16</f>
        <v>-3.0000000000000009E-3</v>
      </c>
      <c r="V16" s="58">
        <f t="shared" ref="V16" si="11">Q16-J16</f>
        <v>-4.9999999999999933E-2</v>
      </c>
    </row>
    <row r="17" spans="1:22">
      <c r="A17" s="140">
        <v>12</v>
      </c>
      <c r="B17" s="133" t="s">
        <v>40</v>
      </c>
      <c r="C17" s="134" t="s">
        <v>41</v>
      </c>
      <c r="D17" s="129">
        <v>1895389509.5599999</v>
      </c>
      <c r="E17" s="30">
        <f t="shared" si="0"/>
        <v>5.1091688092514936E-2</v>
      </c>
      <c r="F17" s="33">
        <v>3.86</v>
      </c>
      <c r="G17" s="33">
        <v>3.95</v>
      </c>
      <c r="H17" s="32">
        <v>3649</v>
      </c>
      <c r="I17" s="50">
        <v>-1.2999999999999999E-2</v>
      </c>
      <c r="J17" s="50">
        <v>6.2300000000000001E-2</v>
      </c>
      <c r="K17" s="129">
        <v>1884559038.7</v>
      </c>
      <c r="L17" s="30">
        <f t="shared" si="1"/>
        <v>5.1474496088913316E-2</v>
      </c>
      <c r="M17" s="33">
        <v>3.84</v>
      </c>
      <c r="N17" s="33">
        <v>3.93</v>
      </c>
      <c r="O17" s="32">
        <v>3651</v>
      </c>
      <c r="P17" s="50">
        <v>-1.6299999999999999E-2</v>
      </c>
      <c r="Q17" s="50">
        <v>5.6099999999999997E-2</v>
      </c>
      <c r="R17" s="56">
        <f t="shared" si="2"/>
        <v>-5.7141135399204068E-3</v>
      </c>
      <c r="S17" s="56">
        <f t="shared" si="3"/>
        <v>-5.0632911392405108E-3</v>
      </c>
      <c r="T17" s="56">
        <f t="shared" si="4"/>
        <v>5.4809536859413543E-4</v>
      </c>
      <c r="U17" s="57">
        <f t="shared" si="5"/>
        <v>-3.2999999999999991E-3</v>
      </c>
      <c r="V17" s="58">
        <f t="shared" si="6"/>
        <v>-6.2000000000000041E-3</v>
      </c>
    </row>
    <row r="18" spans="1:22">
      <c r="A18" s="140">
        <v>13</v>
      </c>
      <c r="B18" s="133" t="s">
        <v>42</v>
      </c>
      <c r="C18" s="134" t="s">
        <v>43</v>
      </c>
      <c r="D18" s="33">
        <v>968929106.11000001</v>
      </c>
      <c r="E18" s="30">
        <f t="shared" si="0"/>
        <v>2.6118232386240996E-2</v>
      </c>
      <c r="F18" s="33">
        <v>25.624451000000001</v>
      </c>
      <c r="G18" s="33">
        <v>25.767543</v>
      </c>
      <c r="H18" s="32">
        <v>482</v>
      </c>
      <c r="I18" s="50">
        <v>3.8933089870767379E-3</v>
      </c>
      <c r="J18" s="50">
        <v>5.4834237018036358E-2</v>
      </c>
      <c r="K18" s="33">
        <v>948065503.75999999</v>
      </c>
      <c r="L18" s="30">
        <f t="shared" si="1"/>
        <v>2.5895285349612409E-2</v>
      </c>
      <c r="M18" s="33">
        <v>25.359936999999999</v>
      </c>
      <c r="N18" s="33">
        <v>25.501306</v>
      </c>
      <c r="O18" s="32">
        <v>478</v>
      </c>
      <c r="P18" s="50">
        <v>-1.0322718718929869E-2</v>
      </c>
      <c r="Q18" s="50">
        <v>4.3945479894202277E-2</v>
      </c>
      <c r="R18" s="56">
        <f t="shared" si="2"/>
        <v>-2.153264074578376E-2</v>
      </c>
      <c r="S18" s="56">
        <f t="shared" si="3"/>
        <v>-1.0332261791510361E-2</v>
      </c>
      <c r="T18" s="56">
        <f t="shared" si="4"/>
        <v>-8.2987551867219917E-3</v>
      </c>
      <c r="U18" s="57">
        <f t="shared" si="5"/>
        <v>-1.4216027706006606E-2</v>
      </c>
      <c r="V18" s="58">
        <f t="shared" si="6"/>
        <v>-1.0888757123834081E-2</v>
      </c>
    </row>
    <row r="19" spans="1:22">
      <c r="A19" s="140">
        <v>14</v>
      </c>
      <c r="B19" s="133" t="s">
        <v>44</v>
      </c>
      <c r="C19" s="134" t="s">
        <v>45</v>
      </c>
      <c r="D19" s="33">
        <v>139319596.81</v>
      </c>
      <c r="E19" s="30">
        <f t="shared" si="0"/>
        <v>3.7554673324344109E-3</v>
      </c>
      <c r="F19" s="33">
        <v>1.5</v>
      </c>
      <c r="G19" s="33">
        <v>1.56</v>
      </c>
      <c r="H19" s="32">
        <v>23</v>
      </c>
      <c r="I19" s="50">
        <v>1.4999999999999999E-2</v>
      </c>
      <c r="J19" s="50">
        <v>3.7499999999999999E-2</v>
      </c>
      <c r="K19" s="33">
        <v>139086819.19</v>
      </c>
      <c r="L19" s="30">
        <f t="shared" si="1"/>
        <v>3.7989915855083734E-3</v>
      </c>
      <c r="M19" s="33">
        <v>1.494567</v>
      </c>
      <c r="N19" s="33">
        <v>1.5539689999999999</v>
      </c>
      <c r="O19" s="32">
        <v>23</v>
      </c>
      <c r="P19" s="50">
        <v>1.26E-2</v>
      </c>
      <c r="Q19" s="50">
        <v>7.2999999999999995E-2</v>
      </c>
      <c r="R19" s="56">
        <f t="shared" si="2"/>
        <v>-1.6708174968196332E-3</v>
      </c>
      <c r="S19" s="56">
        <f t="shared" si="3"/>
        <v>-3.8660256410257177E-3</v>
      </c>
      <c r="T19" s="56">
        <f t="shared" si="4"/>
        <v>0</v>
      </c>
      <c r="U19" s="57">
        <f t="shared" si="5"/>
        <v>-2.3999999999999994E-3</v>
      </c>
      <c r="V19" s="58">
        <f t="shared" si="6"/>
        <v>3.5499999999999997E-2</v>
      </c>
    </row>
    <row r="20" spans="1:22">
      <c r="A20" s="140">
        <v>15</v>
      </c>
      <c r="B20" s="133" t="s">
        <v>46</v>
      </c>
      <c r="C20" s="134" t="s">
        <v>47</v>
      </c>
      <c r="D20" s="29">
        <v>2526201975.98</v>
      </c>
      <c r="E20" s="30">
        <f t="shared" si="0"/>
        <v>6.80957253189753E-2</v>
      </c>
      <c r="F20" s="33">
        <v>33.1</v>
      </c>
      <c r="G20" s="33">
        <v>33.82</v>
      </c>
      <c r="H20" s="32">
        <v>8944</v>
      </c>
      <c r="I20" s="50">
        <v>2E-3</v>
      </c>
      <c r="J20" s="50">
        <v>6.4000000000000001E-2</v>
      </c>
      <c r="K20" s="29">
        <v>2488646982.48</v>
      </c>
      <c r="L20" s="30">
        <f t="shared" si="1"/>
        <v>6.7974442156356882E-2</v>
      </c>
      <c r="M20" s="33">
        <v>32.65</v>
      </c>
      <c r="N20" s="33">
        <v>33.35</v>
      </c>
      <c r="O20" s="32">
        <v>8944</v>
      </c>
      <c r="P20" s="50">
        <v>-1.34E-2</v>
      </c>
      <c r="Q20" s="50">
        <v>4.9299999999999997E-2</v>
      </c>
      <c r="R20" s="56">
        <f t="shared" si="2"/>
        <v>-1.4866187999647628E-2</v>
      </c>
      <c r="S20" s="56">
        <f t="shared" si="3"/>
        <v>-1.3897102306327583E-2</v>
      </c>
      <c r="T20" s="56">
        <f t="shared" si="4"/>
        <v>0</v>
      </c>
      <c r="U20" s="57">
        <f t="shared" si="5"/>
        <v>-1.54E-2</v>
      </c>
      <c r="V20" s="58">
        <f t="shared" si="6"/>
        <v>-1.4700000000000005E-2</v>
      </c>
    </row>
    <row r="21" spans="1:22" ht="12.75" customHeight="1">
      <c r="A21" s="140">
        <v>16</v>
      </c>
      <c r="B21" s="133" t="s">
        <v>48</v>
      </c>
      <c r="C21" s="134" t="s">
        <v>49</v>
      </c>
      <c r="D21" s="33">
        <v>878794154.62</v>
      </c>
      <c r="E21" s="30">
        <f t="shared" si="0"/>
        <v>2.3688575155084275E-2</v>
      </c>
      <c r="F21" s="33">
        <v>8695.02</v>
      </c>
      <c r="G21" s="33">
        <v>8812.69</v>
      </c>
      <c r="H21" s="32">
        <v>21</v>
      </c>
      <c r="I21" s="50">
        <v>-2.3E-3</v>
      </c>
      <c r="J21" s="50">
        <v>8.6499999999999994E-2</v>
      </c>
      <c r="K21" s="33">
        <v>871065380.59000003</v>
      </c>
      <c r="L21" s="30">
        <f t="shared" si="1"/>
        <v>2.379211826512875E-2</v>
      </c>
      <c r="M21" s="33">
        <v>8618.7800000000007</v>
      </c>
      <c r="N21" s="33">
        <v>8735.02</v>
      </c>
      <c r="O21" s="32">
        <v>21</v>
      </c>
      <c r="P21" s="50">
        <v>-8.8000000000000005E-3</v>
      </c>
      <c r="Q21" s="50">
        <v>7.6899999999999996E-2</v>
      </c>
      <c r="R21" s="56">
        <f t="shared" si="2"/>
        <v>-8.7947490198566191E-3</v>
      </c>
      <c r="S21" s="56">
        <f t="shared" si="3"/>
        <v>-8.8134270012901923E-3</v>
      </c>
      <c r="T21" s="56">
        <f t="shared" si="4"/>
        <v>0</v>
      </c>
      <c r="U21" s="57">
        <f t="shared" si="5"/>
        <v>-6.5000000000000006E-3</v>
      </c>
      <c r="V21" s="58">
        <f t="shared" si="6"/>
        <v>-9.5999999999999974E-3</v>
      </c>
    </row>
    <row r="22" spans="1:22">
      <c r="A22" s="140">
        <v>17</v>
      </c>
      <c r="B22" s="133" t="s">
        <v>50</v>
      </c>
      <c r="C22" s="134" t="s">
        <v>49</v>
      </c>
      <c r="D22" s="33">
        <v>13709397207.049999</v>
      </c>
      <c r="E22" s="30">
        <f t="shared" si="0"/>
        <v>0.36954738986689595</v>
      </c>
      <c r="F22" s="33">
        <v>27157.5</v>
      </c>
      <c r="G22" s="33">
        <v>27561.55</v>
      </c>
      <c r="H22" s="32">
        <v>17638</v>
      </c>
      <c r="I22" s="50">
        <v>-6.0000000000000001E-3</v>
      </c>
      <c r="J22" s="50">
        <v>7.2400000000000006E-2</v>
      </c>
      <c r="K22" s="33">
        <v>13522984319.77</v>
      </c>
      <c r="L22" s="30">
        <f t="shared" si="1"/>
        <v>0.36936428585363429</v>
      </c>
      <c r="M22" s="33">
        <v>26814.87</v>
      </c>
      <c r="N22" s="33">
        <v>27213.79</v>
      </c>
      <c r="O22" s="32">
        <v>17648</v>
      </c>
      <c r="P22" s="50">
        <v>-1.26E-2</v>
      </c>
      <c r="Q22" s="50">
        <v>5.8799999999999998E-2</v>
      </c>
      <c r="R22" s="56">
        <f t="shared" si="2"/>
        <v>-1.3597453226035113E-2</v>
      </c>
      <c r="S22" s="56">
        <f t="shared" si="3"/>
        <v>-1.2617577748711462E-2</v>
      </c>
      <c r="T22" s="56">
        <f t="shared" si="4"/>
        <v>5.669577049552103E-4</v>
      </c>
      <c r="U22" s="57">
        <f t="shared" si="5"/>
        <v>-6.6E-3</v>
      </c>
      <c r="V22" s="58">
        <f t="shared" si="6"/>
        <v>-1.3600000000000008E-2</v>
      </c>
    </row>
    <row r="23" spans="1:22">
      <c r="A23" s="140">
        <v>18</v>
      </c>
      <c r="B23" s="134" t="s">
        <v>51</v>
      </c>
      <c r="C23" s="134" t="s">
        <v>52</v>
      </c>
      <c r="D23" s="33">
        <v>4125598756.6300001</v>
      </c>
      <c r="E23" s="30">
        <f t="shared" ref="E23" si="12">(D23/$D$25)</f>
        <v>0.11120870080025885</v>
      </c>
      <c r="F23" s="33">
        <v>1.6155999999999999</v>
      </c>
      <c r="G23" s="31">
        <v>1.6315</v>
      </c>
      <c r="H23" s="32">
        <v>4782</v>
      </c>
      <c r="I23" s="50">
        <v>-8.3000000000000001E-3</v>
      </c>
      <c r="J23" s="50">
        <v>8.3099999999999993E-2</v>
      </c>
      <c r="K23" s="33">
        <v>4121183379.6199999</v>
      </c>
      <c r="L23" s="30">
        <f t="shared" ref="L23" si="13">(K23/$K$25)</f>
        <v>0.11256523855165559</v>
      </c>
      <c r="M23" s="33">
        <v>1.6146</v>
      </c>
      <c r="N23" s="31">
        <v>1.6304000000000001</v>
      </c>
      <c r="O23" s="32">
        <v>4795</v>
      </c>
      <c r="P23" s="50">
        <v>-5.9999999999999995E-4</v>
      </c>
      <c r="Q23" s="50">
        <v>8.2400000000000001E-2</v>
      </c>
      <c r="R23" s="56">
        <f t="shared" ref="R23" si="14">((K23-D23)/D23)</f>
        <v>-1.0702390781227923E-3</v>
      </c>
      <c r="S23" s="56">
        <f t="shared" ref="S23" si="15">((N23-G23)/G23)</f>
        <v>-6.7422617223406609E-4</v>
      </c>
      <c r="T23" s="56">
        <f t="shared" ref="T23" si="16">((O23-H23)/H23)</f>
        <v>2.7185278126306985E-3</v>
      </c>
      <c r="U23" s="57">
        <f t="shared" ref="U23" si="17">P23-I23</f>
        <v>7.7000000000000002E-3</v>
      </c>
      <c r="V23" s="58">
        <f t="shared" ref="V23" si="18">Q23-J23</f>
        <v>-6.999999999999923E-4</v>
      </c>
    </row>
    <row r="24" spans="1:22">
      <c r="A24" s="140">
        <v>19</v>
      </c>
      <c r="B24" s="134" t="s">
        <v>297</v>
      </c>
      <c r="C24" s="134" t="s">
        <v>298</v>
      </c>
      <c r="D24" s="33">
        <v>2123996644.6199999</v>
      </c>
      <c r="E24" s="30">
        <f>(D24/$D$25)</f>
        <v>5.7253969977740925E-2</v>
      </c>
      <c r="F24" s="33">
        <v>130</v>
      </c>
      <c r="G24" s="31">
        <v>134.62</v>
      </c>
      <c r="H24" s="32">
        <v>34</v>
      </c>
      <c r="I24" s="50">
        <v>3.8E-3</v>
      </c>
      <c r="J24" s="50">
        <v>8.0500000000000002E-2</v>
      </c>
      <c r="K24" s="33">
        <v>2078116009.3800001</v>
      </c>
      <c r="L24" s="30">
        <f>(K24/$K$25)</f>
        <v>5.6761275290652939E-2</v>
      </c>
      <c r="M24" s="33">
        <v>127.19</v>
      </c>
      <c r="N24" s="31">
        <v>131.71</v>
      </c>
      <c r="O24" s="32">
        <v>34</v>
      </c>
      <c r="P24" s="50">
        <v>-2.1600000000000001E-2</v>
      </c>
      <c r="Q24" s="50">
        <v>5.7099999999999998E-2</v>
      </c>
      <c r="R24" s="56">
        <f t="shared" si="2"/>
        <v>-2.1601086497106112E-2</v>
      </c>
      <c r="S24" s="56">
        <f t="shared" si="3"/>
        <v>-2.1616401723369458E-2</v>
      </c>
      <c r="T24" s="56">
        <f t="shared" si="4"/>
        <v>0</v>
      </c>
      <c r="U24" s="57">
        <f t="shared" si="5"/>
        <v>-2.5400000000000002E-2</v>
      </c>
      <c r="V24" s="58">
        <f t="shared" si="6"/>
        <v>-2.3400000000000004E-2</v>
      </c>
    </row>
    <row r="25" spans="1:22">
      <c r="A25" s="36"/>
      <c r="B25" s="37"/>
      <c r="C25" s="38" t="s">
        <v>53</v>
      </c>
      <c r="D25" s="39">
        <f>SUM(D6:D24)</f>
        <v>37097805539.873703</v>
      </c>
      <c r="E25" s="40">
        <f>(D25/$D$219)</f>
        <v>7.5387053267059988E-3</v>
      </c>
      <c r="F25" s="41"/>
      <c r="G25" s="42"/>
      <c r="H25" s="43">
        <f>SUM(H6:H24)</f>
        <v>51737</v>
      </c>
      <c r="I25" s="52"/>
      <c r="J25" s="32">
        <v>0</v>
      </c>
      <c r="K25" s="39">
        <f>SUM(K6:K24)</f>
        <v>36611510201.959999</v>
      </c>
      <c r="L25" s="40">
        <f>(K25/$K$219)</f>
        <v>7.2825307786102611E-3</v>
      </c>
      <c r="M25" s="41"/>
      <c r="N25" s="42"/>
      <c r="O25" s="43">
        <f>SUM(O6:O24)</f>
        <v>51769</v>
      </c>
      <c r="P25" s="52"/>
      <c r="Q25" s="43"/>
      <c r="R25" s="56">
        <f t="shared" si="2"/>
        <v>-1.3108466412953209E-2</v>
      </c>
      <c r="S25" s="56" t="e">
        <f t="shared" si="3"/>
        <v>#DIV/0!</v>
      </c>
      <c r="T25" s="56">
        <f t="shared" si="4"/>
        <v>6.1851286313470053E-4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</row>
    <row r="27" spans="1:22" ht="15" customHeight="1">
      <c r="A27" s="181" t="s">
        <v>54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</row>
    <row r="28" spans="1:22">
      <c r="A28" s="135">
        <v>20</v>
      </c>
      <c r="B28" s="133" t="s">
        <v>55</v>
      </c>
      <c r="C28" s="134" t="s">
        <v>19</v>
      </c>
      <c r="D28" s="44">
        <v>2694355600.27</v>
      </c>
      <c r="E28" s="30">
        <f>(D28/$K$69)</f>
        <v>1.024874157118514E-3</v>
      </c>
      <c r="F28" s="31">
        <v>100</v>
      </c>
      <c r="G28" s="31">
        <v>100</v>
      </c>
      <c r="H28" s="32">
        <v>1166</v>
      </c>
      <c r="I28" s="50">
        <v>0.18540000000000001</v>
      </c>
      <c r="J28" s="50">
        <v>0.18540000000000001</v>
      </c>
      <c r="K28" s="44">
        <v>2955003366.4200001</v>
      </c>
      <c r="L28" s="30">
        <f t="shared" ref="L28:L68" si="19">(K28/$K$69)</f>
        <v>1.1240188875360712E-3</v>
      </c>
      <c r="M28" s="31">
        <v>100</v>
      </c>
      <c r="N28" s="31">
        <v>100</v>
      </c>
      <c r="O28" s="32">
        <v>1166</v>
      </c>
      <c r="P28" s="50">
        <v>0.1772</v>
      </c>
      <c r="Q28" s="50">
        <v>0.1772</v>
      </c>
      <c r="R28" s="56">
        <f>((K28-D28)/D28)</f>
        <v>9.6738443182436906E-2</v>
      </c>
      <c r="S28" s="56">
        <f>((N28-G28)/G28)</f>
        <v>0</v>
      </c>
      <c r="T28" s="56">
        <f>((O28-H28)/H28)</f>
        <v>0</v>
      </c>
      <c r="U28" s="57">
        <f>P28-I28</f>
        <v>-8.2000000000000128E-3</v>
      </c>
      <c r="V28" s="58">
        <f>Q28-J28</f>
        <v>-8.2000000000000128E-3</v>
      </c>
    </row>
    <row r="29" spans="1:22">
      <c r="A29" s="135">
        <v>21</v>
      </c>
      <c r="B29" s="133" t="s">
        <v>56</v>
      </c>
      <c r="C29" s="134" t="s">
        <v>57</v>
      </c>
      <c r="D29" s="44">
        <v>18037359461.02</v>
      </c>
      <c r="E29" s="30">
        <f t="shared" ref="E29:E68" si="20">(D29/$K$69)</f>
        <v>6.8610184833820939E-3</v>
      </c>
      <c r="F29" s="31">
        <v>100</v>
      </c>
      <c r="G29" s="31">
        <v>100</v>
      </c>
      <c r="H29" s="32">
        <v>2561</v>
      </c>
      <c r="I29" s="50">
        <v>0.2040053268</v>
      </c>
      <c r="J29" s="50">
        <v>0.2040053268</v>
      </c>
      <c r="K29" s="44">
        <v>18633097887.98</v>
      </c>
      <c r="L29" s="30">
        <f t="shared" si="19"/>
        <v>7.0876243991463512E-3</v>
      </c>
      <c r="M29" s="31">
        <v>100</v>
      </c>
      <c r="N29" s="31">
        <v>100</v>
      </c>
      <c r="O29" s="32">
        <v>2604</v>
      </c>
      <c r="P29" s="50">
        <v>0.201682</v>
      </c>
      <c r="Q29" s="50">
        <v>0.201682</v>
      </c>
      <c r="R29" s="56">
        <f t="shared" ref="R29:R69" si="21">((K29-D29)/D29)</f>
        <v>3.3028028755951316E-2</v>
      </c>
      <c r="S29" s="56">
        <f t="shared" ref="S29:S69" si="22">((N29-G29)/G29)</f>
        <v>0</v>
      </c>
      <c r="T29" s="56">
        <f t="shared" ref="T29:T69" si="23">((O29-H29)/H29)</f>
        <v>1.679031628270207E-2</v>
      </c>
      <c r="U29" s="57">
        <f t="shared" ref="U29:U69" si="24">P29-I29</f>
        <v>-2.3233267999999974E-3</v>
      </c>
      <c r="V29" s="58">
        <f t="shared" ref="V29:V69" si="25">Q29-J29</f>
        <v>-2.3233267999999974E-3</v>
      </c>
    </row>
    <row r="30" spans="1:22">
      <c r="A30" s="135">
        <v>22</v>
      </c>
      <c r="B30" s="133" t="s">
        <v>58</v>
      </c>
      <c r="C30" s="134" t="s">
        <v>21</v>
      </c>
      <c r="D30" s="44">
        <v>2116905864.48</v>
      </c>
      <c r="E30" s="30">
        <f t="shared" si="20"/>
        <v>8.0522486094291657E-4</v>
      </c>
      <c r="F30" s="31">
        <v>100</v>
      </c>
      <c r="G30" s="31">
        <v>100</v>
      </c>
      <c r="H30" s="32">
        <v>1940</v>
      </c>
      <c r="I30" s="50">
        <v>0.20130000000000001</v>
      </c>
      <c r="J30" s="50">
        <v>0.20130000000000001</v>
      </c>
      <c r="K30" s="44">
        <v>1860589181.51</v>
      </c>
      <c r="L30" s="30">
        <f t="shared" si="19"/>
        <v>7.0772758018755968E-4</v>
      </c>
      <c r="M30" s="31">
        <v>100</v>
      </c>
      <c r="N30" s="31">
        <v>100</v>
      </c>
      <c r="O30" s="32">
        <v>1948</v>
      </c>
      <c r="P30" s="50">
        <v>0.1971</v>
      </c>
      <c r="Q30" s="50">
        <v>0.1971</v>
      </c>
      <c r="R30" s="56">
        <f t="shared" si="21"/>
        <v>-0.12108081293117021</v>
      </c>
      <c r="S30" s="56">
        <f t="shared" si="22"/>
        <v>0</v>
      </c>
      <c r="T30" s="56">
        <f t="shared" si="23"/>
        <v>4.1237113402061857E-3</v>
      </c>
      <c r="U30" s="57">
        <f t="shared" si="24"/>
        <v>-4.2000000000000093E-3</v>
      </c>
      <c r="V30" s="58">
        <f t="shared" si="25"/>
        <v>-4.2000000000000093E-3</v>
      </c>
    </row>
    <row r="31" spans="1:22">
      <c r="A31" s="135">
        <v>23</v>
      </c>
      <c r="B31" s="133" t="s">
        <v>59</v>
      </c>
      <c r="C31" s="134" t="s">
        <v>23</v>
      </c>
      <c r="D31" s="44">
        <v>187961460898.87</v>
      </c>
      <c r="E31" s="30">
        <f t="shared" si="20"/>
        <v>7.1496443821368591E-2</v>
      </c>
      <c r="F31" s="31">
        <v>1</v>
      </c>
      <c r="G31" s="31">
        <v>1</v>
      </c>
      <c r="H31" s="32">
        <v>67974</v>
      </c>
      <c r="I31" s="50">
        <v>0.21740000000000001</v>
      </c>
      <c r="J31" s="50">
        <v>0.21740000000000001</v>
      </c>
      <c r="K31" s="44">
        <v>191138935886.82001</v>
      </c>
      <c r="L31" s="30">
        <f t="shared" si="19"/>
        <v>7.2705086065812524E-2</v>
      </c>
      <c r="M31" s="31">
        <v>1</v>
      </c>
      <c r="N31" s="31">
        <v>1</v>
      </c>
      <c r="O31" s="32">
        <v>68275</v>
      </c>
      <c r="P31" s="50">
        <v>0.2177</v>
      </c>
      <c r="Q31" s="50">
        <v>0.2177</v>
      </c>
      <c r="R31" s="56">
        <f t="shared" si="21"/>
        <v>1.6904928131302448E-2</v>
      </c>
      <c r="S31" s="56">
        <f t="shared" si="22"/>
        <v>0</v>
      </c>
      <c r="T31" s="56">
        <f t="shared" si="23"/>
        <v>4.4281637096536914E-3</v>
      </c>
      <c r="U31" s="57">
        <f t="shared" si="24"/>
        <v>2.9999999999999472E-4</v>
      </c>
      <c r="V31" s="58">
        <f t="shared" si="25"/>
        <v>2.9999999999999472E-4</v>
      </c>
    </row>
    <row r="32" spans="1:22">
      <c r="A32" s="135">
        <v>24</v>
      </c>
      <c r="B32" s="133" t="s">
        <v>306</v>
      </c>
      <c r="C32" s="134" t="s">
        <v>118</v>
      </c>
      <c r="D32" s="44">
        <v>476021398.60000002</v>
      </c>
      <c r="E32" s="30">
        <f t="shared" si="20"/>
        <v>1.8106816695304166E-4</v>
      </c>
      <c r="F32" s="31">
        <v>1</v>
      </c>
      <c r="G32" s="31">
        <v>1</v>
      </c>
      <c r="H32" s="32">
        <v>208</v>
      </c>
      <c r="I32" s="50">
        <v>0.20269999999999999</v>
      </c>
      <c r="J32" s="50">
        <v>0.20269999999999999</v>
      </c>
      <c r="K32" s="44">
        <v>614795532.09000003</v>
      </c>
      <c r="L32" s="30">
        <f t="shared" si="19"/>
        <v>2.3385482327864453E-4</v>
      </c>
      <c r="M32" s="31">
        <v>1</v>
      </c>
      <c r="N32" s="31">
        <v>1</v>
      </c>
      <c r="O32" s="32">
        <v>233</v>
      </c>
      <c r="P32" s="50">
        <v>0.15709999999999999</v>
      </c>
      <c r="Q32" s="50">
        <v>0.15709999999999999</v>
      </c>
      <c r="R32" s="56">
        <f t="shared" si="21"/>
        <v>0.29152919154084433</v>
      </c>
      <c r="S32" s="56">
        <f t="shared" si="22"/>
        <v>0</v>
      </c>
      <c r="T32" s="56">
        <f t="shared" si="23"/>
        <v>0.1201923076923077</v>
      </c>
      <c r="U32" s="57">
        <f t="shared" si="24"/>
        <v>-4.5600000000000002E-2</v>
      </c>
      <c r="V32" s="58">
        <f t="shared" si="25"/>
        <v>-4.5600000000000002E-2</v>
      </c>
    </row>
    <row r="33" spans="1:22">
      <c r="A33" s="135">
        <v>25</v>
      </c>
      <c r="B33" s="133" t="s">
        <v>60</v>
      </c>
      <c r="C33" s="134" t="s">
        <v>25</v>
      </c>
      <c r="D33" s="44">
        <v>107281211194.46001</v>
      </c>
      <c r="E33" s="30">
        <f t="shared" si="20"/>
        <v>4.0807434952742493E-2</v>
      </c>
      <c r="F33" s="31">
        <v>1</v>
      </c>
      <c r="G33" s="31">
        <v>1</v>
      </c>
      <c r="H33" s="32">
        <v>32667</v>
      </c>
      <c r="I33" s="50">
        <v>0.2039</v>
      </c>
      <c r="J33" s="50">
        <v>0.2039</v>
      </c>
      <c r="K33" s="44">
        <v>109008160197.3</v>
      </c>
      <c r="L33" s="30">
        <f t="shared" si="19"/>
        <v>4.1464328721142973E-2</v>
      </c>
      <c r="M33" s="31">
        <v>1</v>
      </c>
      <c r="N33" s="31">
        <v>1</v>
      </c>
      <c r="O33" s="32">
        <v>32825</v>
      </c>
      <c r="P33" s="50">
        <v>0.1973</v>
      </c>
      <c r="Q33" s="50">
        <v>0.1973</v>
      </c>
      <c r="R33" s="56">
        <f t="shared" si="21"/>
        <v>1.609740404318977E-2</v>
      </c>
      <c r="S33" s="56">
        <f t="shared" si="22"/>
        <v>0</v>
      </c>
      <c r="T33" s="56">
        <f t="shared" si="23"/>
        <v>4.8366853399455104E-3</v>
      </c>
      <c r="U33" s="57">
        <f t="shared" si="24"/>
        <v>-6.5999999999999948E-3</v>
      </c>
      <c r="V33" s="58">
        <f t="shared" si="25"/>
        <v>-6.5999999999999948E-3</v>
      </c>
    </row>
    <row r="34" spans="1:22">
      <c r="A34" s="135">
        <v>26</v>
      </c>
      <c r="B34" s="133" t="s">
        <v>291</v>
      </c>
      <c r="C34" s="134" t="s">
        <v>27</v>
      </c>
      <c r="D34" s="33">
        <v>4699754151.4799995</v>
      </c>
      <c r="E34" s="30">
        <f t="shared" ref="E34" si="26">(D34/$D$25)</f>
        <v>0.12668550290470901</v>
      </c>
      <c r="F34" s="33">
        <v>1</v>
      </c>
      <c r="G34" s="33">
        <v>1</v>
      </c>
      <c r="H34" s="32">
        <v>629</v>
      </c>
      <c r="I34" s="50">
        <v>0.2084</v>
      </c>
      <c r="J34" s="50">
        <v>0.2084</v>
      </c>
      <c r="K34" s="33">
        <v>4693943363.3599997</v>
      </c>
      <c r="L34" s="30">
        <f t="shared" ref="L34" si="27">(K34/$K$25)</f>
        <v>0.12820949852838109</v>
      </c>
      <c r="M34" s="33">
        <v>1</v>
      </c>
      <c r="N34" s="33">
        <v>1</v>
      </c>
      <c r="O34" s="32">
        <v>699</v>
      </c>
      <c r="P34" s="50">
        <v>0.21160000000000001</v>
      </c>
      <c r="Q34" s="50">
        <v>0.21160000000000001</v>
      </c>
      <c r="R34" s="56">
        <f t="shared" si="21"/>
        <v>-1.2364025718600642E-3</v>
      </c>
      <c r="S34" s="56">
        <f t="shared" si="22"/>
        <v>0</v>
      </c>
      <c r="T34" s="56">
        <f t="shared" si="23"/>
        <v>0.11128775834658187</v>
      </c>
      <c r="U34" s="57">
        <f t="shared" si="24"/>
        <v>3.2000000000000084E-3</v>
      </c>
      <c r="V34" s="58">
        <f t="shared" si="25"/>
        <v>3.2000000000000084E-3</v>
      </c>
    </row>
    <row r="35" spans="1:22" ht="15" customHeight="1">
      <c r="A35" s="135">
        <v>27</v>
      </c>
      <c r="B35" s="133" t="s">
        <v>61</v>
      </c>
      <c r="C35" s="134" t="s">
        <v>47</v>
      </c>
      <c r="D35" s="44">
        <v>20416071054</v>
      </c>
      <c r="E35" s="30">
        <f t="shared" si="20"/>
        <v>7.7658285383871255E-3</v>
      </c>
      <c r="F35" s="31">
        <v>100</v>
      </c>
      <c r="G35" s="31">
        <v>100</v>
      </c>
      <c r="H35" s="32">
        <v>2083</v>
      </c>
      <c r="I35" s="50">
        <v>0.21590000000000001</v>
      </c>
      <c r="J35" s="50">
        <v>0.21590000000000001</v>
      </c>
      <c r="K35" s="44">
        <v>21092770861</v>
      </c>
      <c r="L35" s="30">
        <f t="shared" si="19"/>
        <v>8.0232303988735029E-3</v>
      </c>
      <c r="M35" s="31">
        <v>100</v>
      </c>
      <c r="N35" s="31">
        <v>100</v>
      </c>
      <c r="O35" s="32">
        <v>2083</v>
      </c>
      <c r="P35" s="50">
        <v>0.22170000000000001</v>
      </c>
      <c r="Q35" s="50">
        <v>0.22170000000000001</v>
      </c>
      <c r="R35" s="56">
        <f t="shared" si="21"/>
        <v>3.3145447290526459E-2</v>
      </c>
      <c r="S35" s="56">
        <f t="shared" si="22"/>
        <v>0</v>
      </c>
      <c r="T35" s="56">
        <f t="shared" si="23"/>
        <v>0</v>
      </c>
      <c r="U35" s="57">
        <f t="shared" si="24"/>
        <v>5.7999999999999996E-3</v>
      </c>
      <c r="V35" s="58">
        <f t="shared" si="25"/>
        <v>5.7999999999999996E-3</v>
      </c>
    </row>
    <row r="36" spans="1:22" ht="15" customHeight="1">
      <c r="A36" s="135">
        <v>28</v>
      </c>
      <c r="B36" s="133" t="s">
        <v>62</v>
      </c>
      <c r="C36" s="134" t="s">
        <v>63</v>
      </c>
      <c r="D36" s="44">
        <v>760520390.21000004</v>
      </c>
      <c r="E36" s="30">
        <f t="shared" si="20"/>
        <v>2.8928538378891413E-4</v>
      </c>
      <c r="F36" s="31">
        <v>1</v>
      </c>
      <c r="G36" s="31">
        <v>1</v>
      </c>
      <c r="H36" s="32">
        <v>391</v>
      </c>
      <c r="I36" s="50">
        <v>0.20799999999999999</v>
      </c>
      <c r="J36" s="50">
        <v>0.20799999999999999</v>
      </c>
      <c r="K36" s="44">
        <v>771771355.77999997</v>
      </c>
      <c r="L36" s="30">
        <f t="shared" si="19"/>
        <v>2.9356500591977452E-4</v>
      </c>
      <c r="M36" s="31">
        <v>1</v>
      </c>
      <c r="N36" s="31">
        <v>1</v>
      </c>
      <c r="O36" s="32">
        <v>398</v>
      </c>
      <c r="P36" s="50">
        <v>0.20799999999999999</v>
      </c>
      <c r="Q36" s="50">
        <v>0.20799999999999999</v>
      </c>
      <c r="R36" s="56">
        <f t="shared" si="21"/>
        <v>1.4793772415350022E-2</v>
      </c>
      <c r="S36" s="56">
        <f t="shared" si="22"/>
        <v>0</v>
      </c>
      <c r="T36" s="56">
        <f t="shared" si="23"/>
        <v>1.7902813299232736E-2</v>
      </c>
      <c r="U36" s="57">
        <f t="shared" si="24"/>
        <v>0</v>
      </c>
      <c r="V36" s="58">
        <f t="shared" si="25"/>
        <v>0</v>
      </c>
    </row>
    <row r="37" spans="1:22">
      <c r="A37" s="135">
        <v>29</v>
      </c>
      <c r="B37" s="133" t="s">
        <v>64</v>
      </c>
      <c r="C37" s="134" t="s">
        <v>65</v>
      </c>
      <c r="D37" s="44">
        <v>50089857914.160004</v>
      </c>
      <c r="E37" s="30">
        <f t="shared" si="20"/>
        <v>1.9053090432761186E-2</v>
      </c>
      <c r="F37" s="31">
        <v>100</v>
      </c>
      <c r="G37" s="31">
        <v>100</v>
      </c>
      <c r="H37" s="32">
        <v>3963</v>
      </c>
      <c r="I37" s="50">
        <v>0.21198092887987699</v>
      </c>
      <c r="J37" s="50">
        <v>0.21198092887987699</v>
      </c>
      <c r="K37" s="44">
        <v>52125031762.330002</v>
      </c>
      <c r="L37" s="30">
        <f t="shared" si="19"/>
        <v>1.9827226215737959E-2</v>
      </c>
      <c r="M37" s="31">
        <v>100</v>
      </c>
      <c r="N37" s="31">
        <v>100</v>
      </c>
      <c r="O37" s="32">
        <v>4013</v>
      </c>
      <c r="P37" s="50">
        <v>0.207114506678613</v>
      </c>
      <c r="Q37" s="50">
        <v>0.207114506678613</v>
      </c>
      <c r="R37" s="56">
        <f t="shared" si="21"/>
        <v>4.0630457599973961E-2</v>
      </c>
      <c r="S37" s="56">
        <f t="shared" si="22"/>
        <v>0</v>
      </c>
      <c r="T37" s="56">
        <f t="shared" si="23"/>
        <v>1.2616704516780217E-2</v>
      </c>
      <c r="U37" s="57">
        <f t="shared" si="24"/>
        <v>-4.8664222012639868E-3</v>
      </c>
      <c r="V37" s="58">
        <f t="shared" si="25"/>
        <v>-4.8664222012639868E-3</v>
      </c>
    </row>
    <row r="38" spans="1:22">
      <c r="A38" s="135">
        <v>30</v>
      </c>
      <c r="B38" s="133" t="s">
        <v>66</v>
      </c>
      <c r="C38" s="134" t="s">
        <v>67</v>
      </c>
      <c r="D38" s="44">
        <v>21176534904.150002</v>
      </c>
      <c r="E38" s="30">
        <f t="shared" si="20"/>
        <v>8.0550924155692923E-3</v>
      </c>
      <c r="F38" s="31">
        <v>100</v>
      </c>
      <c r="G38" s="31">
        <v>100</v>
      </c>
      <c r="H38" s="32">
        <v>6807</v>
      </c>
      <c r="I38" s="50">
        <v>0.20799999999999999</v>
      </c>
      <c r="J38" s="50">
        <v>0.20799999999999999</v>
      </c>
      <c r="K38" s="44">
        <v>21305955071.209999</v>
      </c>
      <c r="L38" s="30">
        <f t="shared" si="19"/>
        <v>8.1043210268990137E-3</v>
      </c>
      <c r="M38" s="31">
        <v>100</v>
      </c>
      <c r="N38" s="31">
        <v>100</v>
      </c>
      <c r="O38" s="32">
        <v>6832</v>
      </c>
      <c r="P38" s="50">
        <v>0.20680000000000001</v>
      </c>
      <c r="Q38" s="50">
        <v>0.20680000000000001</v>
      </c>
      <c r="R38" s="56">
        <f t="shared" si="21"/>
        <v>6.1114893274930859E-3</v>
      </c>
      <c r="S38" s="56">
        <f t="shared" si="22"/>
        <v>0</v>
      </c>
      <c r="T38" s="56">
        <f t="shared" si="23"/>
        <v>3.672689878066696E-3</v>
      </c>
      <c r="U38" s="57">
        <f t="shared" si="24"/>
        <v>-1.1999999999999789E-3</v>
      </c>
      <c r="V38" s="58">
        <f t="shared" si="25"/>
        <v>-1.1999999999999789E-3</v>
      </c>
    </row>
    <row r="39" spans="1:22">
      <c r="A39" s="135">
        <v>31</v>
      </c>
      <c r="B39" s="133" t="s">
        <v>68</v>
      </c>
      <c r="C39" s="134" t="s">
        <v>69</v>
      </c>
      <c r="D39" s="44">
        <v>44514190.369999997</v>
      </c>
      <c r="E39" s="30">
        <f t="shared" si="20"/>
        <v>1.6932227999412962E-5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1.6932227999412962E-5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5">
        <v>32</v>
      </c>
      <c r="B40" s="133" t="s">
        <v>70</v>
      </c>
      <c r="C40" s="134" t="s">
        <v>301</v>
      </c>
      <c r="D40" s="44">
        <v>20366673915.220001</v>
      </c>
      <c r="E40" s="30">
        <f t="shared" si="20"/>
        <v>7.7470389432178228E-3</v>
      </c>
      <c r="F40" s="31">
        <v>1</v>
      </c>
      <c r="G40" s="31">
        <v>1</v>
      </c>
      <c r="H40" s="32">
        <v>5341</v>
      </c>
      <c r="I40" s="50">
        <v>0.1981</v>
      </c>
      <c r="J40" s="50">
        <v>0.1981</v>
      </c>
      <c r="K40" s="44">
        <v>21624186288.540001</v>
      </c>
      <c r="L40" s="30">
        <f t="shared" si="19"/>
        <v>8.2253692473333185E-3</v>
      </c>
      <c r="M40" s="31">
        <v>1</v>
      </c>
      <c r="N40" s="31">
        <v>1</v>
      </c>
      <c r="O40" s="32">
        <v>5484</v>
      </c>
      <c r="P40" s="50">
        <v>0.1993</v>
      </c>
      <c r="Q40" s="50">
        <v>0.1993</v>
      </c>
      <c r="R40" s="56">
        <f t="shared" si="21"/>
        <v>6.1743629743109971E-2</v>
      </c>
      <c r="S40" s="56">
        <f t="shared" si="22"/>
        <v>0</v>
      </c>
      <c r="T40" s="56">
        <f t="shared" si="23"/>
        <v>2.6774012357236473E-2</v>
      </c>
      <c r="U40" s="57">
        <f t="shared" si="24"/>
        <v>1.2000000000000066E-3</v>
      </c>
      <c r="V40" s="58">
        <f t="shared" si="25"/>
        <v>1.2000000000000066E-3</v>
      </c>
    </row>
    <row r="41" spans="1:22">
      <c r="A41" s="135">
        <v>33</v>
      </c>
      <c r="B41" s="133" t="s">
        <v>71</v>
      </c>
      <c r="C41" s="134" t="s">
        <v>72</v>
      </c>
      <c r="D41" s="44">
        <v>43655968794.07</v>
      </c>
      <c r="E41" s="30">
        <f t="shared" si="20"/>
        <v>1.6605779213601603E-2</v>
      </c>
      <c r="F41" s="45">
        <v>100</v>
      </c>
      <c r="G41" s="45">
        <v>100</v>
      </c>
      <c r="H41" s="32">
        <v>3385</v>
      </c>
      <c r="I41" s="50">
        <v>0.21</v>
      </c>
      <c r="J41" s="50">
        <v>0.21</v>
      </c>
      <c r="K41" s="44">
        <v>46032802028.540001</v>
      </c>
      <c r="L41" s="30">
        <f t="shared" si="19"/>
        <v>1.7509874781961105E-2</v>
      </c>
      <c r="M41" s="45">
        <v>100</v>
      </c>
      <c r="N41" s="45">
        <v>100</v>
      </c>
      <c r="O41" s="32">
        <v>3385</v>
      </c>
      <c r="P41" s="50">
        <v>0.2024</v>
      </c>
      <c r="Q41" s="50">
        <v>0.2024</v>
      </c>
      <c r="R41" s="56">
        <f t="shared" si="21"/>
        <v>5.4444633806703148E-2</v>
      </c>
      <c r="S41" s="56">
        <f t="shared" si="22"/>
        <v>0</v>
      </c>
      <c r="T41" s="56">
        <f t="shared" si="23"/>
        <v>0</v>
      </c>
      <c r="U41" s="57">
        <f t="shared" si="24"/>
        <v>-7.5999999999999956E-3</v>
      </c>
      <c r="V41" s="58">
        <f t="shared" si="25"/>
        <v>-7.5999999999999956E-3</v>
      </c>
    </row>
    <row r="42" spans="1:22">
      <c r="A42" s="135">
        <v>34</v>
      </c>
      <c r="B42" s="133" t="s">
        <v>73</v>
      </c>
      <c r="C42" s="134" t="s">
        <v>72</v>
      </c>
      <c r="D42" s="44">
        <v>5628612875.0100002</v>
      </c>
      <c r="E42" s="30">
        <f t="shared" si="20"/>
        <v>2.1410016834616111E-3</v>
      </c>
      <c r="F42" s="45">
        <v>1000000</v>
      </c>
      <c r="G42" s="45">
        <v>1000000</v>
      </c>
      <c r="H42" s="32">
        <v>19</v>
      </c>
      <c r="I42" s="50">
        <v>0.22109999999999999</v>
      </c>
      <c r="J42" s="50">
        <v>0.22109999999999999</v>
      </c>
      <c r="K42" s="44">
        <v>5693254527.7299995</v>
      </c>
      <c r="L42" s="30">
        <f t="shared" si="19"/>
        <v>2.1655899595375374E-3</v>
      </c>
      <c r="M42" s="45">
        <v>1000000</v>
      </c>
      <c r="N42" s="45">
        <v>1000000</v>
      </c>
      <c r="O42" s="32">
        <v>19</v>
      </c>
      <c r="P42" s="50">
        <v>0.21360000000000001</v>
      </c>
      <c r="Q42" s="50">
        <v>0.21360000000000001</v>
      </c>
      <c r="R42" s="56">
        <f t="shared" si="21"/>
        <v>1.1484473023006484E-2</v>
      </c>
      <c r="S42" s="56">
        <f t="shared" si="22"/>
        <v>0</v>
      </c>
      <c r="T42" s="56">
        <f t="shared" si="23"/>
        <v>0</v>
      </c>
      <c r="U42" s="57">
        <f t="shared" si="24"/>
        <v>-7.4999999999999789E-3</v>
      </c>
      <c r="V42" s="58">
        <f t="shared" si="25"/>
        <v>-7.4999999999999789E-3</v>
      </c>
    </row>
    <row r="43" spans="1:22">
      <c r="A43" s="135">
        <v>35</v>
      </c>
      <c r="B43" s="133" t="s">
        <v>74</v>
      </c>
      <c r="C43" s="134" t="s">
        <v>75</v>
      </c>
      <c r="D43" s="44">
        <v>3994108801.23</v>
      </c>
      <c r="E43" s="30">
        <f t="shared" si="20"/>
        <v>1.5192719515902174E-3</v>
      </c>
      <c r="F43" s="31">
        <v>1</v>
      </c>
      <c r="G43" s="31">
        <v>1</v>
      </c>
      <c r="H43" s="32">
        <v>874</v>
      </c>
      <c r="I43" s="50">
        <v>0.224</v>
      </c>
      <c r="J43" s="50">
        <v>0.224</v>
      </c>
      <c r="K43" s="44">
        <v>4207566133.6500001</v>
      </c>
      <c r="L43" s="30">
        <f t="shared" si="19"/>
        <v>1.6004664693527546E-3</v>
      </c>
      <c r="M43" s="31">
        <v>1</v>
      </c>
      <c r="N43" s="31">
        <v>1</v>
      </c>
      <c r="O43" s="32">
        <v>885</v>
      </c>
      <c r="P43" s="50">
        <v>0.21590000000000001</v>
      </c>
      <c r="Q43" s="50">
        <v>0.21590000000000001</v>
      </c>
      <c r="R43" s="56">
        <f t="shared" si="21"/>
        <v>5.3443044003775045E-2</v>
      </c>
      <c r="S43" s="56">
        <f t="shared" si="22"/>
        <v>0</v>
      </c>
      <c r="T43" s="56">
        <f t="shared" si="23"/>
        <v>1.2585812356979404E-2</v>
      </c>
      <c r="U43" s="57">
        <f t="shared" si="24"/>
        <v>-8.0999999999999961E-3</v>
      </c>
      <c r="V43" s="58">
        <f t="shared" si="25"/>
        <v>-8.0999999999999961E-3</v>
      </c>
    </row>
    <row r="44" spans="1:22">
      <c r="A44" s="135">
        <v>36</v>
      </c>
      <c r="B44" s="133" t="s">
        <v>76</v>
      </c>
      <c r="C44" s="134" t="s">
        <v>31</v>
      </c>
      <c r="D44" s="44">
        <v>473376060225.76001</v>
      </c>
      <c r="E44" s="30">
        <f t="shared" si="20"/>
        <v>0.1800619378805611</v>
      </c>
      <c r="F44" s="31">
        <v>100</v>
      </c>
      <c r="G44" s="31">
        <v>100</v>
      </c>
      <c r="H44" s="32">
        <v>15319</v>
      </c>
      <c r="I44" s="50">
        <v>0.2077</v>
      </c>
      <c r="J44" s="50">
        <v>0.2077</v>
      </c>
      <c r="K44" s="44">
        <v>486341733862.88</v>
      </c>
      <c r="L44" s="30">
        <f t="shared" si="19"/>
        <v>0.1849937975946187</v>
      </c>
      <c r="M44" s="31">
        <v>100</v>
      </c>
      <c r="N44" s="31">
        <v>100</v>
      </c>
      <c r="O44" s="32">
        <v>15512</v>
      </c>
      <c r="P44" s="50">
        <v>0.20810000000000001</v>
      </c>
      <c r="Q44" s="50">
        <v>0.20810000000000001</v>
      </c>
      <c r="R44" s="56">
        <f t="shared" si="21"/>
        <v>2.7389795823085084E-2</v>
      </c>
      <c r="S44" s="56">
        <f t="shared" si="22"/>
        <v>0</v>
      </c>
      <c r="T44" s="56">
        <f t="shared" si="23"/>
        <v>1.2598733598798878E-2</v>
      </c>
      <c r="U44" s="57">
        <f t="shared" si="24"/>
        <v>4.0000000000001146E-4</v>
      </c>
      <c r="V44" s="58">
        <f t="shared" si="25"/>
        <v>4.0000000000001146E-4</v>
      </c>
    </row>
    <row r="45" spans="1:22">
      <c r="A45" s="135">
        <v>37</v>
      </c>
      <c r="B45" s="133" t="s">
        <v>77</v>
      </c>
      <c r="C45" s="134" t="s">
        <v>78</v>
      </c>
      <c r="D45" s="44">
        <v>1700804375.48</v>
      </c>
      <c r="E45" s="30">
        <f t="shared" si="20"/>
        <v>6.4694892187537134E-4</v>
      </c>
      <c r="F45" s="31">
        <v>1</v>
      </c>
      <c r="G45" s="31">
        <v>1</v>
      </c>
      <c r="H45" s="46">
        <v>1132</v>
      </c>
      <c r="I45" s="53">
        <v>0.20399999999999999</v>
      </c>
      <c r="J45" s="53">
        <v>0.20399999999999999</v>
      </c>
      <c r="K45" s="44">
        <v>1772824734.8099999</v>
      </c>
      <c r="L45" s="30">
        <f t="shared" si="19"/>
        <v>6.743438971549186E-4</v>
      </c>
      <c r="M45" s="31">
        <v>1</v>
      </c>
      <c r="N45" s="31">
        <v>1</v>
      </c>
      <c r="O45" s="46">
        <v>1151</v>
      </c>
      <c r="P45" s="53">
        <v>0.20019999999999999</v>
      </c>
      <c r="Q45" s="53">
        <v>0.20019999999999999</v>
      </c>
      <c r="R45" s="56">
        <f t="shared" si="21"/>
        <v>4.2344881262240626E-2</v>
      </c>
      <c r="S45" s="56">
        <f t="shared" si="22"/>
        <v>0</v>
      </c>
      <c r="T45" s="56">
        <f t="shared" si="23"/>
        <v>1.6784452296819789E-2</v>
      </c>
      <c r="U45" s="57">
        <f t="shared" si="24"/>
        <v>-3.7999999999999978E-3</v>
      </c>
      <c r="V45" s="58">
        <f t="shared" si="25"/>
        <v>-3.7999999999999978E-3</v>
      </c>
    </row>
    <row r="46" spans="1:22">
      <c r="A46" s="135">
        <v>38</v>
      </c>
      <c r="B46" s="133" t="s">
        <v>303</v>
      </c>
      <c r="C46" s="134" t="s">
        <v>304</v>
      </c>
      <c r="D46" s="44">
        <v>935061488.21000004</v>
      </c>
      <c r="E46" s="30">
        <f t="shared" si="20"/>
        <v>3.5567701400927713E-4</v>
      </c>
      <c r="F46" s="31">
        <v>1</v>
      </c>
      <c r="G46" s="31">
        <v>1</v>
      </c>
      <c r="H46" s="46">
        <v>153</v>
      </c>
      <c r="I46" s="53">
        <v>0.2112</v>
      </c>
      <c r="J46" s="53">
        <v>0.2112</v>
      </c>
      <c r="K46" s="44">
        <v>972026811.21000004</v>
      </c>
      <c r="L46" s="30">
        <f t="shared" si="19"/>
        <v>3.6973781735997151E-4</v>
      </c>
      <c r="M46" s="31">
        <v>1</v>
      </c>
      <c r="N46" s="31">
        <v>1</v>
      </c>
      <c r="O46" s="46">
        <v>155</v>
      </c>
      <c r="P46" s="53">
        <v>0.19739999999999999</v>
      </c>
      <c r="Q46" s="53">
        <v>0.19739999999999999</v>
      </c>
      <c r="R46" s="56">
        <f t="shared" si="21"/>
        <v>3.9532505044949699E-2</v>
      </c>
      <c r="S46" s="56">
        <f t="shared" si="22"/>
        <v>0</v>
      </c>
      <c r="T46" s="56">
        <f t="shared" si="23"/>
        <v>1.3071895424836602E-2</v>
      </c>
      <c r="U46" s="57">
        <f t="shared" si="24"/>
        <v>-1.3800000000000007E-2</v>
      </c>
      <c r="V46" s="58">
        <f t="shared" si="25"/>
        <v>-1.3800000000000007E-2</v>
      </c>
    </row>
    <row r="47" spans="1:22">
      <c r="A47" s="135">
        <v>39</v>
      </c>
      <c r="B47" s="133" t="s">
        <v>79</v>
      </c>
      <c r="C47" s="134" t="s">
        <v>80</v>
      </c>
      <c r="D47" s="44">
        <v>946388562.69000006</v>
      </c>
      <c r="E47" s="30">
        <f t="shared" si="20"/>
        <v>3.5998558631099753E-4</v>
      </c>
      <c r="F47" s="31">
        <v>10</v>
      </c>
      <c r="G47" s="31">
        <v>10</v>
      </c>
      <c r="H47" s="32">
        <v>442</v>
      </c>
      <c r="I47" s="50">
        <v>0.17499999999999999</v>
      </c>
      <c r="J47" s="50">
        <v>0.17499999999999999</v>
      </c>
      <c r="K47" s="44">
        <v>994858033.25999999</v>
      </c>
      <c r="L47" s="30">
        <f t="shared" si="19"/>
        <v>3.784223167082144E-4</v>
      </c>
      <c r="M47" s="31">
        <v>10</v>
      </c>
      <c r="N47" s="31">
        <v>10</v>
      </c>
      <c r="O47" s="32">
        <v>448</v>
      </c>
      <c r="P47" s="50">
        <v>0.19500000000000001</v>
      </c>
      <c r="Q47" s="50">
        <v>0.19500000000000001</v>
      </c>
      <c r="R47" s="56">
        <f t="shared" si="21"/>
        <v>5.1215190547348827E-2</v>
      </c>
      <c r="S47" s="56">
        <f t="shared" si="22"/>
        <v>0</v>
      </c>
      <c r="T47" s="56">
        <f t="shared" si="23"/>
        <v>1.3574660633484163E-2</v>
      </c>
      <c r="U47" s="57">
        <f t="shared" si="24"/>
        <v>2.0000000000000018E-2</v>
      </c>
      <c r="V47" s="58">
        <f t="shared" si="25"/>
        <v>2.0000000000000018E-2</v>
      </c>
    </row>
    <row r="48" spans="1:22">
      <c r="A48" s="135">
        <v>40</v>
      </c>
      <c r="B48" s="133" t="s">
        <v>81</v>
      </c>
      <c r="C48" s="134" t="s">
        <v>82</v>
      </c>
      <c r="D48" s="44">
        <v>6803463779.1400003</v>
      </c>
      <c r="E48" s="30">
        <f t="shared" si="20"/>
        <v>2.5878893659892991E-3</v>
      </c>
      <c r="F48" s="31">
        <v>100</v>
      </c>
      <c r="G48" s="31">
        <v>100</v>
      </c>
      <c r="H48" s="32">
        <v>879</v>
      </c>
      <c r="I48" s="50">
        <v>0.18709999999999999</v>
      </c>
      <c r="J48" s="50">
        <v>0.18709999999999999</v>
      </c>
      <c r="K48" s="44">
        <v>6491032037.7600002</v>
      </c>
      <c r="L48" s="30">
        <f t="shared" si="19"/>
        <v>2.4690471398288731E-3</v>
      </c>
      <c r="M48" s="31">
        <v>100</v>
      </c>
      <c r="N48" s="31">
        <v>100</v>
      </c>
      <c r="O48" s="32">
        <v>879</v>
      </c>
      <c r="P48" s="50">
        <v>0.20569999999999999</v>
      </c>
      <c r="Q48" s="50">
        <v>0.20569999999999999</v>
      </c>
      <c r="R48" s="56">
        <f t="shared" si="21"/>
        <v>-4.5922452374618714E-2</v>
      </c>
      <c r="S48" s="56">
        <f t="shared" si="22"/>
        <v>0</v>
      </c>
      <c r="T48" s="56">
        <f t="shared" si="23"/>
        <v>0</v>
      </c>
      <c r="U48" s="57">
        <f t="shared" si="24"/>
        <v>1.8600000000000005E-2</v>
      </c>
      <c r="V48" s="58">
        <f t="shared" si="25"/>
        <v>1.8600000000000005E-2</v>
      </c>
    </row>
    <row r="49" spans="1:22">
      <c r="A49" s="135">
        <v>41</v>
      </c>
      <c r="B49" s="133" t="s">
        <v>83</v>
      </c>
      <c r="C49" s="133" t="s">
        <v>84</v>
      </c>
      <c r="D49" s="136">
        <v>95749921.310503632</v>
      </c>
      <c r="E49" s="30">
        <f>(D49/$D$187)</f>
        <v>1.6749023124308033E-3</v>
      </c>
      <c r="F49" s="33">
        <v>1</v>
      </c>
      <c r="G49" s="33">
        <v>1</v>
      </c>
      <c r="H49" s="32">
        <v>71</v>
      </c>
      <c r="I49" s="50">
        <v>0.16450000000000001</v>
      </c>
      <c r="J49" s="50">
        <v>0.16450000000000001</v>
      </c>
      <c r="K49" s="136">
        <v>96394551.376918778</v>
      </c>
      <c r="L49" s="54">
        <f>(K49/$K$187)</f>
        <v>1.6874239329178755E-3</v>
      </c>
      <c r="M49" s="33">
        <v>1</v>
      </c>
      <c r="N49" s="33">
        <v>1</v>
      </c>
      <c r="O49" s="32">
        <v>77</v>
      </c>
      <c r="P49" s="50">
        <v>0.16226560684282518</v>
      </c>
      <c r="Q49" s="50">
        <v>0.16226560684282518</v>
      </c>
      <c r="R49" s="57">
        <f t="shared" si="21"/>
        <v>6.7324344249297154E-3</v>
      </c>
      <c r="S49" s="57">
        <f t="shared" si="22"/>
        <v>0</v>
      </c>
      <c r="T49" s="57">
        <f t="shared" si="23"/>
        <v>8.4507042253521125E-2</v>
      </c>
      <c r="U49" s="57">
        <f t="shared" si="24"/>
        <v>-2.2343931571748299E-3</v>
      </c>
      <c r="V49" s="58">
        <f t="shared" si="25"/>
        <v>-2.2343931571748299E-3</v>
      </c>
    </row>
    <row r="50" spans="1:22">
      <c r="A50" s="135">
        <v>42</v>
      </c>
      <c r="B50" s="133" t="s">
        <v>290</v>
      </c>
      <c r="C50" s="134" t="s">
        <v>37</v>
      </c>
      <c r="D50" s="44">
        <v>356419569.95999998</v>
      </c>
      <c r="E50" s="30">
        <f t="shared" ref="E50" si="28">(D50/$K$69)</f>
        <v>1.3557423760497431E-4</v>
      </c>
      <c r="F50" s="31">
        <v>100</v>
      </c>
      <c r="G50" s="31">
        <v>100</v>
      </c>
      <c r="H50" s="32">
        <v>1756</v>
      </c>
      <c r="I50" s="50">
        <v>0.12939999999999999</v>
      </c>
      <c r="J50" s="50">
        <v>0.12939999999999999</v>
      </c>
      <c r="K50" s="44">
        <v>355369969.02999997</v>
      </c>
      <c r="L50" s="30">
        <f t="shared" ref="L50" si="29">(K50/$K$69)</f>
        <v>1.3517499228325925E-4</v>
      </c>
      <c r="M50" s="31">
        <v>100</v>
      </c>
      <c r="N50" s="31">
        <v>100</v>
      </c>
      <c r="O50" s="32">
        <v>1772</v>
      </c>
      <c r="P50" s="50">
        <v>0.19403715999999999</v>
      </c>
      <c r="Q50" s="50">
        <v>0.19403715999999999</v>
      </c>
      <c r="R50" s="56">
        <f t="shared" ref="R50" si="30">((K50-D50)/D50)</f>
        <v>-2.9448465192800752E-3</v>
      </c>
      <c r="S50" s="56">
        <f t="shared" ref="S50" si="31">((N50-G50)/G50)</f>
        <v>0</v>
      </c>
      <c r="T50" s="56">
        <f t="shared" ref="T50" si="32">((O50-H50)/H50)</f>
        <v>9.1116173120728925E-3</v>
      </c>
      <c r="U50" s="57">
        <f t="shared" ref="U50" si="33">P50-I50</f>
        <v>6.4637159999999999E-2</v>
      </c>
      <c r="V50" s="58">
        <f t="shared" ref="V50" si="34">Q50-J50</f>
        <v>6.4637159999999999E-2</v>
      </c>
    </row>
    <row r="51" spans="1:22">
      <c r="A51" s="135">
        <v>43</v>
      </c>
      <c r="B51" s="133" t="s">
        <v>85</v>
      </c>
      <c r="C51" s="134" t="s">
        <v>37</v>
      </c>
      <c r="D51" s="44">
        <v>72605135325.080002</v>
      </c>
      <c r="E51" s="30">
        <f t="shared" si="20"/>
        <v>2.7617411325108795E-2</v>
      </c>
      <c r="F51" s="31">
        <v>100</v>
      </c>
      <c r="G51" s="31">
        <v>100</v>
      </c>
      <c r="H51" s="32">
        <v>11227</v>
      </c>
      <c r="I51" s="50">
        <v>0.18140000000000001</v>
      </c>
      <c r="J51" s="50">
        <v>0.18140000000000001</v>
      </c>
      <c r="K51" s="44">
        <v>75770546255.259995</v>
      </c>
      <c r="L51" s="30">
        <f t="shared" si="19"/>
        <v>2.8821464664867239E-2</v>
      </c>
      <c r="M51" s="31">
        <v>100</v>
      </c>
      <c r="N51" s="31">
        <v>100</v>
      </c>
      <c r="O51" s="32">
        <v>11316</v>
      </c>
      <c r="P51" s="50">
        <v>0.19284841999999999</v>
      </c>
      <c r="Q51" s="50">
        <v>0.19284841999999999</v>
      </c>
      <c r="R51" s="56">
        <f t="shared" si="21"/>
        <v>4.3597617661716062E-2</v>
      </c>
      <c r="S51" s="56">
        <f t="shared" si="22"/>
        <v>0</v>
      </c>
      <c r="T51" s="56">
        <f t="shared" si="23"/>
        <v>7.9273180725037851E-3</v>
      </c>
      <c r="U51" s="57">
        <f t="shared" si="24"/>
        <v>1.1448419999999987E-2</v>
      </c>
      <c r="V51" s="58">
        <f t="shared" si="25"/>
        <v>1.1448419999999987E-2</v>
      </c>
    </row>
    <row r="52" spans="1:22">
      <c r="A52" s="135">
        <v>44</v>
      </c>
      <c r="B52" s="133" t="s">
        <v>86</v>
      </c>
      <c r="C52" s="134" t="s">
        <v>41</v>
      </c>
      <c r="D52" s="44">
        <v>15336217439.290001</v>
      </c>
      <c r="E52" s="30">
        <f t="shared" si="20"/>
        <v>5.833562919424419E-3</v>
      </c>
      <c r="F52" s="31">
        <v>1</v>
      </c>
      <c r="G52" s="31">
        <v>1</v>
      </c>
      <c r="H52" s="32">
        <v>1521</v>
      </c>
      <c r="I52" s="50">
        <v>0.19850000000000001</v>
      </c>
      <c r="J52" s="50">
        <v>0.19850000000000001</v>
      </c>
      <c r="K52" s="44">
        <v>15997828016.35</v>
      </c>
      <c r="L52" s="30">
        <f t="shared" si="19"/>
        <v>6.0852251656539486E-3</v>
      </c>
      <c r="M52" s="31">
        <v>1</v>
      </c>
      <c r="N52" s="31">
        <v>1</v>
      </c>
      <c r="O52" s="32">
        <v>1545</v>
      </c>
      <c r="P52" s="50">
        <v>0.2137</v>
      </c>
      <c r="Q52" s="50">
        <v>0.2137</v>
      </c>
      <c r="R52" s="56">
        <f t="shared" si="21"/>
        <v>4.3140401450295893E-2</v>
      </c>
      <c r="S52" s="56">
        <f t="shared" si="22"/>
        <v>0</v>
      </c>
      <c r="T52" s="56">
        <f t="shared" si="23"/>
        <v>1.5779092702169626E-2</v>
      </c>
      <c r="U52" s="57">
        <f t="shared" si="24"/>
        <v>1.5199999999999991E-2</v>
      </c>
      <c r="V52" s="58">
        <f t="shared" si="25"/>
        <v>1.5199999999999991E-2</v>
      </c>
    </row>
    <row r="53" spans="1:22">
      <c r="A53" s="135">
        <v>45</v>
      </c>
      <c r="B53" s="133" t="s">
        <v>87</v>
      </c>
      <c r="C53" s="134" t="s">
        <v>43</v>
      </c>
      <c r="D53" s="47">
        <v>34527080987.040001</v>
      </c>
      <c r="E53" s="30">
        <f t="shared" si="20"/>
        <v>1.3133349221167868E-2</v>
      </c>
      <c r="F53" s="31">
        <v>10</v>
      </c>
      <c r="G53" s="31">
        <v>10</v>
      </c>
      <c r="H53" s="32">
        <v>4314</v>
      </c>
      <c r="I53" s="50">
        <v>0.2172</v>
      </c>
      <c r="J53" s="50">
        <v>0.2172</v>
      </c>
      <c r="K53" s="47">
        <v>36804698443.589996</v>
      </c>
      <c r="L53" s="30">
        <f t="shared" si="19"/>
        <v>1.3999705269636814E-2</v>
      </c>
      <c r="M53" s="31">
        <v>10</v>
      </c>
      <c r="N53" s="31">
        <v>10</v>
      </c>
      <c r="O53" s="32">
        <v>4379</v>
      </c>
      <c r="P53" s="50">
        <v>0.21440000000000001</v>
      </c>
      <c r="Q53" s="50">
        <v>0.21440000000000001</v>
      </c>
      <c r="R53" s="56">
        <f t="shared" si="21"/>
        <v>6.5966116782502304E-2</v>
      </c>
      <c r="S53" s="56">
        <f t="shared" si="22"/>
        <v>0</v>
      </c>
      <c r="T53" s="56">
        <f t="shared" si="23"/>
        <v>1.5067222994900325E-2</v>
      </c>
      <c r="U53" s="57">
        <f t="shared" si="24"/>
        <v>-2.7999999999999969E-3</v>
      </c>
      <c r="V53" s="58">
        <f t="shared" si="25"/>
        <v>-2.7999999999999969E-3</v>
      </c>
    </row>
    <row r="54" spans="1:22">
      <c r="A54" s="135">
        <v>46</v>
      </c>
      <c r="B54" s="133" t="s">
        <v>88</v>
      </c>
      <c r="C54" s="134" t="s">
        <v>89</v>
      </c>
      <c r="D54" s="44">
        <v>17667795653</v>
      </c>
      <c r="E54" s="30">
        <f t="shared" si="20"/>
        <v>6.7204444640477298E-3</v>
      </c>
      <c r="F54" s="31">
        <v>100</v>
      </c>
      <c r="G54" s="31">
        <v>100</v>
      </c>
      <c r="H54" s="32">
        <v>3824</v>
      </c>
      <c r="I54" s="50">
        <v>0.21379999999999999</v>
      </c>
      <c r="J54" s="50">
        <v>0.21379999999999999</v>
      </c>
      <c r="K54" s="44">
        <v>18314390153</v>
      </c>
      <c r="L54" s="30">
        <f t="shared" si="19"/>
        <v>6.9663949217818764E-3</v>
      </c>
      <c r="M54" s="31">
        <v>100</v>
      </c>
      <c r="N54" s="31">
        <v>100</v>
      </c>
      <c r="O54" s="32">
        <v>3855</v>
      </c>
      <c r="P54" s="50">
        <v>0.22770000000000001</v>
      </c>
      <c r="Q54" s="50">
        <v>0.22770000000000001</v>
      </c>
      <c r="R54" s="56">
        <f t="shared" si="21"/>
        <v>3.6597349929741119E-2</v>
      </c>
      <c r="S54" s="56">
        <f t="shared" si="22"/>
        <v>0</v>
      </c>
      <c r="T54" s="56">
        <f t="shared" si="23"/>
        <v>8.1066945606694564E-3</v>
      </c>
      <c r="U54" s="57">
        <f t="shared" si="24"/>
        <v>1.3900000000000023E-2</v>
      </c>
      <c r="V54" s="58">
        <f t="shared" si="25"/>
        <v>1.3900000000000023E-2</v>
      </c>
    </row>
    <row r="55" spans="1:22">
      <c r="A55" s="135">
        <v>47</v>
      </c>
      <c r="B55" s="133" t="s">
        <v>90</v>
      </c>
      <c r="C55" s="134" t="s">
        <v>91</v>
      </c>
      <c r="D55" s="44">
        <v>237543273.34999999</v>
      </c>
      <c r="E55" s="30">
        <f t="shared" si="20"/>
        <v>9.0356284830910146E-5</v>
      </c>
      <c r="F55" s="31">
        <v>1</v>
      </c>
      <c r="G55" s="31">
        <v>1</v>
      </c>
      <c r="H55" s="32">
        <v>88</v>
      </c>
      <c r="I55" s="50">
        <v>0.17499999999999999</v>
      </c>
      <c r="J55" s="50">
        <v>0.17499999999999999</v>
      </c>
      <c r="K55" s="44">
        <v>222967936.69999999</v>
      </c>
      <c r="L55" s="30">
        <f t="shared" si="19"/>
        <v>8.4812144383231147E-5</v>
      </c>
      <c r="M55" s="31">
        <v>1</v>
      </c>
      <c r="N55" s="31">
        <v>1</v>
      </c>
      <c r="O55" s="32">
        <v>87</v>
      </c>
      <c r="P55" s="50">
        <v>0.20930000000000001</v>
      </c>
      <c r="Q55" s="50">
        <v>0.20930000000000001</v>
      </c>
      <c r="R55" s="56">
        <f t="shared" si="21"/>
        <v>-6.1358658759090502E-2</v>
      </c>
      <c r="S55" s="56">
        <f t="shared" si="22"/>
        <v>0</v>
      </c>
      <c r="T55" s="56">
        <f t="shared" si="23"/>
        <v>-1.1363636363636364E-2</v>
      </c>
      <c r="U55" s="57">
        <f t="shared" si="24"/>
        <v>3.4300000000000025E-2</v>
      </c>
      <c r="V55" s="58">
        <f t="shared" si="25"/>
        <v>3.4300000000000025E-2</v>
      </c>
    </row>
    <row r="56" spans="1:22">
      <c r="A56" s="135">
        <v>48</v>
      </c>
      <c r="B56" s="133" t="s">
        <v>92</v>
      </c>
      <c r="C56" s="134" t="s">
        <v>45</v>
      </c>
      <c r="D56" s="47">
        <v>1129985614.54</v>
      </c>
      <c r="E56" s="30">
        <f t="shared" si="20"/>
        <v>4.2982190403585799E-4</v>
      </c>
      <c r="F56" s="31">
        <v>10</v>
      </c>
      <c r="G56" s="31">
        <v>10</v>
      </c>
      <c r="H56" s="32">
        <v>778</v>
      </c>
      <c r="I56" s="50">
        <v>0.17910000000000001</v>
      </c>
      <c r="J56" s="50">
        <v>0.17910000000000001</v>
      </c>
      <c r="K56" s="47">
        <v>1184893841.22</v>
      </c>
      <c r="L56" s="30">
        <f t="shared" si="19"/>
        <v>4.5070779694913869E-4</v>
      </c>
      <c r="M56" s="31">
        <v>10</v>
      </c>
      <c r="N56" s="31">
        <v>10</v>
      </c>
      <c r="O56" s="32">
        <v>782</v>
      </c>
      <c r="P56" s="50">
        <v>0.17799999999999999</v>
      </c>
      <c r="Q56" s="50">
        <v>0.17799999999999999</v>
      </c>
      <c r="R56" s="56">
        <f t="shared" si="21"/>
        <v>4.8591969644102395E-2</v>
      </c>
      <c r="S56" s="56">
        <f t="shared" si="22"/>
        <v>0</v>
      </c>
      <c r="T56" s="56">
        <f t="shared" si="23"/>
        <v>5.1413881748071976E-3</v>
      </c>
      <c r="U56" s="57">
        <f t="shared" si="24"/>
        <v>-1.1000000000000176E-3</v>
      </c>
      <c r="V56" s="58">
        <f t="shared" si="25"/>
        <v>-1.1000000000000176E-3</v>
      </c>
    </row>
    <row r="57" spans="1:22">
      <c r="A57" s="135">
        <v>49</v>
      </c>
      <c r="B57" s="133" t="s">
        <v>93</v>
      </c>
      <c r="C57" s="134" t="s">
        <v>94</v>
      </c>
      <c r="D57" s="47">
        <v>824358930.96000004</v>
      </c>
      <c r="E57" s="30">
        <f t="shared" si="20"/>
        <v>3.1356817357222107E-4</v>
      </c>
      <c r="F57" s="31">
        <v>1</v>
      </c>
      <c r="G57" s="31">
        <v>1</v>
      </c>
      <c r="H57" s="32">
        <v>75</v>
      </c>
      <c r="I57" s="50">
        <v>0.22670000000000001</v>
      </c>
      <c r="J57" s="50">
        <v>0.22670000000000001</v>
      </c>
      <c r="K57" s="47">
        <v>819181502.76999998</v>
      </c>
      <c r="L57" s="30">
        <f t="shared" si="19"/>
        <v>3.115987927110845E-4</v>
      </c>
      <c r="M57" s="31">
        <v>1</v>
      </c>
      <c r="N57" s="31">
        <v>1</v>
      </c>
      <c r="O57" s="32">
        <v>78</v>
      </c>
      <c r="P57" s="50">
        <v>0.2303</v>
      </c>
      <c r="Q57" s="50">
        <v>0.2303</v>
      </c>
      <c r="R57" s="56">
        <f t="shared" si="21"/>
        <v>-6.2805508566162174E-3</v>
      </c>
      <c r="S57" s="56">
        <f t="shared" si="22"/>
        <v>0</v>
      </c>
      <c r="T57" s="56">
        <f t="shared" si="23"/>
        <v>0.04</v>
      </c>
      <c r="U57" s="57">
        <f t="shared" si="24"/>
        <v>3.5999999999999921E-3</v>
      </c>
      <c r="V57" s="58">
        <f t="shared" si="25"/>
        <v>3.5999999999999921E-3</v>
      </c>
    </row>
    <row r="58" spans="1:22">
      <c r="A58" s="135">
        <v>50</v>
      </c>
      <c r="B58" s="133" t="s">
        <v>315</v>
      </c>
      <c r="C58" s="134" t="s">
        <v>314</v>
      </c>
      <c r="D58" s="47">
        <v>0</v>
      </c>
      <c r="E58" s="30">
        <f t="shared" si="20"/>
        <v>0</v>
      </c>
      <c r="F58" s="31">
        <v>0</v>
      </c>
      <c r="G58" s="31">
        <v>0</v>
      </c>
      <c r="H58" s="32">
        <v>0</v>
      </c>
      <c r="I58" s="50">
        <v>0</v>
      </c>
      <c r="J58" s="50">
        <v>0</v>
      </c>
      <c r="K58" s="47">
        <v>412141478.63413554</v>
      </c>
      <c r="L58" s="30">
        <f t="shared" si="19"/>
        <v>1.5676963741772241E-4</v>
      </c>
      <c r="M58" s="31">
        <v>1</v>
      </c>
      <c r="N58" s="31">
        <v>1</v>
      </c>
      <c r="O58" s="32">
        <v>204</v>
      </c>
      <c r="P58" s="50">
        <v>0.17599999999999999</v>
      </c>
      <c r="Q58" s="50">
        <v>0.17599999999999999</v>
      </c>
      <c r="R58" s="56" t="e">
        <f t="shared" si="21"/>
        <v>#DIV/0!</v>
      </c>
      <c r="S58" s="56" t="e">
        <f t="shared" si="22"/>
        <v>#DIV/0!</v>
      </c>
      <c r="T58" s="56" t="e">
        <f t="shared" si="23"/>
        <v>#DIV/0!</v>
      </c>
      <c r="U58" s="57">
        <f t="shared" si="24"/>
        <v>0.17599999999999999</v>
      </c>
      <c r="V58" s="58">
        <f t="shared" si="25"/>
        <v>0.17599999999999999</v>
      </c>
    </row>
    <row r="59" spans="1:22">
      <c r="A59" s="135">
        <v>51</v>
      </c>
      <c r="B59" s="133" t="s">
        <v>95</v>
      </c>
      <c r="C59" s="134" t="s">
        <v>96</v>
      </c>
      <c r="D59" s="47">
        <v>10987270054.8873</v>
      </c>
      <c r="E59" s="30">
        <f t="shared" si="20"/>
        <v>4.1793181031515268E-3</v>
      </c>
      <c r="F59" s="31">
        <v>100</v>
      </c>
      <c r="G59" s="31">
        <v>100</v>
      </c>
      <c r="H59" s="32">
        <v>110</v>
      </c>
      <c r="I59" s="50">
        <v>0.21060000000000001</v>
      </c>
      <c r="J59" s="50">
        <v>0.21060000000000001</v>
      </c>
      <c r="K59" s="47">
        <v>11093510773.49</v>
      </c>
      <c r="L59" s="30">
        <f t="shared" si="19"/>
        <v>4.2197297573959396E-3</v>
      </c>
      <c r="M59" s="31">
        <v>100</v>
      </c>
      <c r="N59" s="31">
        <v>100</v>
      </c>
      <c r="O59" s="32">
        <v>110</v>
      </c>
      <c r="P59" s="50">
        <v>0.21099999999999999</v>
      </c>
      <c r="Q59" s="50">
        <v>0.21099999999999999</v>
      </c>
      <c r="R59" s="56">
        <f t="shared" si="21"/>
        <v>9.6694372734965079E-3</v>
      </c>
      <c r="S59" s="56">
        <f t="shared" si="22"/>
        <v>0</v>
      </c>
      <c r="T59" s="56">
        <f t="shared" si="23"/>
        <v>0</v>
      </c>
      <c r="U59" s="57">
        <f t="shared" si="24"/>
        <v>3.999999999999837E-4</v>
      </c>
      <c r="V59" s="58">
        <f t="shared" si="25"/>
        <v>3.999999999999837E-4</v>
      </c>
    </row>
    <row r="60" spans="1:22">
      <c r="A60" s="135">
        <v>52</v>
      </c>
      <c r="B60" s="133" t="s">
        <v>97</v>
      </c>
      <c r="C60" s="134" t="s">
        <v>98</v>
      </c>
      <c r="D60" s="47">
        <v>51723000</v>
      </c>
      <c r="E60" s="30">
        <f t="shared" si="20"/>
        <v>1.9674302094099544E-5</v>
      </c>
      <c r="F60" s="31">
        <v>1000</v>
      </c>
      <c r="G60" s="31">
        <v>1000</v>
      </c>
      <c r="H60" s="32">
        <v>23</v>
      </c>
      <c r="I60" s="50">
        <v>0.18099999999999999</v>
      </c>
      <c r="J60" s="50">
        <v>0.18099999999999999</v>
      </c>
      <c r="K60" s="47">
        <v>51743000</v>
      </c>
      <c r="L60" s="30">
        <f t="shared" si="19"/>
        <v>1.9681909658275677E-5</v>
      </c>
      <c r="M60" s="31">
        <v>1000</v>
      </c>
      <c r="N60" s="31">
        <v>1000</v>
      </c>
      <c r="O60" s="32">
        <v>23</v>
      </c>
      <c r="P60" s="50">
        <v>0.1812</v>
      </c>
      <c r="Q60" s="50">
        <v>0.1812</v>
      </c>
      <c r="R60" s="56">
        <f t="shared" si="21"/>
        <v>3.8667517352048412E-4</v>
      </c>
      <c r="S60" s="56">
        <f t="shared" si="22"/>
        <v>0</v>
      </c>
      <c r="T60" s="56">
        <f t="shared" si="23"/>
        <v>0</v>
      </c>
      <c r="U60" s="57">
        <f t="shared" si="24"/>
        <v>2.0000000000000573E-4</v>
      </c>
      <c r="V60" s="58">
        <f t="shared" si="25"/>
        <v>2.0000000000000573E-4</v>
      </c>
    </row>
    <row r="61" spans="1:22">
      <c r="A61" s="135">
        <v>53</v>
      </c>
      <c r="B61" s="133" t="s">
        <v>99</v>
      </c>
      <c r="C61" s="134" t="s">
        <v>49</v>
      </c>
      <c r="D61" s="44">
        <v>1208705178140.5801</v>
      </c>
      <c r="E61" s="30">
        <f t="shared" si="20"/>
        <v>0.45976511063627745</v>
      </c>
      <c r="F61" s="31">
        <v>100</v>
      </c>
      <c r="G61" s="31">
        <v>100</v>
      </c>
      <c r="H61" s="32">
        <v>170082</v>
      </c>
      <c r="I61" s="50">
        <v>0.20830000000000001</v>
      </c>
      <c r="J61" s="50">
        <v>0.20830000000000001</v>
      </c>
      <c r="K61" s="44">
        <v>1239298671697.1001</v>
      </c>
      <c r="L61" s="30">
        <f t="shared" si="19"/>
        <v>0.4714022089164403</v>
      </c>
      <c r="M61" s="31">
        <v>100</v>
      </c>
      <c r="N61" s="31">
        <v>100</v>
      </c>
      <c r="O61" s="32">
        <v>171789</v>
      </c>
      <c r="P61" s="50">
        <v>0.20860000000000001</v>
      </c>
      <c r="Q61" s="50">
        <v>0.20860000000000001</v>
      </c>
      <c r="R61" s="56">
        <f t="shared" si="21"/>
        <v>2.5310964253155373E-2</v>
      </c>
      <c r="S61" s="56">
        <f t="shared" si="22"/>
        <v>0</v>
      </c>
      <c r="T61" s="56">
        <f t="shared" si="23"/>
        <v>1.0036335414682331E-2</v>
      </c>
      <c r="U61" s="57">
        <f t="shared" si="24"/>
        <v>2.9999999999999472E-4</v>
      </c>
      <c r="V61" s="58">
        <f t="shared" si="25"/>
        <v>2.9999999999999472E-4</v>
      </c>
    </row>
    <row r="62" spans="1:22">
      <c r="A62" s="135">
        <v>54</v>
      </c>
      <c r="B62" s="133" t="s">
        <v>100</v>
      </c>
      <c r="C62" s="133" t="s">
        <v>101</v>
      </c>
      <c r="D62" s="44">
        <v>2986577158.98</v>
      </c>
      <c r="E62" s="30">
        <f t="shared" si="20"/>
        <v>1.1360288701952725E-3</v>
      </c>
      <c r="F62" s="31">
        <v>100</v>
      </c>
      <c r="G62" s="31">
        <v>100</v>
      </c>
      <c r="H62" s="32">
        <v>510</v>
      </c>
      <c r="I62" s="50">
        <v>0.2087</v>
      </c>
      <c r="J62" s="50">
        <v>0.2087</v>
      </c>
      <c r="K62" s="44">
        <v>3120739549.8099999</v>
      </c>
      <c r="L62" s="30">
        <f t="shared" si="19"/>
        <v>1.187061320108388E-3</v>
      </c>
      <c r="M62" s="31">
        <v>100</v>
      </c>
      <c r="N62" s="31">
        <v>100</v>
      </c>
      <c r="O62" s="32">
        <v>532</v>
      </c>
      <c r="P62" s="50">
        <v>0.20430000000000001</v>
      </c>
      <c r="Q62" s="50">
        <v>0.20430000000000001</v>
      </c>
      <c r="R62" s="56">
        <f t="shared" si="21"/>
        <v>4.4921789623483276E-2</v>
      </c>
      <c r="S62" s="56">
        <f t="shared" si="22"/>
        <v>0</v>
      </c>
      <c r="T62" s="56">
        <f t="shared" si="23"/>
        <v>4.3137254901960784E-2</v>
      </c>
      <c r="U62" s="57">
        <f t="shared" si="24"/>
        <v>-4.3999999999999873E-3</v>
      </c>
      <c r="V62" s="58">
        <f t="shared" si="25"/>
        <v>-4.3999999999999873E-3</v>
      </c>
    </row>
    <row r="63" spans="1:22">
      <c r="A63" s="135">
        <v>55</v>
      </c>
      <c r="B63" s="133" t="s">
        <v>102</v>
      </c>
      <c r="C63" s="134" t="s">
        <v>103</v>
      </c>
      <c r="D63" s="44">
        <v>4407304460.6381712</v>
      </c>
      <c r="E63" s="30">
        <f t="shared" si="20"/>
        <v>1.6764425764025257E-3</v>
      </c>
      <c r="F63" s="31">
        <v>1</v>
      </c>
      <c r="G63" s="31">
        <v>1</v>
      </c>
      <c r="H63" s="32">
        <v>449</v>
      </c>
      <c r="I63" s="50">
        <v>0.2203550300896451</v>
      </c>
      <c r="J63" s="50">
        <v>0.2203550300896451</v>
      </c>
      <c r="K63" s="44">
        <v>4669354452.3161583</v>
      </c>
      <c r="L63" s="30">
        <f t="shared" si="19"/>
        <v>1.7761206828547614E-3</v>
      </c>
      <c r="M63" s="31">
        <v>1</v>
      </c>
      <c r="N63" s="31">
        <v>1</v>
      </c>
      <c r="O63" s="32">
        <v>450</v>
      </c>
      <c r="P63" s="50">
        <v>0.21715266808139833</v>
      </c>
      <c r="Q63" s="50">
        <v>0.21715266808139833</v>
      </c>
      <c r="R63" s="56">
        <f t="shared" si="21"/>
        <v>5.9458109603810455E-2</v>
      </c>
      <c r="S63" s="56">
        <f t="shared" si="22"/>
        <v>0</v>
      </c>
      <c r="T63" s="56">
        <f t="shared" si="23"/>
        <v>2.2271714922048997E-3</v>
      </c>
      <c r="U63" s="57">
        <f t="shared" si="24"/>
        <v>-3.2023620082467785E-3</v>
      </c>
      <c r="V63" s="58">
        <f t="shared" si="25"/>
        <v>-3.2023620082467785E-3</v>
      </c>
    </row>
    <row r="64" spans="1:22">
      <c r="A64" s="135">
        <v>56</v>
      </c>
      <c r="B64" s="133" t="s">
        <v>104</v>
      </c>
      <c r="C64" s="134" t="s">
        <v>52</v>
      </c>
      <c r="D64" s="44">
        <v>117867690175.13</v>
      </c>
      <c r="E64" s="30">
        <f t="shared" si="20"/>
        <v>4.4834300864977604E-2</v>
      </c>
      <c r="F64" s="31">
        <v>1</v>
      </c>
      <c r="G64" s="31">
        <v>1</v>
      </c>
      <c r="H64" s="32">
        <v>50494</v>
      </c>
      <c r="I64" s="50">
        <v>0.21920000000000001</v>
      </c>
      <c r="J64" s="50">
        <v>0.21920000000000001</v>
      </c>
      <c r="K64" s="44">
        <v>123854323296.75</v>
      </c>
      <c r="L64" s="30">
        <f t="shared" si="19"/>
        <v>4.7111485648561192E-2</v>
      </c>
      <c r="M64" s="31">
        <v>1</v>
      </c>
      <c r="N64" s="31">
        <v>1</v>
      </c>
      <c r="O64" s="32">
        <v>51130</v>
      </c>
      <c r="P64" s="50">
        <v>0.1968</v>
      </c>
      <c r="Q64" s="50">
        <v>0.1968</v>
      </c>
      <c r="R64" s="56">
        <f t="shared" si="21"/>
        <v>5.0791129551490698E-2</v>
      </c>
      <c r="S64" s="56">
        <f t="shared" si="22"/>
        <v>0</v>
      </c>
      <c r="T64" s="56">
        <f t="shared" si="23"/>
        <v>1.259555590763259E-2</v>
      </c>
      <c r="U64" s="57">
        <f t="shared" si="24"/>
        <v>-2.2400000000000003E-2</v>
      </c>
      <c r="V64" s="58">
        <f t="shared" si="25"/>
        <v>-2.2400000000000003E-2</v>
      </c>
    </row>
    <row r="65" spans="1:22">
      <c r="A65" s="135">
        <v>57</v>
      </c>
      <c r="B65" s="133" t="s">
        <v>105</v>
      </c>
      <c r="C65" s="134" t="s">
        <v>106</v>
      </c>
      <c r="D65" s="44">
        <v>1456375209.26</v>
      </c>
      <c r="E65" s="30">
        <f t="shared" si="20"/>
        <v>5.5397339344853702E-4</v>
      </c>
      <c r="F65" s="31">
        <v>1</v>
      </c>
      <c r="G65" s="31">
        <v>1</v>
      </c>
      <c r="H65" s="32">
        <v>157</v>
      </c>
      <c r="I65" s="50">
        <v>0.19639999999999999</v>
      </c>
      <c r="J65" s="50">
        <v>0.19639999999999999</v>
      </c>
      <c r="K65" s="44">
        <v>1421168426.5699999</v>
      </c>
      <c r="L65" s="30">
        <f t="shared" si="19"/>
        <v>5.4058150051107447E-4</v>
      </c>
      <c r="M65" s="31">
        <v>1</v>
      </c>
      <c r="N65" s="31">
        <v>1</v>
      </c>
      <c r="O65" s="32">
        <v>156</v>
      </c>
      <c r="P65" s="50">
        <v>0.1825</v>
      </c>
      <c r="Q65" s="50">
        <v>0.1825</v>
      </c>
      <c r="R65" s="56">
        <f t="shared" si="21"/>
        <v>-2.4174252943984818E-2</v>
      </c>
      <c r="S65" s="56">
        <f t="shared" si="22"/>
        <v>0</v>
      </c>
      <c r="T65" s="56">
        <f t="shared" si="23"/>
        <v>-6.369426751592357E-3</v>
      </c>
      <c r="U65" s="57">
        <f t="shared" si="24"/>
        <v>-1.3899999999999996E-2</v>
      </c>
      <c r="V65" s="58">
        <f t="shared" si="25"/>
        <v>-1.3899999999999996E-2</v>
      </c>
    </row>
    <row r="66" spans="1:22">
      <c r="A66" s="135">
        <v>58</v>
      </c>
      <c r="B66" s="133" t="s">
        <v>107</v>
      </c>
      <c r="C66" s="134" t="s">
        <v>108</v>
      </c>
      <c r="D66" s="44">
        <v>4146703468.8200002</v>
      </c>
      <c r="E66" s="30">
        <f t="shared" si="20"/>
        <v>1.5773156379215276E-3</v>
      </c>
      <c r="F66" s="31">
        <v>1</v>
      </c>
      <c r="G66" s="31">
        <v>1</v>
      </c>
      <c r="H66" s="32">
        <v>337</v>
      </c>
      <c r="I66" s="50">
        <v>0.2099</v>
      </c>
      <c r="J66" s="50">
        <v>0.2099</v>
      </c>
      <c r="K66" s="44">
        <v>4219341827.1999998</v>
      </c>
      <c r="L66" s="30">
        <f t="shared" si="19"/>
        <v>1.6049456865727578E-3</v>
      </c>
      <c r="M66" s="31">
        <v>1</v>
      </c>
      <c r="N66" s="31">
        <v>1</v>
      </c>
      <c r="O66" s="32">
        <v>386</v>
      </c>
      <c r="P66" s="50">
        <v>0.2024</v>
      </c>
      <c r="Q66" s="50">
        <v>0.2024</v>
      </c>
      <c r="R66" s="56">
        <f t="shared" si="21"/>
        <v>1.7517133531776231E-2</v>
      </c>
      <c r="S66" s="56">
        <f t="shared" si="22"/>
        <v>0</v>
      </c>
      <c r="T66" s="56">
        <f t="shared" si="23"/>
        <v>0.14540059347181009</v>
      </c>
      <c r="U66" s="57">
        <f t="shared" si="24"/>
        <v>-7.5000000000000067E-3</v>
      </c>
      <c r="V66" s="58">
        <f t="shared" si="25"/>
        <v>-7.5000000000000067E-3</v>
      </c>
    </row>
    <row r="67" spans="1:22">
      <c r="A67" s="135">
        <v>59</v>
      </c>
      <c r="B67" s="133" t="s">
        <v>109</v>
      </c>
      <c r="C67" s="134" t="s">
        <v>110</v>
      </c>
      <c r="D67" s="44">
        <v>5665081048.1300001</v>
      </c>
      <c r="E67" s="30">
        <f t="shared" si="20"/>
        <v>2.1548733818314426E-3</v>
      </c>
      <c r="F67" s="31">
        <v>1</v>
      </c>
      <c r="G67" s="31">
        <v>1</v>
      </c>
      <c r="H67" s="32">
        <v>3112</v>
      </c>
      <c r="I67" s="50">
        <v>0.24560000000000001</v>
      </c>
      <c r="J67" s="50">
        <v>0.24560000000000001</v>
      </c>
      <c r="K67" s="44">
        <v>5736746426.04</v>
      </c>
      <c r="L67" s="30">
        <f t="shared" si="19"/>
        <v>2.1821333299142905E-3</v>
      </c>
      <c r="M67" s="31">
        <v>1</v>
      </c>
      <c r="N67" s="31">
        <v>1</v>
      </c>
      <c r="O67" s="32">
        <v>3166</v>
      </c>
      <c r="P67" s="50">
        <v>0.2475</v>
      </c>
      <c r="Q67" s="50">
        <v>0.2475</v>
      </c>
      <c r="R67" s="56">
        <f t="shared" si="21"/>
        <v>1.2650371159942371E-2</v>
      </c>
      <c r="S67" s="56">
        <f t="shared" si="22"/>
        <v>0</v>
      </c>
      <c r="T67" s="56">
        <f t="shared" si="23"/>
        <v>1.7352185089974295E-2</v>
      </c>
      <c r="U67" s="57">
        <f t="shared" si="24"/>
        <v>1.899999999999985E-3</v>
      </c>
      <c r="V67" s="58">
        <f t="shared" si="25"/>
        <v>1.899999999999985E-3</v>
      </c>
    </row>
    <row r="68" spans="1:22">
      <c r="A68" s="135">
        <v>60</v>
      </c>
      <c r="B68" s="133" t="s">
        <v>111</v>
      </c>
      <c r="C68" s="134" t="s">
        <v>112</v>
      </c>
      <c r="D68" s="44">
        <v>83914729395.070007</v>
      </c>
      <c r="E68" s="30">
        <f t="shared" si="20"/>
        <v>3.1919334459780416E-2</v>
      </c>
      <c r="F68" s="31">
        <v>1</v>
      </c>
      <c r="G68" s="31">
        <v>1</v>
      </c>
      <c r="H68" s="32">
        <v>5083</v>
      </c>
      <c r="I68" s="50">
        <v>0.20169999999999999</v>
      </c>
      <c r="J68" s="50">
        <v>0.20169999999999999</v>
      </c>
      <c r="K68" s="44">
        <v>87143512332.970001</v>
      </c>
      <c r="L68" s="30">
        <f t="shared" si="19"/>
        <v>3.3147493130323863E-2</v>
      </c>
      <c r="M68" s="31">
        <v>1</v>
      </c>
      <c r="N68" s="31">
        <v>1</v>
      </c>
      <c r="O68" s="32">
        <v>5145</v>
      </c>
      <c r="P68" s="50">
        <v>0.20399999999999999</v>
      </c>
      <c r="Q68" s="50">
        <v>0.20399999999999999</v>
      </c>
      <c r="R68" s="56">
        <f t="shared" si="21"/>
        <v>3.8476951080887174E-2</v>
      </c>
      <c r="S68" s="56">
        <f t="shared" si="22"/>
        <v>0</v>
      </c>
      <c r="T68" s="56">
        <f t="shared" si="23"/>
        <v>1.2197521148927798E-2</v>
      </c>
      <c r="U68" s="57">
        <f t="shared" si="24"/>
        <v>2.2999999999999965E-3</v>
      </c>
      <c r="V68" s="58">
        <f t="shared" si="25"/>
        <v>2.2999999999999965E-3</v>
      </c>
    </row>
    <row r="69" spans="1:22">
      <c r="A69" s="36"/>
      <c r="B69" s="37"/>
      <c r="C69" s="38" t="s">
        <v>53</v>
      </c>
      <c r="D69" s="48">
        <f>SUM(D28:D68)</f>
        <v>2556130628664.9053</v>
      </c>
      <c r="E69" s="40">
        <f>(D69/$D$219)</f>
        <v>0.51943545731729768</v>
      </c>
      <c r="F69" s="41"/>
      <c r="G69" s="45"/>
      <c r="H69" s="43">
        <f>SUM(H28:H68)</f>
        <v>401944</v>
      </c>
      <c r="I69" s="55"/>
      <c r="J69" s="55"/>
      <c r="K69" s="48">
        <f>SUM(K28:K68)</f>
        <v>2628962377044.7275</v>
      </c>
      <c r="L69" s="40">
        <f>(K69/$K$219)</f>
        <v>0.52293662077921244</v>
      </c>
      <c r="M69" s="41"/>
      <c r="N69" s="45"/>
      <c r="O69" s="43">
        <f>SUM(O28:O68)</f>
        <v>405976</v>
      </c>
      <c r="P69" s="55"/>
      <c r="Q69" s="55"/>
      <c r="R69" s="56">
        <f t="shared" si="21"/>
        <v>2.8492968067857737E-2</v>
      </c>
      <c r="S69" s="56" t="e">
        <f t="shared" si="22"/>
        <v>#DIV/0!</v>
      </c>
      <c r="T69" s="56">
        <f t="shared" si="23"/>
        <v>1.0031248134068428E-2</v>
      </c>
      <c r="U69" s="57">
        <f t="shared" si="24"/>
        <v>0</v>
      </c>
      <c r="V69" s="58">
        <f t="shared" si="25"/>
        <v>0</v>
      </c>
    </row>
    <row r="70" spans="1:22" ht="3" customHeight="1">
      <c r="A70" s="3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</row>
    <row r="71" spans="1:22" ht="15" customHeight="1">
      <c r="A71" s="181" t="s">
        <v>113</v>
      </c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</row>
    <row r="72" spans="1:22">
      <c r="A72" s="135">
        <v>61</v>
      </c>
      <c r="B72" s="133" t="s">
        <v>114</v>
      </c>
      <c r="C72" s="134" t="s">
        <v>21</v>
      </c>
      <c r="D72" s="29">
        <v>548617586.55999994</v>
      </c>
      <c r="E72" s="30">
        <f>(D72/$D$109)</f>
        <v>2.7340362416954631E-3</v>
      </c>
      <c r="F72" s="60">
        <v>1.4363999999999999</v>
      </c>
      <c r="G72" s="60">
        <v>1.4363999999999999</v>
      </c>
      <c r="H72" s="32">
        <v>474</v>
      </c>
      <c r="I72" s="50">
        <v>1.3899999999999999E-4</v>
      </c>
      <c r="J72" s="50">
        <v>0.1018</v>
      </c>
      <c r="K72" s="29">
        <v>540855095.87</v>
      </c>
      <c r="L72" s="30">
        <f t="shared" ref="L72:L94" si="35">(K72/$K$109)</f>
        <v>2.5915780044685486E-3</v>
      </c>
      <c r="M72" s="60">
        <v>1.4160999999999999</v>
      </c>
      <c r="N72" s="60">
        <v>1.4160999999999999</v>
      </c>
      <c r="O72" s="32">
        <v>474</v>
      </c>
      <c r="P72" s="50">
        <v>-1.4100000000000001E-4</v>
      </c>
      <c r="Q72" s="50">
        <v>8.6199999999999999E-2</v>
      </c>
      <c r="R72" s="56">
        <f>((K72-D72)/D72)</f>
        <v>-1.4149183110722222E-2</v>
      </c>
      <c r="S72" s="56">
        <f>((N72-G72)/G72)</f>
        <v>-1.4132553606237807E-2</v>
      </c>
      <c r="T72" s="56">
        <f>((O72-H72)/H72)</f>
        <v>0</v>
      </c>
      <c r="U72" s="57">
        <f>P72-I72</f>
        <v>-2.7999999999999998E-4</v>
      </c>
      <c r="V72" s="58">
        <f>Q72-J72</f>
        <v>-1.5600000000000003E-2</v>
      </c>
    </row>
    <row r="73" spans="1:22">
      <c r="A73" s="135">
        <v>62</v>
      </c>
      <c r="B73" s="133" t="s">
        <v>115</v>
      </c>
      <c r="C73" s="134" t="s">
        <v>23</v>
      </c>
      <c r="D73" s="29">
        <v>1298606312.3299999</v>
      </c>
      <c r="E73" s="30">
        <f>(D73/$D$109)</f>
        <v>6.4716057388299227E-3</v>
      </c>
      <c r="F73" s="60">
        <v>1.232</v>
      </c>
      <c r="G73" s="60">
        <v>1.232</v>
      </c>
      <c r="H73" s="32">
        <v>905</v>
      </c>
      <c r="I73" s="50">
        <v>0.14860000000000001</v>
      </c>
      <c r="J73" s="50">
        <v>0.16700000000000001</v>
      </c>
      <c r="K73" s="29">
        <v>1302747703.0599999</v>
      </c>
      <c r="L73" s="30">
        <f t="shared" si="35"/>
        <v>6.2422861842346715E-3</v>
      </c>
      <c r="M73" s="60">
        <v>1.2342</v>
      </c>
      <c r="N73" s="60">
        <v>1.2342</v>
      </c>
      <c r="O73" s="32">
        <v>917</v>
      </c>
      <c r="P73" s="50">
        <v>9.3100000000000002E-2</v>
      </c>
      <c r="Q73" s="50">
        <v>0.16220000000000001</v>
      </c>
      <c r="R73" s="56">
        <f t="shared" ref="R73:R109" si="36">((K73-D73)/D73)</f>
        <v>3.1891041115990008E-3</v>
      </c>
      <c r="S73" s="56">
        <f t="shared" ref="S73:S109" si="37">((N73-G73)/G73)</f>
        <v>1.7857142857142694E-3</v>
      </c>
      <c r="T73" s="56">
        <f t="shared" ref="T73:T109" si="38">((O73-H73)/H73)</f>
        <v>1.3259668508287293E-2</v>
      </c>
      <c r="U73" s="57">
        <f t="shared" ref="U73:U109" si="39">P73-I73</f>
        <v>-5.5500000000000008E-2</v>
      </c>
      <c r="V73" s="58">
        <f t="shared" ref="V73:V109" si="40">Q73-J73</f>
        <v>-4.7999999999999987E-3</v>
      </c>
    </row>
    <row r="74" spans="1:22">
      <c r="A74" s="135">
        <v>63</v>
      </c>
      <c r="B74" s="133" t="s">
        <v>116</v>
      </c>
      <c r="C74" s="134" t="s">
        <v>23</v>
      </c>
      <c r="D74" s="29">
        <v>794304214.51999998</v>
      </c>
      <c r="E74" s="30">
        <f>(D74/$D$109)</f>
        <v>3.958415775633585E-3</v>
      </c>
      <c r="F74" s="60">
        <v>1.1062000000000001</v>
      </c>
      <c r="G74" s="60">
        <v>1.1062000000000001</v>
      </c>
      <c r="H74" s="32">
        <v>242</v>
      </c>
      <c r="I74" s="50">
        <v>0.1323</v>
      </c>
      <c r="J74" s="50">
        <v>0.11940000000000001</v>
      </c>
      <c r="K74" s="29">
        <v>797832251.83000004</v>
      </c>
      <c r="L74" s="30">
        <f t="shared" si="35"/>
        <v>3.8229176925333422E-3</v>
      </c>
      <c r="M74" s="60">
        <v>1.1088</v>
      </c>
      <c r="N74" s="60">
        <v>1.1088</v>
      </c>
      <c r="O74" s="32">
        <v>253</v>
      </c>
      <c r="P74" s="50">
        <v>0.1226</v>
      </c>
      <c r="Q74" s="50">
        <v>0.11990000000000001</v>
      </c>
      <c r="R74" s="56">
        <f t="shared" si="36"/>
        <v>4.4416701378477055E-3</v>
      </c>
      <c r="S74" s="56">
        <f t="shared" si="37"/>
        <v>2.3503887181340949E-3</v>
      </c>
      <c r="T74" s="56">
        <f t="shared" si="38"/>
        <v>4.5454545454545456E-2</v>
      </c>
      <c r="U74" s="57">
        <f t="shared" si="39"/>
        <v>-9.7000000000000003E-3</v>
      </c>
      <c r="V74" s="58">
        <f t="shared" si="40"/>
        <v>5.0000000000000044E-4</v>
      </c>
    </row>
    <row r="75" spans="1:22">
      <c r="A75" s="135">
        <v>64</v>
      </c>
      <c r="B75" s="133" t="s">
        <v>117</v>
      </c>
      <c r="C75" s="134" t="s">
        <v>118</v>
      </c>
      <c r="D75" s="29">
        <v>285363793.75</v>
      </c>
      <c r="E75" s="30">
        <f>(D75/$D$109)</f>
        <v>1.4221107257466358E-3</v>
      </c>
      <c r="F75" s="35">
        <v>1138.8599999999999</v>
      </c>
      <c r="G75" s="35">
        <v>1138.8599999999999</v>
      </c>
      <c r="H75" s="32">
        <v>110</v>
      </c>
      <c r="I75" s="50">
        <v>1.2300000000000001E-4</v>
      </c>
      <c r="J75" s="50">
        <v>2.3040000000000001E-2</v>
      </c>
      <c r="K75" s="29">
        <v>285129457.58999997</v>
      </c>
      <c r="L75" s="30">
        <f t="shared" si="35"/>
        <v>1.3662351272250974E-3</v>
      </c>
      <c r="M75" s="35">
        <v>1137.92</v>
      </c>
      <c r="N75" s="35">
        <v>1137.92</v>
      </c>
      <c r="O75" s="32">
        <v>110</v>
      </c>
      <c r="P75" s="50">
        <v>-6.8400000000000004E-4</v>
      </c>
      <c r="Q75" s="50">
        <v>2.3363999999999999E-2</v>
      </c>
      <c r="R75" s="56">
        <f t="shared" si="36"/>
        <v>-8.2118392428340856E-4</v>
      </c>
      <c r="S75" s="56">
        <f t="shared" si="37"/>
        <v>-8.253867902989193E-4</v>
      </c>
      <c r="T75" s="56">
        <f t="shared" si="38"/>
        <v>0</v>
      </c>
      <c r="U75" s="57">
        <f t="shared" si="39"/>
        <v>-8.0699999999999999E-4</v>
      </c>
      <c r="V75" s="58">
        <f t="shared" si="40"/>
        <v>3.239999999999979E-4</v>
      </c>
    </row>
    <row r="76" spans="1:22" ht="15" customHeight="1">
      <c r="A76" s="135">
        <v>65</v>
      </c>
      <c r="B76" s="133" t="s">
        <v>119</v>
      </c>
      <c r="C76" s="134" t="s">
        <v>27</v>
      </c>
      <c r="D76" s="29">
        <v>1717402986.4200001</v>
      </c>
      <c r="E76" s="30">
        <f>(D76/$K$109)</f>
        <v>8.2291612640818315E-3</v>
      </c>
      <c r="F76" s="35">
        <v>1.0805</v>
      </c>
      <c r="G76" s="35">
        <v>1.0805</v>
      </c>
      <c r="H76" s="32">
        <v>903</v>
      </c>
      <c r="I76" s="50">
        <v>3.3999999999999998E-3</v>
      </c>
      <c r="J76" s="50">
        <v>3.3599999999999998E-2</v>
      </c>
      <c r="K76" s="29">
        <v>1717402986.4200001</v>
      </c>
      <c r="L76" s="30">
        <f t="shared" si="35"/>
        <v>8.2291612640818315E-3</v>
      </c>
      <c r="M76" s="35">
        <v>1.0843</v>
      </c>
      <c r="N76" s="35">
        <v>1.0843</v>
      </c>
      <c r="O76" s="32">
        <v>907</v>
      </c>
      <c r="P76" s="50">
        <v>3.5000000000000001E-3</v>
      </c>
      <c r="Q76" s="50">
        <v>3.6999999999999998E-2</v>
      </c>
      <c r="R76" s="56">
        <f t="shared" si="36"/>
        <v>0</v>
      </c>
      <c r="S76" s="56">
        <f t="shared" si="37"/>
        <v>3.5168903285516203E-3</v>
      </c>
      <c r="T76" s="56">
        <f t="shared" si="38"/>
        <v>4.4296788482834993E-3</v>
      </c>
      <c r="U76" s="57">
        <f t="shared" si="39"/>
        <v>1.0000000000000026E-4</v>
      </c>
      <c r="V76" s="58">
        <f t="shared" si="40"/>
        <v>3.4000000000000002E-3</v>
      </c>
    </row>
    <row r="77" spans="1:22">
      <c r="A77" s="135">
        <v>66</v>
      </c>
      <c r="B77" s="133" t="s">
        <v>120</v>
      </c>
      <c r="C77" s="134" t="s">
        <v>121</v>
      </c>
      <c r="D77" s="29">
        <v>444106241.89689714</v>
      </c>
      <c r="E77" s="30">
        <f t="shared" ref="E77:E94" si="41">(D77/$D$109)</f>
        <v>2.2132038604936277E-3</v>
      </c>
      <c r="F77" s="35">
        <v>2.5505</v>
      </c>
      <c r="G77" s="35">
        <v>2.5505</v>
      </c>
      <c r="H77" s="32">
        <v>1390</v>
      </c>
      <c r="I77" s="50">
        <v>0.1414</v>
      </c>
      <c r="J77" s="50">
        <v>0.1381</v>
      </c>
      <c r="K77" s="29">
        <v>445844080.29740155</v>
      </c>
      <c r="L77" s="30">
        <f t="shared" si="35"/>
        <v>2.136320283832505E-3</v>
      </c>
      <c r="M77" s="35">
        <v>2.5575999999999999</v>
      </c>
      <c r="N77" s="35">
        <v>2.5575999999999999</v>
      </c>
      <c r="O77" s="32">
        <v>1390</v>
      </c>
      <c r="P77" s="50">
        <v>0.1452</v>
      </c>
      <c r="Q77" s="50">
        <v>0.13900000000000001</v>
      </c>
      <c r="R77" s="56">
        <f t="shared" si="36"/>
        <v>3.9131141077451094E-3</v>
      </c>
      <c r="S77" s="56">
        <f t="shared" si="37"/>
        <v>2.7837678886492392E-3</v>
      </c>
      <c r="T77" s="56">
        <f t="shared" si="38"/>
        <v>0</v>
      </c>
      <c r="U77" s="57">
        <f t="shared" si="39"/>
        <v>3.7999999999999978E-3</v>
      </c>
      <c r="V77" s="58">
        <f t="shared" si="40"/>
        <v>9.000000000000119E-4</v>
      </c>
    </row>
    <row r="78" spans="1:22">
      <c r="A78" s="135">
        <v>67</v>
      </c>
      <c r="B78" s="133" t="s">
        <v>122</v>
      </c>
      <c r="C78" s="134" t="s">
        <v>63</v>
      </c>
      <c r="D78" s="29">
        <v>153690443.99000001</v>
      </c>
      <c r="E78" s="30">
        <f t="shared" si="41"/>
        <v>7.6591646743532119E-4</v>
      </c>
      <c r="F78" s="35">
        <v>11.4</v>
      </c>
      <c r="G78" s="35">
        <v>11.45</v>
      </c>
      <c r="H78" s="32">
        <v>29</v>
      </c>
      <c r="I78" s="50">
        <v>0.189</v>
      </c>
      <c r="J78" s="50">
        <v>0.35699999999999998</v>
      </c>
      <c r="K78" s="29">
        <v>154198761.15000001</v>
      </c>
      <c r="L78" s="30">
        <f t="shared" si="35"/>
        <v>7.3886355285204082E-4</v>
      </c>
      <c r="M78" s="35">
        <v>11.74</v>
      </c>
      <c r="N78" s="35">
        <v>11.86</v>
      </c>
      <c r="O78" s="32">
        <v>30</v>
      </c>
      <c r="P78" s="50">
        <v>-0.497</v>
      </c>
      <c r="Q78" s="50">
        <v>0.30209999999999998</v>
      </c>
      <c r="R78" s="56">
        <f t="shared" si="36"/>
        <v>3.3074090151829511E-3</v>
      </c>
      <c r="S78" s="56">
        <f t="shared" si="37"/>
        <v>3.5807860262008745E-2</v>
      </c>
      <c r="T78" s="56">
        <f t="shared" si="38"/>
        <v>3.4482758620689655E-2</v>
      </c>
      <c r="U78" s="57">
        <f t="shared" si="39"/>
        <v>-0.68599999999999994</v>
      </c>
      <c r="V78" s="58">
        <f t="shared" si="40"/>
        <v>-5.4900000000000004E-2</v>
      </c>
    </row>
    <row r="79" spans="1:22">
      <c r="A79" s="135">
        <v>68</v>
      </c>
      <c r="B79" s="133" t="s">
        <v>123</v>
      </c>
      <c r="C79" s="134" t="s">
        <v>65</v>
      </c>
      <c r="D79" s="29">
        <v>2049643300.84286</v>
      </c>
      <c r="E79" s="30">
        <f t="shared" si="41"/>
        <v>1.0214399254297023E-2</v>
      </c>
      <c r="F79" s="29">
        <v>4523.6701566694001</v>
      </c>
      <c r="G79" s="29">
        <v>4523.6701566694001</v>
      </c>
      <c r="H79" s="32">
        <v>1094</v>
      </c>
      <c r="I79" s="50">
        <v>0.10773710899984018</v>
      </c>
      <c r="J79" s="50">
        <v>0.12345127518726494</v>
      </c>
      <c r="K79" s="29">
        <v>2054753129.9118299</v>
      </c>
      <c r="L79" s="30">
        <f t="shared" si="35"/>
        <v>9.8456186449102714E-3</v>
      </c>
      <c r="M79" s="29">
        <v>4532.8186100355997</v>
      </c>
      <c r="N79" s="29">
        <v>4532.8186100355997</v>
      </c>
      <c r="O79" s="32">
        <v>1096</v>
      </c>
      <c r="P79" s="50">
        <v>0.10545121116944002</v>
      </c>
      <c r="Q79" s="50">
        <v>0.12243610462831089</v>
      </c>
      <c r="R79" s="56">
        <f t="shared" si="36"/>
        <v>2.4930333326138683E-3</v>
      </c>
      <c r="S79" s="56">
        <f t="shared" si="37"/>
        <v>2.0223519950303566E-3</v>
      </c>
      <c r="T79" s="56">
        <f t="shared" si="38"/>
        <v>1.8281535648994515E-3</v>
      </c>
      <c r="U79" s="57">
        <f t="shared" si="39"/>
        <v>-2.2858978304001604E-3</v>
      </c>
      <c r="V79" s="58">
        <f t="shared" si="40"/>
        <v>-1.0151705589540455E-3</v>
      </c>
    </row>
    <row r="80" spans="1:22">
      <c r="A80" s="135">
        <v>69</v>
      </c>
      <c r="B80" s="133" t="s">
        <v>124</v>
      </c>
      <c r="C80" s="134" t="s">
        <v>67</v>
      </c>
      <c r="D80" s="29">
        <v>343048837.06</v>
      </c>
      <c r="E80" s="30">
        <f t="shared" si="41"/>
        <v>1.709584191557714E-3</v>
      </c>
      <c r="F80" s="60">
        <v>113.74</v>
      </c>
      <c r="G80" s="60">
        <v>113.74</v>
      </c>
      <c r="H80" s="32">
        <v>136</v>
      </c>
      <c r="I80" s="50">
        <v>2.3999999999999998E-3</v>
      </c>
      <c r="J80" s="50">
        <v>0.12740000000000001</v>
      </c>
      <c r="K80" s="29">
        <v>343999582.81999999</v>
      </c>
      <c r="L80" s="30">
        <f t="shared" si="35"/>
        <v>1.6483190399613989E-3</v>
      </c>
      <c r="M80" s="60">
        <v>114</v>
      </c>
      <c r="N80" s="60">
        <v>114</v>
      </c>
      <c r="O80" s="32">
        <v>136</v>
      </c>
      <c r="P80" s="50">
        <v>2.3E-3</v>
      </c>
      <c r="Q80" s="50">
        <v>0.1275</v>
      </c>
      <c r="R80" s="56">
        <f t="shared" si="36"/>
        <v>2.7714589215578739E-3</v>
      </c>
      <c r="S80" s="56">
        <f t="shared" si="37"/>
        <v>2.2859152452963348E-3</v>
      </c>
      <c r="T80" s="56">
        <f t="shared" si="38"/>
        <v>0</v>
      </c>
      <c r="U80" s="57">
        <f t="shared" si="39"/>
        <v>-9.9999999999999829E-5</v>
      </c>
      <c r="V80" s="58">
        <f t="shared" si="40"/>
        <v>9.9999999999988987E-5</v>
      </c>
    </row>
    <row r="81" spans="1:22" ht="13.5" customHeight="1">
      <c r="A81" s="135">
        <v>70</v>
      </c>
      <c r="B81" s="133" t="s">
        <v>125</v>
      </c>
      <c r="C81" s="134" t="s">
        <v>301</v>
      </c>
      <c r="D81" s="29">
        <v>367840223.13999999</v>
      </c>
      <c r="E81" s="30">
        <f t="shared" si="41"/>
        <v>1.8331320866399499E-3</v>
      </c>
      <c r="F81" s="60">
        <v>1.4012</v>
      </c>
      <c r="G81" s="60">
        <v>1.4012</v>
      </c>
      <c r="H81" s="32">
        <v>403</v>
      </c>
      <c r="I81" s="50">
        <v>3.2937133037376221E-3</v>
      </c>
      <c r="J81" s="50">
        <v>6.740339673969109E-2</v>
      </c>
      <c r="K81" s="29">
        <v>368863800.5</v>
      </c>
      <c r="L81" s="30">
        <f t="shared" si="35"/>
        <v>1.7674591943758712E-3</v>
      </c>
      <c r="M81" s="60">
        <v>1.4027000000000001</v>
      </c>
      <c r="N81" s="60">
        <v>1.4027000000000001</v>
      </c>
      <c r="O81" s="32">
        <v>409</v>
      </c>
      <c r="P81" s="50">
        <v>1.0705109905795318E-3</v>
      </c>
      <c r="Q81" s="50">
        <v>6.8498686991607882E-2</v>
      </c>
      <c r="R81" s="56">
        <f t="shared" si="36"/>
        <v>2.782668385916134E-3</v>
      </c>
      <c r="S81" s="56">
        <f t="shared" si="37"/>
        <v>1.070510990579544E-3</v>
      </c>
      <c r="T81" s="56">
        <f t="shared" si="38"/>
        <v>1.488833746898263E-2</v>
      </c>
      <c r="U81" s="57">
        <f t="shared" si="39"/>
        <v>-2.2232023131580902E-3</v>
      </c>
      <c r="V81" s="58">
        <f t="shared" si="40"/>
        <v>1.0952902519167917E-3</v>
      </c>
    </row>
    <row r="82" spans="1:22" ht="13.5" customHeight="1">
      <c r="A82" s="135">
        <v>71</v>
      </c>
      <c r="B82" s="133" t="s">
        <v>299</v>
      </c>
      <c r="C82" s="134" t="s">
        <v>301</v>
      </c>
      <c r="D82" s="29">
        <v>25428990.530000001</v>
      </c>
      <c r="E82" s="30">
        <f t="shared" ref="E82" si="42">(D82/$D$109)</f>
        <v>1.2672539743883548E-4</v>
      </c>
      <c r="F82" s="60">
        <v>0.88849999999999996</v>
      </c>
      <c r="G82" s="60">
        <v>0.88849999999999996</v>
      </c>
      <c r="H82" s="32">
        <v>1</v>
      </c>
      <c r="I82" s="50">
        <v>-1.6853932584269815E-3</v>
      </c>
      <c r="J82" s="50">
        <v>-9.0117767537122417E-2</v>
      </c>
      <c r="K82" s="29">
        <v>25508171.59</v>
      </c>
      <c r="L82" s="30">
        <f t="shared" ref="L82" si="43">(K82/$K$109)</f>
        <v>1.2222574388527692E-4</v>
      </c>
      <c r="M82" s="60">
        <v>0.88819999999999999</v>
      </c>
      <c r="N82" s="60">
        <v>0.88819999999999999</v>
      </c>
      <c r="O82" s="32">
        <v>1</v>
      </c>
      <c r="P82" s="50">
        <v>-3.3764772087785389E-4</v>
      </c>
      <c r="Q82" s="50">
        <v>-9.0424987199180795E-2</v>
      </c>
      <c r="R82" s="56">
        <f t="shared" ref="R82" si="44">((K82-D82)/D82)</f>
        <v>3.1138105897905912E-3</v>
      </c>
      <c r="S82" s="56">
        <f t="shared" ref="S82" si="45">((N82-G82)/G82)</f>
        <v>-3.3764772087784689E-4</v>
      </c>
      <c r="T82" s="56">
        <f t="shared" ref="T82" si="46">((O82-H82)/H82)</f>
        <v>0</v>
      </c>
      <c r="U82" s="57">
        <f t="shared" ref="U82" si="47">P82-I82</f>
        <v>1.3477455375491276E-3</v>
      </c>
      <c r="V82" s="58">
        <f t="shared" ref="V82" si="48">Q82-J82</f>
        <v>-3.0721966205837781E-4</v>
      </c>
    </row>
    <row r="83" spans="1:22">
      <c r="A83" s="135">
        <v>72</v>
      </c>
      <c r="B83" s="133" t="s">
        <v>127</v>
      </c>
      <c r="C83" s="134" t="s">
        <v>29</v>
      </c>
      <c r="D83" s="29">
        <v>135489716.06</v>
      </c>
      <c r="E83" s="30">
        <f t="shared" si="41"/>
        <v>6.7521312323908715E-4</v>
      </c>
      <c r="F83" s="60">
        <v>135.59569999999999</v>
      </c>
      <c r="G83" s="60">
        <v>135.59569999999999</v>
      </c>
      <c r="H83" s="32">
        <v>219</v>
      </c>
      <c r="I83" s="50">
        <v>1.5250000000000001E-3</v>
      </c>
      <c r="J83" s="50">
        <v>3.6999999999999998E-2</v>
      </c>
      <c r="K83" s="29">
        <v>135471196.43000001</v>
      </c>
      <c r="L83" s="30">
        <f t="shared" si="35"/>
        <v>6.4912797454979101E-4</v>
      </c>
      <c r="M83" s="60">
        <v>135.96119999999999</v>
      </c>
      <c r="N83" s="60">
        <v>135.96119999999999</v>
      </c>
      <c r="O83" s="32">
        <v>220</v>
      </c>
      <c r="P83" s="50">
        <v>1.536E-3</v>
      </c>
      <c r="Q83" s="50">
        <v>3.9800000000000002E-2</v>
      </c>
      <c r="R83" s="56">
        <f t="shared" si="36"/>
        <v>-1.3668661016157148E-4</v>
      </c>
      <c r="S83" s="56">
        <f t="shared" si="37"/>
        <v>2.6955132058022291E-3</v>
      </c>
      <c r="T83" s="56">
        <f t="shared" si="38"/>
        <v>4.5662100456621002E-3</v>
      </c>
      <c r="U83" s="57">
        <f t="shared" si="39"/>
        <v>1.0999999999999942E-5</v>
      </c>
      <c r="V83" s="58">
        <f t="shared" si="40"/>
        <v>2.8000000000000039E-3</v>
      </c>
    </row>
    <row r="84" spans="1:22">
      <c r="A84" s="135">
        <v>73</v>
      </c>
      <c r="B84" s="133" t="s">
        <v>128</v>
      </c>
      <c r="C84" s="134" t="s">
        <v>98</v>
      </c>
      <c r="D84" s="29">
        <v>1528389937.0300002</v>
      </c>
      <c r="E84" s="30">
        <f t="shared" si="41"/>
        <v>7.6167326415549821E-3</v>
      </c>
      <c r="F84" s="35">
        <v>1000</v>
      </c>
      <c r="G84" s="35">
        <v>1000</v>
      </c>
      <c r="H84" s="32">
        <v>341</v>
      </c>
      <c r="I84" s="50">
        <v>1.14E-2</v>
      </c>
      <c r="J84" s="50">
        <v>0.1991</v>
      </c>
      <c r="K84" s="29">
        <v>1530916448.8700004</v>
      </c>
      <c r="L84" s="30">
        <f t="shared" si="35"/>
        <v>7.3355866032631745E-3</v>
      </c>
      <c r="M84" s="35">
        <v>1000</v>
      </c>
      <c r="N84" s="35">
        <v>1000</v>
      </c>
      <c r="O84" s="32">
        <v>345</v>
      </c>
      <c r="P84" s="50">
        <v>1.17E-2</v>
      </c>
      <c r="Q84" s="50">
        <v>0.20669999999999999</v>
      </c>
      <c r="R84" s="56">
        <f t="shared" si="36"/>
        <v>1.6530544848454866E-3</v>
      </c>
      <c r="S84" s="56">
        <f t="shared" si="37"/>
        <v>0</v>
      </c>
      <c r="T84" s="56">
        <f t="shared" si="38"/>
        <v>1.1730205278592375E-2</v>
      </c>
      <c r="U84" s="57">
        <f t="shared" si="39"/>
        <v>2.9999999999999992E-4</v>
      </c>
      <c r="V84" s="58">
        <f t="shared" si="40"/>
        <v>7.5999999999999956E-3</v>
      </c>
    </row>
    <row r="85" spans="1:22">
      <c r="A85" s="135">
        <v>74</v>
      </c>
      <c r="B85" s="133" t="s">
        <v>129</v>
      </c>
      <c r="C85" s="134" t="s">
        <v>72</v>
      </c>
      <c r="D85" s="29">
        <v>174812948.47999999</v>
      </c>
      <c r="E85" s="30">
        <f t="shared" si="41"/>
        <v>8.7118048777623535E-4</v>
      </c>
      <c r="F85" s="35">
        <v>1052.8800000000001</v>
      </c>
      <c r="G85" s="35">
        <v>1062.95</v>
      </c>
      <c r="H85" s="32">
        <v>71</v>
      </c>
      <c r="I85" s="50">
        <v>3.0000000000000001E-3</v>
      </c>
      <c r="J85" s="50">
        <v>4.6600000000000003E-2</v>
      </c>
      <c r="K85" s="29">
        <v>175008753.22</v>
      </c>
      <c r="L85" s="30">
        <f t="shared" si="35"/>
        <v>8.3857735444805963E-4</v>
      </c>
      <c r="M85" s="35">
        <v>1053.76</v>
      </c>
      <c r="N85" s="35">
        <v>1064.4000000000001</v>
      </c>
      <c r="O85" s="32">
        <v>71</v>
      </c>
      <c r="P85" s="50">
        <v>1.1999999999999999E-3</v>
      </c>
      <c r="Q85" s="50">
        <v>4.7800000000000002E-2</v>
      </c>
      <c r="R85" s="56">
        <f t="shared" si="36"/>
        <v>1.1200814453536385E-3</v>
      </c>
      <c r="S85" s="56">
        <f t="shared" si="37"/>
        <v>1.3641281339668333E-3</v>
      </c>
      <c r="T85" s="56">
        <f t="shared" si="38"/>
        <v>0</v>
      </c>
      <c r="U85" s="57">
        <f t="shared" si="39"/>
        <v>-1.8000000000000002E-3</v>
      </c>
      <c r="V85" s="58">
        <f t="shared" si="40"/>
        <v>1.1999999999999997E-3</v>
      </c>
    </row>
    <row r="86" spans="1:22">
      <c r="A86" s="135">
        <v>75</v>
      </c>
      <c r="B86" s="133" t="s">
        <v>130</v>
      </c>
      <c r="C86" s="134" t="s">
        <v>75</v>
      </c>
      <c r="D86" s="29">
        <v>655106356.96000004</v>
      </c>
      <c r="E86" s="30">
        <f t="shared" si="41"/>
        <v>3.2647231258559769E-3</v>
      </c>
      <c r="F86" s="61">
        <v>1.1796</v>
      </c>
      <c r="G86" s="61">
        <v>1.1796</v>
      </c>
      <c r="H86" s="32">
        <v>47</v>
      </c>
      <c r="I86" s="50">
        <v>1.4E-3</v>
      </c>
      <c r="J86" s="50">
        <v>0.12379999999999999</v>
      </c>
      <c r="K86" s="29">
        <v>656475375.76999998</v>
      </c>
      <c r="L86" s="30">
        <f t="shared" si="35"/>
        <v>3.1455877134412419E-3</v>
      </c>
      <c r="M86" s="61">
        <v>1.1819999999999999</v>
      </c>
      <c r="N86" s="61">
        <v>1.1819999999999999</v>
      </c>
      <c r="O86" s="32">
        <v>47</v>
      </c>
      <c r="P86" s="50">
        <v>1.4E-3</v>
      </c>
      <c r="Q86" s="50">
        <v>0.1225</v>
      </c>
      <c r="R86" s="56">
        <f t="shared" si="36"/>
        <v>2.0897657234663857E-3</v>
      </c>
      <c r="S86" s="56">
        <f t="shared" si="37"/>
        <v>2.0345879959307884E-3</v>
      </c>
      <c r="T86" s="56">
        <f t="shared" si="38"/>
        <v>0</v>
      </c>
      <c r="U86" s="57">
        <f t="shared" si="39"/>
        <v>0</v>
      </c>
      <c r="V86" s="58">
        <f t="shared" si="40"/>
        <v>-1.2999999999999956E-3</v>
      </c>
    </row>
    <row r="87" spans="1:22">
      <c r="A87" s="135">
        <v>76</v>
      </c>
      <c r="B87" s="133" t="s">
        <v>131</v>
      </c>
      <c r="C87" s="134" t="s">
        <v>31</v>
      </c>
      <c r="D87" s="29">
        <v>12441378684.360001</v>
      </c>
      <c r="E87" s="30">
        <f t="shared" si="41"/>
        <v>6.2001621991345998E-2</v>
      </c>
      <c r="F87" s="61">
        <v>1704.83</v>
      </c>
      <c r="G87" s="61">
        <v>1704.83</v>
      </c>
      <c r="H87" s="32">
        <v>2125</v>
      </c>
      <c r="I87" s="50">
        <v>8.0000000000000004E-4</v>
      </c>
      <c r="J87" s="50">
        <v>7.0000000000000001E-3</v>
      </c>
      <c r="K87" s="29">
        <v>12411223919.809999</v>
      </c>
      <c r="L87" s="30">
        <f t="shared" si="35"/>
        <v>5.9470004377743003E-2</v>
      </c>
      <c r="M87" s="61">
        <v>1707</v>
      </c>
      <c r="N87" s="61">
        <v>1707</v>
      </c>
      <c r="O87" s="32">
        <v>2116</v>
      </c>
      <c r="P87" s="50">
        <v>1.2999999999999999E-3</v>
      </c>
      <c r="Q87" s="50">
        <v>8.3000000000000001E-3</v>
      </c>
      <c r="R87" s="56">
        <f t="shared" si="36"/>
        <v>-2.4237478269115431E-3</v>
      </c>
      <c r="S87" s="56">
        <f t="shared" si="37"/>
        <v>1.272854184874781E-3</v>
      </c>
      <c r="T87" s="56">
        <f t="shared" si="38"/>
        <v>-4.2352941176470585E-3</v>
      </c>
      <c r="U87" s="57">
        <f t="shared" si="39"/>
        <v>4.999999999999999E-4</v>
      </c>
      <c r="V87" s="58">
        <f t="shared" si="40"/>
        <v>1.2999999999999999E-3</v>
      </c>
    </row>
    <row r="88" spans="1:22">
      <c r="A88" s="135">
        <v>77</v>
      </c>
      <c r="B88" s="133" t="s">
        <v>132</v>
      </c>
      <c r="C88" s="134" t="s">
        <v>80</v>
      </c>
      <c r="D88" s="29">
        <v>23247828.109999999</v>
      </c>
      <c r="E88" s="30">
        <f t="shared" si="41"/>
        <v>1.158555725345768E-4</v>
      </c>
      <c r="F88" s="60">
        <v>0.72709999999999997</v>
      </c>
      <c r="G88" s="60">
        <v>0.72709999999999997</v>
      </c>
      <c r="H88" s="32">
        <v>746</v>
      </c>
      <c r="I88" s="50">
        <v>-2.4899999999999999E-2</v>
      </c>
      <c r="J88" s="50">
        <v>-1.0699999999999999E-2</v>
      </c>
      <c r="K88" s="29">
        <v>23299951.690000001</v>
      </c>
      <c r="L88" s="30">
        <f t="shared" si="35"/>
        <v>1.1164476911852487E-4</v>
      </c>
      <c r="M88" s="60">
        <v>0.71060000000000001</v>
      </c>
      <c r="N88" s="60">
        <v>0.71060000000000001</v>
      </c>
      <c r="O88" s="32">
        <v>746</v>
      </c>
      <c r="P88" s="50">
        <v>2.3E-3</v>
      </c>
      <c r="Q88" s="50">
        <v>-8.5000000000000006E-3</v>
      </c>
      <c r="R88" s="56">
        <f t="shared" si="36"/>
        <v>2.2420838520214757E-3</v>
      </c>
      <c r="S88" s="56">
        <f t="shared" si="37"/>
        <v>-2.2692889561270746E-2</v>
      </c>
      <c r="T88" s="56">
        <f t="shared" si="38"/>
        <v>0</v>
      </c>
      <c r="U88" s="57">
        <f t="shared" si="39"/>
        <v>2.7199999999999998E-2</v>
      </c>
      <c r="V88" s="58">
        <f t="shared" si="40"/>
        <v>2.1999999999999988E-3</v>
      </c>
    </row>
    <row r="89" spans="1:22">
      <c r="A89" s="135">
        <v>78</v>
      </c>
      <c r="B89" s="133" t="s">
        <v>133</v>
      </c>
      <c r="C89" s="134" t="s">
        <v>37</v>
      </c>
      <c r="D89" s="29">
        <v>10957365246.879999</v>
      </c>
      <c r="E89" s="30">
        <f t="shared" si="41"/>
        <v>5.4606039675667441E-2</v>
      </c>
      <c r="F89" s="60">
        <v>1</v>
      </c>
      <c r="G89" s="60">
        <v>1</v>
      </c>
      <c r="H89" s="32">
        <v>4278</v>
      </c>
      <c r="I89" s="50">
        <v>0.06</v>
      </c>
      <c r="J89" s="50">
        <v>0.06</v>
      </c>
      <c r="K89" s="29">
        <v>11020432925.049999</v>
      </c>
      <c r="L89" s="30">
        <f t="shared" si="35"/>
        <v>5.2805847234071959E-2</v>
      </c>
      <c r="M89" s="60">
        <v>1</v>
      </c>
      <c r="N89" s="60">
        <v>1</v>
      </c>
      <c r="O89" s="32">
        <v>4277</v>
      </c>
      <c r="P89" s="50">
        <v>0.06</v>
      </c>
      <c r="Q89" s="50">
        <v>0.06</v>
      </c>
      <c r="R89" s="56">
        <f t="shared" si="36"/>
        <v>5.7557338601958137E-3</v>
      </c>
      <c r="S89" s="56">
        <f t="shared" si="37"/>
        <v>0</v>
      </c>
      <c r="T89" s="56">
        <f t="shared" si="38"/>
        <v>-2.337540906965872E-4</v>
      </c>
      <c r="U89" s="57">
        <f t="shared" si="39"/>
        <v>0</v>
      </c>
      <c r="V89" s="58">
        <f t="shared" si="40"/>
        <v>0</v>
      </c>
    </row>
    <row r="90" spans="1:22">
      <c r="A90" s="135">
        <v>79</v>
      </c>
      <c r="B90" s="133" t="s">
        <v>134</v>
      </c>
      <c r="C90" s="134" t="s">
        <v>135</v>
      </c>
      <c r="D90" s="29">
        <v>1569785170.24</v>
      </c>
      <c r="E90" s="30">
        <f t="shared" si="41"/>
        <v>7.8230258239139795E-3</v>
      </c>
      <c r="F90" s="29">
        <v>246.23</v>
      </c>
      <c r="G90" s="29">
        <v>248.2</v>
      </c>
      <c r="H90" s="32">
        <v>511</v>
      </c>
      <c r="I90" s="50">
        <v>3.0000000000000001E-3</v>
      </c>
      <c r="J90" s="50">
        <v>0.1865</v>
      </c>
      <c r="K90" s="29">
        <v>1577798202.6099999</v>
      </c>
      <c r="L90" s="30">
        <f t="shared" si="35"/>
        <v>7.5602266644020219E-3</v>
      </c>
      <c r="M90" s="29">
        <v>246.98</v>
      </c>
      <c r="N90" s="29">
        <v>249.04</v>
      </c>
      <c r="O90" s="32">
        <v>517</v>
      </c>
      <c r="P90" s="50">
        <v>3.0000000000000001E-3</v>
      </c>
      <c r="Q90" s="50">
        <v>0.1865</v>
      </c>
      <c r="R90" s="56">
        <f t="shared" si="36"/>
        <v>5.1045407498497364E-3</v>
      </c>
      <c r="S90" s="56">
        <f t="shared" si="37"/>
        <v>3.384367445608394E-3</v>
      </c>
      <c r="T90" s="56">
        <f t="shared" si="38"/>
        <v>1.1741682974559686E-2</v>
      </c>
      <c r="U90" s="57">
        <f t="shared" si="39"/>
        <v>0</v>
      </c>
      <c r="V90" s="58">
        <f t="shared" si="40"/>
        <v>0</v>
      </c>
    </row>
    <row r="91" spans="1:22">
      <c r="A91" s="135">
        <v>80</v>
      </c>
      <c r="B91" s="133" t="s">
        <v>136</v>
      </c>
      <c r="C91" s="134" t="s">
        <v>41</v>
      </c>
      <c r="D91" s="29">
        <v>1115986486.5999999</v>
      </c>
      <c r="E91" s="30">
        <f t="shared" si="41"/>
        <v>5.5615196711764486E-3</v>
      </c>
      <c r="F91" s="60">
        <v>3.71</v>
      </c>
      <c r="G91" s="60">
        <v>3.71</v>
      </c>
      <c r="H91" s="46">
        <v>773</v>
      </c>
      <c r="I91" s="53">
        <v>1.9E-3</v>
      </c>
      <c r="J91" s="53">
        <v>9.4899999999999998E-2</v>
      </c>
      <c r="K91" s="29">
        <v>1117939529.8800001</v>
      </c>
      <c r="L91" s="30">
        <f t="shared" si="35"/>
        <v>5.3567536260383051E-3</v>
      </c>
      <c r="M91" s="60">
        <v>3.72</v>
      </c>
      <c r="N91" s="60">
        <v>3.72</v>
      </c>
      <c r="O91" s="46">
        <v>772</v>
      </c>
      <c r="P91" s="53">
        <v>1.9E-3</v>
      </c>
      <c r="Q91" s="53">
        <v>9.5500000000000002E-2</v>
      </c>
      <c r="R91" s="56">
        <f t="shared" si="36"/>
        <v>1.7500599724557721E-3</v>
      </c>
      <c r="S91" s="56">
        <f t="shared" si="37"/>
        <v>2.6954177897574746E-3</v>
      </c>
      <c r="T91" s="56">
        <f t="shared" si="38"/>
        <v>-1.29366106080207E-3</v>
      </c>
      <c r="U91" s="57">
        <f t="shared" si="39"/>
        <v>0</v>
      </c>
      <c r="V91" s="58">
        <f t="shared" si="40"/>
        <v>6.0000000000000331E-4</v>
      </c>
    </row>
    <row r="92" spans="1:22">
      <c r="A92" s="135">
        <v>81</v>
      </c>
      <c r="B92" s="133" t="s">
        <v>137</v>
      </c>
      <c r="C92" s="134" t="s">
        <v>43</v>
      </c>
      <c r="D92" s="29">
        <v>578874988.45000005</v>
      </c>
      <c r="E92" s="30">
        <f t="shared" si="41"/>
        <v>2.884824031539232E-3</v>
      </c>
      <c r="F92" s="60">
        <v>108.24621999999999</v>
      </c>
      <c r="G92" s="60">
        <v>108.24621999999999</v>
      </c>
      <c r="H92" s="46">
        <v>59</v>
      </c>
      <c r="I92" s="53">
        <v>0.14960000000000001</v>
      </c>
      <c r="J92" s="53">
        <v>0.17319999999999999</v>
      </c>
      <c r="K92" s="29">
        <v>581557792.33000004</v>
      </c>
      <c r="L92" s="30">
        <f t="shared" si="35"/>
        <v>2.7866103036440193E-3</v>
      </c>
      <c r="M92" s="60">
        <v>108.68188000000001</v>
      </c>
      <c r="N92" s="60">
        <v>108.68188000000001</v>
      </c>
      <c r="O92" s="46">
        <v>59</v>
      </c>
      <c r="P92" s="53">
        <v>0.1497</v>
      </c>
      <c r="Q92" s="53">
        <v>0.17319999999999999</v>
      </c>
      <c r="R92" s="56">
        <f t="shared" si="36"/>
        <v>4.6345133811766352E-3</v>
      </c>
      <c r="S92" s="56">
        <f t="shared" si="37"/>
        <v>4.0247132879098488E-3</v>
      </c>
      <c r="T92" s="56">
        <f t="shared" si="38"/>
        <v>0</v>
      </c>
      <c r="U92" s="57">
        <f t="shared" si="39"/>
        <v>9.9999999999988987E-5</v>
      </c>
      <c r="V92" s="58">
        <f t="shared" si="40"/>
        <v>0</v>
      </c>
    </row>
    <row r="93" spans="1:22">
      <c r="A93" s="135">
        <v>82</v>
      </c>
      <c r="B93" s="134" t="s">
        <v>138</v>
      </c>
      <c r="C93" s="142" t="s">
        <v>47</v>
      </c>
      <c r="D93" s="29">
        <v>1441824525.6900001</v>
      </c>
      <c r="E93" s="30">
        <f t="shared" si="41"/>
        <v>7.1853338353941223E-3</v>
      </c>
      <c r="F93" s="60">
        <v>99.9</v>
      </c>
      <c r="G93" s="60">
        <v>99.9</v>
      </c>
      <c r="H93" s="32">
        <v>289</v>
      </c>
      <c r="I93" s="50">
        <v>1.4E-3</v>
      </c>
      <c r="J93" s="50">
        <v>2.6599999999999999E-2</v>
      </c>
      <c r="K93" s="29">
        <v>1453271837.9100001</v>
      </c>
      <c r="L93" s="30">
        <f t="shared" si="35"/>
        <v>6.9635422840619741E-3</v>
      </c>
      <c r="M93" s="60">
        <v>100.11</v>
      </c>
      <c r="N93" s="60">
        <v>100.11</v>
      </c>
      <c r="O93" s="32">
        <v>289</v>
      </c>
      <c r="P93" s="50">
        <v>2E-3</v>
      </c>
      <c r="Q93" s="50">
        <v>2.86E-2</v>
      </c>
      <c r="R93" s="56">
        <f t="shared" si="36"/>
        <v>7.9394628236898659E-3</v>
      </c>
      <c r="S93" s="56">
        <f t="shared" si="37"/>
        <v>2.1021021021020393E-3</v>
      </c>
      <c r="T93" s="56">
        <f t="shared" si="38"/>
        <v>0</v>
      </c>
      <c r="U93" s="57">
        <f t="shared" si="39"/>
        <v>6.0000000000000006E-4</v>
      </c>
      <c r="V93" s="58">
        <f t="shared" si="40"/>
        <v>2.0000000000000018E-3</v>
      </c>
    </row>
    <row r="94" spans="1:22">
      <c r="A94" s="135">
        <v>83</v>
      </c>
      <c r="B94" s="133" t="s">
        <v>139</v>
      </c>
      <c r="C94" s="134" t="s">
        <v>19</v>
      </c>
      <c r="D94" s="29">
        <v>1408205985.1600001</v>
      </c>
      <c r="E94" s="30">
        <f t="shared" si="41"/>
        <v>7.0177958080803087E-3</v>
      </c>
      <c r="F94" s="60">
        <v>354.79700000000003</v>
      </c>
      <c r="G94" s="60">
        <v>354.79700000000003</v>
      </c>
      <c r="H94" s="32">
        <v>196</v>
      </c>
      <c r="I94" s="50">
        <v>2.5999999999999999E-3</v>
      </c>
      <c r="J94" s="50">
        <v>3.4500000000000003E-2</v>
      </c>
      <c r="K94" s="29">
        <v>1413561721.3599999</v>
      </c>
      <c r="L94" s="30">
        <f t="shared" si="35"/>
        <v>6.7732660614809098E-3</v>
      </c>
      <c r="M94" s="60">
        <v>355.71350000000001</v>
      </c>
      <c r="N94" s="60">
        <v>355.71350000000001</v>
      </c>
      <c r="O94" s="32">
        <v>196</v>
      </c>
      <c r="P94" s="50">
        <v>2.5999999999999999E-3</v>
      </c>
      <c r="Q94" s="50">
        <v>3.6999999999999998E-2</v>
      </c>
      <c r="R94" s="56">
        <f t="shared" si="36"/>
        <v>3.8032335158633E-3</v>
      </c>
      <c r="S94" s="56">
        <f t="shared" si="37"/>
        <v>2.5831672759352108E-3</v>
      </c>
      <c r="T94" s="56">
        <f t="shared" si="38"/>
        <v>0</v>
      </c>
      <c r="U94" s="57">
        <f t="shared" si="39"/>
        <v>0</v>
      </c>
      <c r="V94" s="58">
        <f t="shared" si="40"/>
        <v>2.4999999999999953E-3</v>
      </c>
    </row>
    <row r="95" spans="1:22">
      <c r="A95" s="135">
        <v>84</v>
      </c>
      <c r="B95" s="133" t="s">
        <v>140</v>
      </c>
      <c r="C95" s="134" t="s">
        <v>89</v>
      </c>
      <c r="D95" s="44">
        <v>1525717876</v>
      </c>
      <c r="E95" s="30">
        <f>(D95/$K$69)</f>
        <v>5.8034983281696553E-4</v>
      </c>
      <c r="F95" s="60">
        <v>101.52</v>
      </c>
      <c r="G95" s="60">
        <v>101.52</v>
      </c>
      <c r="H95" s="32">
        <v>389</v>
      </c>
      <c r="I95" s="50">
        <v>2.8999999999999998E-3</v>
      </c>
      <c r="J95" s="50">
        <v>0.14360000000000001</v>
      </c>
      <c r="K95" s="44">
        <v>1527979760</v>
      </c>
      <c r="L95" s="30">
        <f>(K95/$K$69)</f>
        <v>5.8121020420141367E-4</v>
      </c>
      <c r="M95" s="60">
        <v>101.82</v>
      </c>
      <c r="N95" s="60">
        <v>101.82</v>
      </c>
      <c r="O95" s="32">
        <v>389</v>
      </c>
      <c r="P95" s="50">
        <v>2.8999999999999998E-3</v>
      </c>
      <c r="Q95" s="50">
        <v>0.14419999999999999</v>
      </c>
      <c r="R95" s="56">
        <f t="shared" si="36"/>
        <v>1.482504751094625E-3</v>
      </c>
      <c r="S95" s="56">
        <f t="shared" si="37"/>
        <v>2.955082742316757E-3</v>
      </c>
      <c r="T95" s="56">
        <f t="shared" si="38"/>
        <v>0</v>
      </c>
      <c r="U95" s="57">
        <f t="shared" si="39"/>
        <v>0</v>
      </c>
      <c r="V95" s="58">
        <f t="shared" si="40"/>
        <v>5.9999999999998943E-4</v>
      </c>
    </row>
    <row r="96" spans="1:22">
      <c r="A96" s="135">
        <v>85</v>
      </c>
      <c r="B96" s="133" t="s">
        <v>141</v>
      </c>
      <c r="C96" s="134" t="s">
        <v>45</v>
      </c>
      <c r="D96" s="29">
        <v>60133433.869999997</v>
      </c>
      <c r="E96" s="30">
        <f t="shared" ref="E96:E108" si="49">(D96/$D$109)</f>
        <v>2.9967502239412259E-4</v>
      </c>
      <c r="F96" s="29">
        <v>12.5</v>
      </c>
      <c r="G96" s="29">
        <v>12.89</v>
      </c>
      <c r="H96" s="32">
        <v>58</v>
      </c>
      <c r="I96" s="50">
        <v>4.3E-3</v>
      </c>
      <c r="J96" s="50">
        <v>1.9699999999999999E-2</v>
      </c>
      <c r="K96" s="29">
        <v>60225348.18</v>
      </c>
      <c r="L96" s="30">
        <f t="shared" ref="L96:L108" si="50">(K96/$K$109)</f>
        <v>2.8857764093668262E-4</v>
      </c>
      <c r="M96" s="29">
        <v>12.5</v>
      </c>
      <c r="N96" s="29">
        <v>12.89</v>
      </c>
      <c r="O96" s="32">
        <v>58</v>
      </c>
      <c r="P96" s="50">
        <v>8.0000000000000004E-4</v>
      </c>
      <c r="Q96" s="50">
        <v>2.6200000000000001E-2</v>
      </c>
      <c r="R96" s="56">
        <f t="shared" si="36"/>
        <v>1.5285059256504154E-3</v>
      </c>
      <c r="S96" s="56">
        <f t="shared" si="37"/>
        <v>0</v>
      </c>
      <c r="T96" s="56">
        <f t="shared" si="38"/>
        <v>0</v>
      </c>
      <c r="U96" s="57">
        <f t="shared" si="39"/>
        <v>-3.5000000000000001E-3</v>
      </c>
      <c r="V96" s="58">
        <f t="shared" si="40"/>
        <v>6.5000000000000023E-3</v>
      </c>
    </row>
    <row r="97" spans="1:28">
      <c r="A97" s="135">
        <v>86</v>
      </c>
      <c r="B97" s="133" t="s">
        <v>142</v>
      </c>
      <c r="C97" s="134" t="s">
        <v>143</v>
      </c>
      <c r="D97" s="29">
        <v>510933201.04000002</v>
      </c>
      <c r="E97" s="30">
        <f t="shared" si="49"/>
        <v>2.5462360721753129E-3</v>
      </c>
      <c r="F97" s="29">
        <v>137.31</v>
      </c>
      <c r="G97" s="29">
        <v>137.31</v>
      </c>
      <c r="H97" s="32">
        <v>129</v>
      </c>
      <c r="I97" s="50">
        <v>0.19359999999999999</v>
      </c>
      <c r="J97" s="50">
        <v>0.19739999999999999</v>
      </c>
      <c r="K97" s="29">
        <v>512735496.08999997</v>
      </c>
      <c r="L97" s="30">
        <f t="shared" si="50"/>
        <v>2.4568392605040785E-3</v>
      </c>
      <c r="M97" s="29">
        <v>137.79</v>
      </c>
      <c r="N97" s="29">
        <v>137.79</v>
      </c>
      <c r="O97" s="32">
        <v>130</v>
      </c>
      <c r="P97" s="50">
        <v>0.20610000000000001</v>
      </c>
      <c r="Q97" s="50">
        <v>0.19769999999999999</v>
      </c>
      <c r="R97" s="56">
        <f t="shared" si="36"/>
        <v>3.5274573003504111E-3</v>
      </c>
      <c r="S97" s="56">
        <f t="shared" si="37"/>
        <v>3.4957395674021538E-3</v>
      </c>
      <c r="T97" s="56">
        <f t="shared" si="38"/>
        <v>7.7519379844961239E-3</v>
      </c>
      <c r="U97" s="57">
        <f t="shared" si="39"/>
        <v>1.2500000000000011E-2</v>
      </c>
      <c r="V97" s="58">
        <f t="shared" si="40"/>
        <v>2.9999999999999472E-4</v>
      </c>
    </row>
    <row r="98" spans="1:28">
      <c r="A98" s="135">
        <v>87</v>
      </c>
      <c r="B98" s="133" t="s">
        <v>144</v>
      </c>
      <c r="C98" s="134" t="s">
        <v>145</v>
      </c>
      <c r="D98" s="29">
        <v>8544732794.6516495</v>
      </c>
      <c r="E98" s="30">
        <f t="shared" si="49"/>
        <v>4.2582683655232052E-2</v>
      </c>
      <c r="F98" s="29">
        <v>1.05</v>
      </c>
      <c r="G98" s="29">
        <v>1.05</v>
      </c>
      <c r="H98" s="32">
        <v>4673</v>
      </c>
      <c r="I98" s="50">
        <v>0.19009999999999999</v>
      </c>
      <c r="J98" s="50">
        <v>0.19009999999999999</v>
      </c>
      <c r="K98" s="29">
        <v>8510556577.3443527</v>
      </c>
      <c r="L98" s="30">
        <f t="shared" si="50"/>
        <v>4.0779446103124235E-2</v>
      </c>
      <c r="M98" s="29">
        <v>1.0487294877355273</v>
      </c>
      <c r="N98" s="29">
        <v>1.0487294877355273</v>
      </c>
      <c r="O98" s="32">
        <v>4680</v>
      </c>
      <c r="P98" s="50">
        <v>0.19020000000000001</v>
      </c>
      <c r="Q98" s="50">
        <v>0.19020000000000001</v>
      </c>
      <c r="R98" s="56">
        <f t="shared" si="36"/>
        <v>-3.9996823924896112E-3</v>
      </c>
      <c r="S98" s="56">
        <f t="shared" si="37"/>
        <v>-1.2100116804502122E-3</v>
      </c>
      <c r="T98" s="56">
        <f t="shared" si="38"/>
        <v>1.497967044725016E-3</v>
      </c>
      <c r="U98" s="57">
        <f t="shared" si="39"/>
        <v>1.0000000000001674E-4</v>
      </c>
      <c r="V98" s="58">
        <f t="shared" si="40"/>
        <v>1.0000000000001674E-4</v>
      </c>
    </row>
    <row r="99" spans="1:28" ht="14.25" customHeight="1">
      <c r="A99" s="135">
        <v>88</v>
      </c>
      <c r="B99" s="133" t="s">
        <v>146</v>
      </c>
      <c r="C99" s="134" t="s">
        <v>49</v>
      </c>
      <c r="D99" s="29">
        <v>6536556868.54</v>
      </c>
      <c r="E99" s="30">
        <f t="shared" si="49"/>
        <v>3.2574937100630606E-2</v>
      </c>
      <c r="F99" s="29">
        <v>5171.41</v>
      </c>
      <c r="G99" s="29">
        <v>5171.41</v>
      </c>
      <c r="H99" s="32">
        <v>255</v>
      </c>
      <c r="I99" s="50">
        <v>1E-4</v>
      </c>
      <c r="J99" s="50">
        <v>8.0000000000000004E-4</v>
      </c>
      <c r="K99" s="29">
        <v>8539683734.5500002</v>
      </c>
      <c r="L99" s="30">
        <f t="shared" si="50"/>
        <v>4.0919012690410303E-2</v>
      </c>
      <c r="M99" s="29">
        <v>5171.8100000000004</v>
      </c>
      <c r="N99" s="29">
        <v>5171.8100000000004</v>
      </c>
      <c r="O99" s="32">
        <v>254</v>
      </c>
      <c r="P99" s="50">
        <v>1E-4</v>
      </c>
      <c r="Q99" s="50">
        <v>8.9999999999999998E-4</v>
      </c>
      <c r="R99" s="56">
        <f t="shared" si="36"/>
        <v>0.30644984910188916</v>
      </c>
      <c r="S99" s="56">
        <f t="shared" si="37"/>
        <v>7.7348344068744448E-5</v>
      </c>
      <c r="T99" s="56">
        <f t="shared" si="38"/>
        <v>-3.9215686274509803E-3</v>
      </c>
      <c r="U99" s="57">
        <f t="shared" si="39"/>
        <v>0</v>
      </c>
      <c r="V99" s="58">
        <f t="shared" si="40"/>
        <v>9.9999999999999937E-5</v>
      </c>
    </row>
    <row r="100" spans="1:28" ht="13.5" customHeight="1">
      <c r="A100" s="135">
        <v>89</v>
      </c>
      <c r="B100" s="133" t="s">
        <v>147</v>
      </c>
      <c r="C100" s="134" t="s">
        <v>49</v>
      </c>
      <c r="D100" s="29">
        <v>20093990085.240002</v>
      </c>
      <c r="E100" s="30">
        <f t="shared" si="49"/>
        <v>0.10013841786916025</v>
      </c>
      <c r="F100" s="60">
        <v>259.04000000000002</v>
      </c>
      <c r="G100" s="60">
        <v>259.04000000000002</v>
      </c>
      <c r="H100" s="32">
        <v>6248</v>
      </c>
      <c r="I100" s="50">
        <v>1E-4</v>
      </c>
      <c r="J100" s="50">
        <v>6.9999999999999999E-4</v>
      </c>
      <c r="K100" s="29">
        <v>20076700713.669998</v>
      </c>
      <c r="L100" s="30">
        <f t="shared" si="50"/>
        <v>9.6200140054428174E-2</v>
      </c>
      <c r="M100" s="60">
        <v>259.05</v>
      </c>
      <c r="N100" s="60">
        <v>259.05</v>
      </c>
      <c r="O100" s="32">
        <v>6247</v>
      </c>
      <c r="P100" s="50">
        <v>0</v>
      </c>
      <c r="Q100" s="50">
        <v>8.0000000000000004E-4</v>
      </c>
      <c r="R100" s="56">
        <f t="shared" si="36"/>
        <v>-8.6042500751024964E-4</v>
      </c>
      <c r="S100" s="56">
        <f t="shared" si="37"/>
        <v>3.8604076590452844E-5</v>
      </c>
      <c r="T100" s="56">
        <f t="shared" si="38"/>
        <v>-1.6005121638924455E-4</v>
      </c>
      <c r="U100" s="57">
        <f t="shared" si="39"/>
        <v>-1E-4</v>
      </c>
      <c r="V100" s="58">
        <f t="shared" si="40"/>
        <v>1.0000000000000005E-4</v>
      </c>
    </row>
    <row r="101" spans="1:28" ht="13.5" customHeight="1">
      <c r="A101" s="135">
        <v>90</v>
      </c>
      <c r="B101" s="133" t="s">
        <v>148</v>
      </c>
      <c r="C101" s="134" t="s">
        <v>49</v>
      </c>
      <c r="D101" s="29">
        <v>445012501.16000003</v>
      </c>
      <c r="E101" s="30">
        <f t="shared" si="49"/>
        <v>2.2177202043557188E-3</v>
      </c>
      <c r="F101" s="35">
        <v>7350.01</v>
      </c>
      <c r="G101" s="35">
        <v>7381.68</v>
      </c>
      <c r="H101" s="32">
        <v>15</v>
      </c>
      <c r="I101" s="50">
        <v>5.9999999999999995E-4</v>
      </c>
      <c r="J101" s="50">
        <v>8.1900000000000001E-2</v>
      </c>
      <c r="K101" s="29">
        <v>442542023.38999999</v>
      </c>
      <c r="L101" s="30">
        <f t="shared" si="50"/>
        <v>2.1204980458318441E-3</v>
      </c>
      <c r="M101" s="35">
        <v>7309.46</v>
      </c>
      <c r="N101" s="35">
        <v>7340.52</v>
      </c>
      <c r="O101" s="32">
        <v>15</v>
      </c>
      <c r="P101" s="50">
        <v>-5.5999999999999999E-3</v>
      </c>
      <c r="Q101" s="50">
        <v>7.5800000000000006E-2</v>
      </c>
      <c r="R101" s="56">
        <f t="shared" si="36"/>
        <v>-5.5514794832961416E-3</v>
      </c>
      <c r="S101" s="56">
        <f t="shared" si="37"/>
        <v>-5.5759664466625281E-3</v>
      </c>
      <c r="T101" s="56">
        <f t="shared" si="38"/>
        <v>0</v>
      </c>
      <c r="U101" s="57">
        <f t="shared" si="39"/>
        <v>-6.1999999999999998E-3</v>
      </c>
      <c r="V101" s="58">
        <f t="shared" si="40"/>
        <v>-6.0999999999999943E-3</v>
      </c>
    </row>
    <row r="102" spans="1:28" ht="15" customHeight="1">
      <c r="A102" s="135">
        <v>91</v>
      </c>
      <c r="B102" s="133" t="s">
        <v>149</v>
      </c>
      <c r="C102" s="134" t="s">
        <v>49</v>
      </c>
      <c r="D102" s="29">
        <v>6150256635.8500004</v>
      </c>
      <c r="E102" s="30">
        <f t="shared" si="49"/>
        <v>3.0649809539605291E-2</v>
      </c>
      <c r="F102" s="60">
        <v>143.85</v>
      </c>
      <c r="G102" s="60">
        <v>143.85</v>
      </c>
      <c r="H102" s="32">
        <v>4531</v>
      </c>
      <c r="I102" s="50">
        <v>3.3E-3</v>
      </c>
      <c r="J102" s="50">
        <v>4.3299999999999998E-2</v>
      </c>
      <c r="K102" s="29">
        <v>6187083423.4499998</v>
      </c>
      <c r="L102" s="30">
        <f t="shared" si="50"/>
        <v>2.9646220280559202E-2</v>
      </c>
      <c r="M102" s="60">
        <v>144.31</v>
      </c>
      <c r="N102" s="60">
        <v>144.31</v>
      </c>
      <c r="O102" s="32">
        <v>4545</v>
      </c>
      <c r="P102" s="50">
        <v>3.2000000000000002E-3</v>
      </c>
      <c r="Q102" s="50">
        <v>4.6600000000000003E-2</v>
      </c>
      <c r="R102" s="56">
        <f t="shared" si="36"/>
        <v>5.9878456754690786E-3</v>
      </c>
      <c r="S102" s="56">
        <f t="shared" si="37"/>
        <v>3.1977754605492384E-3</v>
      </c>
      <c r="T102" s="56">
        <f t="shared" si="38"/>
        <v>3.0898256455528582E-3</v>
      </c>
      <c r="U102" s="57">
        <f t="shared" si="39"/>
        <v>-9.9999999999999829E-5</v>
      </c>
      <c r="V102" s="58">
        <f t="shared" si="40"/>
        <v>3.3000000000000043E-3</v>
      </c>
    </row>
    <row r="103" spans="1:28" ht="15" customHeight="1">
      <c r="A103" s="135">
        <v>92</v>
      </c>
      <c r="B103" s="133" t="s">
        <v>150</v>
      </c>
      <c r="C103" s="134" t="s">
        <v>49</v>
      </c>
      <c r="D103" s="29">
        <v>7444926504.25</v>
      </c>
      <c r="E103" s="30">
        <f t="shared" si="49"/>
        <v>3.7101798006529102E-2</v>
      </c>
      <c r="F103" s="60">
        <v>360.67</v>
      </c>
      <c r="G103" s="60">
        <v>361.32</v>
      </c>
      <c r="H103" s="32">
        <v>10177</v>
      </c>
      <c r="I103" s="50">
        <v>3.3E-3</v>
      </c>
      <c r="J103" s="50">
        <v>0.02</v>
      </c>
      <c r="K103" s="29">
        <v>7488083402.3800001</v>
      </c>
      <c r="L103" s="30">
        <f t="shared" si="50"/>
        <v>3.5880132015800467E-2</v>
      </c>
      <c r="M103" s="60">
        <v>361.53</v>
      </c>
      <c r="N103" s="60">
        <v>362.19</v>
      </c>
      <c r="O103" s="32">
        <v>10184</v>
      </c>
      <c r="P103" s="50">
        <v>2.3999999999999998E-3</v>
      </c>
      <c r="Q103" s="50">
        <v>2.24E-2</v>
      </c>
      <c r="R103" s="56">
        <f t="shared" si="36"/>
        <v>5.7968199021660761E-3</v>
      </c>
      <c r="S103" s="56">
        <f t="shared" si="37"/>
        <v>2.4078379275988171E-3</v>
      </c>
      <c r="T103" s="56">
        <f t="shared" si="38"/>
        <v>6.8782548884740102E-4</v>
      </c>
      <c r="U103" s="57">
        <f t="shared" si="39"/>
        <v>-9.0000000000000019E-4</v>
      </c>
      <c r="V103" s="58">
        <f t="shared" si="40"/>
        <v>2.3999999999999994E-3</v>
      </c>
    </row>
    <row r="104" spans="1:28">
      <c r="A104" s="135">
        <v>93</v>
      </c>
      <c r="B104" s="133" t="s">
        <v>151</v>
      </c>
      <c r="C104" s="134" t="s">
        <v>52</v>
      </c>
      <c r="D104" s="29">
        <v>87930894021.550003</v>
      </c>
      <c r="E104" s="30">
        <f t="shared" si="49"/>
        <v>0.43820369034653328</v>
      </c>
      <c r="F104" s="29">
        <v>2.0026000000000002</v>
      </c>
      <c r="G104" s="29">
        <v>2.0026000000000002</v>
      </c>
      <c r="H104" s="32">
        <v>6441</v>
      </c>
      <c r="I104" s="50">
        <v>8.6900000000000005E-2</v>
      </c>
      <c r="J104" s="50">
        <v>7.9600000000000004E-2</v>
      </c>
      <c r="K104" s="29">
        <v>88065701844.160004</v>
      </c>
      <c r="L104" s="30">
        <f t="shared" si="50"/>
        <v>0.42197834057621142</v>
      </c>
      <c r="M104" s="29">
        <v>2.0057999999999998</v>
      </c>
      <c r="N104" s="29">
        <v>2.0057999999999998</v>
      </c>
      <c r="O104" s="32">
        <v>6447</v>
      </c>
      <c r="P104" s="50">
        <v>8.6800000000000002E-2</v>
      </c>
      <c r="Q104" s="50">
        <v>8.0100000000000005E-2</v>
      </c>
      <c r="R104" s="56">
        <f t="shared" si="36"/>
        <v>1.5331110198534097E-3</v>
      </c>
      <c r="S104" s="56">
        <f t="shared" si="37"/>
        <v>1.5979227004891878E-3</v>
      </c>
      <c r="T104" s="56">
        <f t="shared" si="38"/>
        <v>9.3153237074988359E-4</v>
      </c>
      <c r="U104" s="57">
        <f t="shared" si="39"/>
        <v>-1.0000000000000286E-4</v>
      </c>
      <c r="V104" s="58">
        <f t="shared" si="40"/>
        <v>5.0000000000000044E-4</v>
      </c>
    </row>
    <row r="105" spans="1:28">
      <c r="A105" s="135">
        <v>94</v>
      </c>
      <c r="B105" s="133" t="s">
        <v>152</v>
      </c>
      <c r="C105" s="134" t="s">
        <v>52</v>
      </c>
      <c r="D105" s="29">
        <v>18992974265.439999</v>
      </c>
      <c r="E105" s="30">
        <f t="shared" si="49"/>
        <v>9.4651504529600305E-2</v>
      </c>
      <c r="F105" s="29">
        <v>114.42230000000001</v>
      </c>
      <c r="G105" s="29">
        <v>114.42230000000001</v>
      </c>
      <c r="H105" s="32">
        <v>450</v>
      </c>
      <c r="I105" s="50">
        <v>0.2172</v>
      </c>
      <c r="J105" s="50">
        <v>0.2205</v>
      </c>
      <c r="K105" s="29">
        <v>24785307325.060001</v>
      </c>
      <c r="L105" s="30">
        <f t="shared" si="50"/>
        <v>0.11876204511727066</v>
      </c>
      <c r="M105" s="29">
        <v>114.82380000000001</v>
      </c>
      <c r="N105" s="29">
        <v>114.82380000000001</v>
      </c>
      <c r="O105" s="32">
        <v>503</v>
      </c>
      <c r="P105" s="50">
        <v>0.20039999999999999</v>
      </c>
      <c r="Q105" s="50">
        <v>0.21909999999999999</v>
      </c>
      <c r="R105" s="56">
        <f t="shared" ref="R105:R107" si="51">((K105-D105)/D105)</f>
        <v>0.30497240604173564</v>
      </c>
      <c r="S105" s="56">
        <f t="shared" ref="S105:S107" si="52">((N105-G105)/G105)</f>
        <v>3.508931388374457E-3</v>
      </c>
      <c r="T105" s="56">
        <f t="shared" ref="T105:T107" si="53">((O105-H105)/H105)</f>
        <v>0.11777777777777777</v>
      </c>
      <c r="U105" s="57">
        <f t="shared" ref="U105:U107" si="54">P105-I105</f>
        <v>-1.6800000000000009E-2</v>
      </c>
      <c r="V105" s="58">
        <f t="shared" ref="V105:V107" si="55">Q105-J105</f>
        <v>-1.4000000000000123E-3</v>
      </c>
    </row>
    <row r="106" spans="1:28">
      <c r="A106" s="135">
        <v>95</v>
      </c>
      <c r="B106" s="133" t="s">
        <v>153</v>
      </c>
      <c r="C106" s="133" t="s">
        <v>154</v>
      </c>
      <c r="D106" s="29">
        <v>103757475.89</v>
      </c>
      <c r="E106" s="30">
        <f t="shared" si="49"/>
        <v>5.1707547548528817E-4</v>
      </c>
      <c r="F106" s="29">
        <v>113.28501158399085</v>
      </c>
      <c r="G106" s="29">
        <v>113.28501158399085</v>
      </c>
      <c r="H106" s="62">
        <v>72</v>
      </c>
      <c r="I106" s="63">
        <v>-9.7638126623848115E-4</v>
      </c>
      <c r="J106" s="63">
        <v>2.6100750375358528E-2</v>
      </c>
      <c r="K106" s="29">
        <v>104040490.7</v>
      </c>
      <c r="L106" s="64">
        <f t="shared" si="50"/>
        <v>4.9852363291228493E-4</v>
      </c>
      <c r="M106" s="29">
        <v>113.9234465205908</v>
      </c>
      <c r="N106" s="29">
        <v>113.9234465205908</v>
      </c>
      <c r="O106" s="62">
        <v>73</v>
      </c>
      <c r="P106" s="63">
        <v>4.6537684929400342E-3</v>
      </c>
      <c r="Q106" s="63">
        <v>3.1883497433872421E-2</v>
      </c>
      <c r="R106" s="56">
        <f t="shared" si="51"/>
        <v>2.7276570442022379E-3</v>
      </c>
      <c r="S106" s="56">
        <f t="shared" si="52"/>
        <v>5.6356523045116742E-3</v>
      </c>
      <c r="T106" s="56">
        <f t="shared" si="53"/>
        <v>1.3888888888888888E-2</v>
      </c>
      <c r="U106" s="57">
        <f t="shared" si="54"/>
        <v>5.6301497591785153E-3</v>
      </c>
      <c r="V106" s="58">
        <f t="shared" si="55"/>
        <v>5.7827470585138929E-3</v>
      </c>
    </row>
    <row r="107" spans="1:28">
      <c r="A107" s="135">
        <v>96</v>
      </c>
      <c r="B107" s="133" t="s">
        <v>155</v>
      </c>
      <c r="C107" s="134" t="s">
        <v>110</v>
      </c>
      <c r="D107" s="29">
        <v>284121594.44999999</v>
      </c>
      <c r="E107" s="30">
        <f t="shared" si="49"/>
        <v>1.4159202244050655E-3</v>
      </c>
      <c r="F107" s="29">
        <v>1.1835</v>
      </c>
      <c r="G107" s="29">
        <v>1.1835</v>
      </c>
      <c r="H107" s="32">
        <v>468</v>
      </c>
      <c r="I107" s="50">
        <v>5.8459999999999996E-3</v>
      </c>
      <c r="J107" s="50">
        <v>9.9342E-2</v>
      </c>
      <c r="K107" s="29">
        <v>281617591.70999998</v>
      </c>
      <c r="L107" s="30">
        <f t="shared" si="50"/>
        <v>1.3494075620625438E-3</v>
      </c>
      <c r="M107" s="29">
        <v>1.1736</v>
      </c>
      <c r="N107" s="29">
        <v>1.1736</v>
      </c>
      <c r="O107" s="32">
        <v>469</v>
      </c>
      <c r="P107" s="50">
        <v>-9.325E-3</v>
      </c>
      <c r="Q107" s="50">
        <v>9.0122999999999995E-2</v>
      </c>
      <c r="R107" s="56">
        <f t="shared" si="51"/>
        <v>-8.813137716079748E-3</v>
      </c>
      <c r="S107" s="56">
        <f t="shared" si="52"/>
        <v>-8.3650190114068611E-3</v>
      </c>
      <c r="T107" s="56">
        <f t="shared" si="53"/>
        <v>2.136752136752137E-3</v>
      </c>
      <c r="U107" s="57">
        <f t="shared" si="54"/>
        <v>-1.5171E-2</v>
      </c>
      <c r="V107" s="58">
        <f t="shared" si="55"/>
        <v>-9.219000000000005E-3</v>
      </c>
    </row>
    <row r="108" spans="1:28">
      <c r="A108" s="135">
        <v>97</v>
      </c>
      <c r="B108" s="133" t="s">
        <v>156</v>
      </c>
      <c r="C108" s="134" t="s">
        <v>112</v>
      </c>
      <c r="D108" s="29">
        <v>1979620519.1300001</v>
      </c>
      <c r="E108" s="30">
        <f t="shared" si="49"/>
        <v>9.8654406579317365E-3</v>
      </c>
      <c r="F108" s="60">
        <v>28.377199999999998</v>
      </c>
      <c r="G108" s="60">
        <v>28.377199999999998</v>
      </c>
      <c r="H108" s="32">
        <v>1298</v>
      </c>
      <c r="I108" s="50">
        <v>0</v>
      </c>
      <c r="J108" s="50">
        <v>0.11559999999999999</v>
      </c>
      <c r="K108" s="29">
        <v>1980858374.03</v>
      </c>
      <c r="L108" s="30">
        <f t="shared" si="50"/>
        <v>9.4915422472739014E-3</v>
      </c>
      <c r="M108" s="60">
        <v>28.4282</v>
      </c>
      <c r="N108" s="60">
        <v>28.4282</v>
      </c>
      <c r="O108" s="32">
        <v>1298</v>
      </c>
      <c r="P108" s="50">
        <v>0</v>
      </c>
      <c r="Q108" s="50">
        <v>0.1159</v>
      </c>
      <c r="R108" s="56">
        <f t="shared" si="36"/>
        <v>6.2529908537413382E-4</v>
      </c>
      <c r="S108" s="56">
        <f t="shared" si="37"/>
        <v>1.7972174844594229E-3</v>
      </c>
      <c r="T108" s="56">
        <f t="shared" si="38"/>
        <v>0</v>
      </c>
      <c r="U108" s="57">
        <f t="shared" si="39"/>
        <v>0</v>
      </c>
      <c r="V108" s="58">
        <f t="shared" si="40"/>
        <v>3.0000000000000859E-4</v>
      </c>
    </row>
    <row r="109" spans="1:28">
      <c r="A109" s="36"/>
      <c r="B109" s="37"/>
      <c r="C109" s="38" t="s">
        <v>53</v>
      </c>
      <c r="D109" s="48">
        <f>SUM(D72:D108)</f>
        <v>200662148582.12146</v>
      </c>
      <c r="E109" s="40">
        <f>(D109/$D$219)</f>
        <v>4.0776881175852424E-2</v>
      </c>
      <c r="F109" s="41"/>
      <c r="G109" s="45"/>
      <c r="H109" s="43">
        <f>SUM(H72:H108)</f>
        <v>50546</v>
      </c>
      <c r="I109" s="53"/>
      <c r="J109" s="53"/>
      <c r="K109" s="48">
        <f>SUM(K72:K108)</f>
        <v>208697208780.68359</v>
      </c>
      <c r="L109" s="40">
        <f>(K109/$K$219)</f>
        <v>4.1512732962160494E-2</v>
      </c>
      <c r="M109" s="41"/>
      <c r="N109" s="45"/>
      <c r="O109" s="43">
        <f>SUM(O72:O108)</f>
        <v>50670</v>
      </c>
      <c r="P109" s="53"/>
      <c r="Q109" s="53"/>
      <c r="R109" s="56">
        <f t="shared" si="36"/>
        <v>4.0042729808974241E-2</v>
      </c>
      <c r="S109" s="56" t="e">
        <f t="shared" si="37"/>
        <v>#DIV/0!</v>
      </c>
      <c r="T109" s="56">
        <f t="shared" si="38"/>
        <v>2.4532109365726271E-3</v>
      </c>
      <c r="U109" s="57">
        <f t="shared" si="39"/>
        <v>0</v>
      </c>
      <c r="V109" s="58">
        <f t="shared" si="40"/>
        <v>0</v>
      </c>
    </row>
    <row r="110" spans="1:28" ht="3.75" customHeight="1">
      <c r="A110" s="36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</row>
    <row r="111" spans="1:28" ht="15" customHeight="1">
      <c r="A111" s="181" t="s">
        <v>157</v>
      </c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</row>
    <row r="112" spans="1:28">
      <c r="A112" s="180" t="s">
        <v>158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Z112" s="65"/>
      <c r="AB112" s="68"/>
    </row>
    <row r="113" spans="1:27" ht="16.5" customHeight="1">
      <c r="A113" s="135">
        <v>98</v>
      </c>
      <c r="B113" s="133" t="s">
        <v>159</v>
      </c>
      <c r="C113" s="134" t="s">
        <v>19</v>
      </c>
      <c r="D113" s="29">
        <f>1940709.46*1567.0215</f>
        <v>3041133449.07339</v>
      </c>
      <c r="E113" s="30">
        <f t="shared" ref="E113:E118" si="56">(D113/$D$148)</f>
        <v>1.5960298104128058E-3</v>
      </c>
      <c r="F113" s="29">
        <f>112.037*1567.0215</f>
        <v>175564.38779550002</v>
      </c>
      <c r="G113" s="29">
        <f>112.037*1567.0215</f>
        <v>175564.38779550002</v>
      </c>
      <c r="H113" s="32">
        <v>298</v>
      </c>
      <c r="I113" s="50">
        <v>8.6E-3</v>
      </c>
      <c r="J113" s="50">
        <v>1.7600000000000001E-2</v>
      </c>
      <c r="K113" s="29">
        <f>1927819.44*1591.8496</f>
        <v>3068798604.436224</v>
      </c>
      <c r="L113" s="30">
        <f t="shared" ref="L113:L129" si="57">(K113/$K$148)</f>
        <v>1.5889914317590882E-3</v>
      </c>
      <c r="M113" s="29">
        <f>112.1637*1591.8496</f>
        <v>178547.74097952002</v>
      </c>
      <c r="N113" s="29">
        <f>112.1637*1591.8496</f>
        <v>178547.74097952002</v>
      </c>
      <c r="O113" s="32">
        <v>298</v>
      </c>
      <c r="P113" s="50">
        <v>1.1000000000000001E-3</v>
      </c>
      <c r="Q113" s="50">
        <v>1.8800000000000001E-2</v>
      </c>
      <c r="R113" s="57">
        <f>((K113-D113)/D113)</f>
        <v>9.0969882861481593E-3</v>
      </c>
      <c r="S113" s="57">
        <f>((N113-G113)/G113)</f>
        <v>1.6992929041481093E-2</v>
      </c>
      <c r="T113" s="57">
        <f>((O113-H113)/H113)</f>
        <v>0</v>
      </c>
      <c r="U113" s="57">
        <f>P113-I113</f>
        <v>-7.4999999999999997E-3</v>
      </c>
      <c r="V113" s="58">
        <f>Q113-J113</f>
        <v>1.1999999999999997E-3</v>
      </c>
      <c r="X113" s="65"/>
      <c r="Y113" s="69"/>
      <c r="Z113" s="65"/>
      <c r="AA113" s="70"/>
    </row>
    <row r="114" spans="1:27" ht="16.5" customHeight="1">
      <c r="A114" s="135">
        <v>99</v>
      </c>
      <c r="B114" s="133" t="s">
        <v>160</v>
      </c>
      <c r="C114" s="134" t="s">
        <v>57</v>
      </c>
      <c r="D114" s="29">
        <f>1932327.75*1567.0215</f>
        <v>3027999129.2966251</v>
      </c>
      <c r="E114" s="30">
        <f t="shared" si="56"/>
        <v>1.5891367337838936E-3</v>
      </c>
      <c r="F114" s="29">
        <f>100*1567.0215</f>
        <v>156702.15</v>
      </c>
      <c r="G114" s="29">
        <f>100*1567.0215</f>
        <v>156702.15</v>
      </c>
      <c r="H114" s="32">
        <v>57</v>
      </c>
      <c r="I114" s="50">
        <v>8.2518999999999995E-2</v>
      </c>
      <c r="J114" s="50">
        <v>7.0194000000000006E-2</v>
      </c>
      <c r="K114" s="29">
        <f>1958143.68*1591.8496</f>
        <v>3117070233.7505279</v>
      </c>
      <c r="L114" s="30">
        <f t="shared" si="57"/>
        <v>1.6139859704253265E-3</v>
      </c>
      <c r="M114" s="29">
        <f>100*1591.8496</f>
        <v>159184.95999999999</v>
      </c>
      <c r="N114" s="29">
        <f>100*1591.8496</f>
        <v>159184.95999999999</v>
      </c>
      <c r="O114" s="32">
        <v>58</v>
      </c>
      <c r="P114" s="50">
        <v>1.0660000000000001E-3</v>
      </c>
      <c r="Q114" s="50">
        <v>7.1261000000000005E-2</v>
      </c>
      <c r="R114" s="57">
        <f>((K114-D114)/D114)</f>
        <v>2.9415828951903655E-2</v>
      </c>
      <c r="S114" s="57">
        <f>((N114-G114)/G114)</f>
        <v>1.5844134876260459E-2</v>
      </c>
      <c r="T114" s="57">
        <f>((O114-H114)/H114)</f>
        <v>1.7543859649122806E-2</v>
      </c>
      <c r="U114" s="57">
        <f>P114-I114</f>
        <v>-8.1452999999999998E-2</v>
      </c>
      <c r="V114" s="58">
        <f>Q114-J114</f>
        <v>1.0669999999999985E-3</v>
      </c>
      <c r="X114" s="65"/>
      <c r="Y114" s="69"/>
      <c r="Z114" s="65"/>
      <c r="AA114" s="70"/>
    </row>
    <row r="115" spans="1:27">
      <c r="A115" s="135">
        <v>100</v>
      </c>
      <c r="B115" s="133" t="s">
        <v>161</v>
      </c>
      <c r="C115" s="134" t="s">
        <v>23</v>
      </c>
      <c r="D115" s="29">
        <f>10410692.04*1533.8901</f>
        <v>15968857454.304804</v>
      </c>
      <c r="E115" s="30">
        <f t="shared" si="56"/>
        <v>8.3806820588780279E-3</v>
      </c>
      <c r="F115" s="29">
        <f>1.1555*1533.8901</f>
        <v>1772.4100105500002</v>
      </c>
      <c r="G115" s="29">
        <f>1.1555*1533.8901</f>
        <v>1772.4100105500002</v>
      </c>
      <c r="H115" s="32">
        <v>306</v>
      </c>
      <c r="I115" s="50">
        <v>6.7799999999999999E-2</v>
      </c>
      <c r="J115" s="50">
        <v>6.7000000000000004E-2</v>
      </c>
      <c r="K115" s="29">
        <f>10387841.8*1598.6484</f>
        <v>16606506673.023121</v>
      </c>
      <c r="L115" s="30">
        <f t="shared" si="57"/>
        <v>8.5986733625133364E-3</v>
      </c>
      <c r="M115" s="29">
        <f>1.155*1598.6484</f>
        <v>1846.4389020000001</v>
      </c>
      <c r="N115" s="29">
        <f>1.155*1598.6484</f>
        <v>1846.4389020000001</v>
      </c>
      <c r="O115" s="32">
        <v>305</v>
      </c>
      <c r="P115" s="50">
        <v>-2.2599999999999999E-2</v>
      </c>
      <c r="Q115" s="50">
        <v>6.08E-2</v>
      </c>
      <c r="R115" s="57">
        <f t="shared" ref="R115:R127" si="58">((K115-D115)/D115)</f>
        <v>3.9930797838415348E-2</v>
      </c>
      <c r="S115" s="57">
        <f t="shared" ref="S115:S127" si="59">((N115-G115)/G115)</f>
        <v>4.1767362522979593E-2</v>
      </c>
      <c r="T115" s="57">
        <f t="shared" ref="T115:T127" si="60">((O115-H115)/H115)</f>
        <v>-3.2679738562091504E-3</v>
      </c>
      <c r="U115" s="57">
        <f t="shared" ref="U115:U127" si="61">P115-I115</f>
        <v>-9.0399999999999994E-2</v>
      </c>
      <c r="V115" s="58">
        <f t="shared" ref="V115:V127" si="62">Q115-J115</f>
        <v>-6.2000000000000041E-3</v>
      </c>
    </row>
    <row r="116" spans="1:27">
      <c r="A116" s="135">
        <v>101</v>
      </c>
      <c r="B116" s="133" t="s">
        <v>293</v>
      </c>
      <c r="C116" s="134" t="s">
        <v>23</v>
      </c>
      <c r="D116" s="29">
        <f>1766717.85*1533.8901</f>
        <v>2709951019.6082854</v>
      </c>
      <c r="E116" s="30">
        <f t="shared" si="56"/>
        <v>1.4222205912638411E-3</v>
      </c>
      <c r="F116" s="29">
        <f>1.011*1533.8901</f>
        <v>1550.7628910999999</v>
      </c>
      <c r="G116" s="29">
        <f>1.011*1533.8901</f>
        <v>1550.7628910999999</v>
      </c>
      <c r="H116" s="32">
        <v>51</v>
      </c>
      <c r="I116" s="50">
        <v>0.10340000000000001</v>
      </c>
      <c r="J116" s="50">
        <v>4.2700000000000002E-2</v>
      </c>
      <c r="K116" s="29">
        <f>1836946.77*1598.6484</f>
        <v>2936632014.7456679</v>
      </c>
      <c r="L116" s="30">
        <f t="shared" si="57"/>
        <v>1.5205569707033768E-3</v>
      </c>
      <c r="M116" s="29">
        <f>1.0121*1598.6484</f>
        <v>1617.99204564</v>
      </c>
      <c r="N116" s="29">
        <f>1.0121*1598.6484</f>
        <v>1617.99204564</v>
      </c>
      <c r="O116" s="32">
        <v>57</v>
      </c>
      <c r="P116" s="50">
        <v>5.67E-2</v>
      </c>
      <c r="Q116" s="50">
        <v>4.3700000000000003E-2</v>
      </c>
      <c r="R116" s="57">
        <f t="shared" si="58"/>
        <v>8.3647635509718002E-2</v>
      </c>
      <c r="S116" s="57">
        <f t="shared" ref="S116" si="63">((N116-G116)/G116)</f>
        <v>4.3352310611658076E-2</v>
      </c>
      <c r="T116" s="57">
        <f t="shared" ref="T116" si="64">((O116-H116)/H116)</f>
        <v>0.11764705882352941</v>
      </c>
      <c r="U116" s="57">
        <f t="shared" ref="U116" si="65">P116-I116</f>
        <v>-4.6700000000000005E-2</v>
      </c>
      <c r="V116" s="58">
        <f t="shared" ref="V116" si="66">Q116-J116</f>
        <v>1.0000000000000009E-3</v>
      </c>
    </row>
    <row r="117" spans="1:27">
      <c r="A117" s="135">
        <v>102</v>
      </c>
      <c r="B117" s="133" t="s">
        <v>162</v>
      </c>
      <c r="C117" s="134" t="s">
        <v>27</v>
      </c>
      <c r="D117" s="29">
        <f>6441722.81*1567.0215</f>
        <v>10094318140.310415</v>
      </c>
      <c r="E117" s="30">
        <f t="shared" si="56"/>
        <v>5.2976408097563177E-3</v>
      </c>
      <c r="F117" s="29">
        <f>1.0983*1567.0215</f>
        <v>1721.0597134500001</v>
      </c>
      <c r="G117" s="29">
        <f>1.0983*1567.0215</f>
        <v>1721.0597134500001</v>
      </c>
      <c r="H117" s="32">
        <v>365</v>
      </c>
      <c r="I117" s="50">
        <v>1.1999999999999999E-3</v>
      </c>
      <c r="J117" s="50">
        <v>2.1600000000000001E-2</v>
      </c>
      <c r="K117" s="29">
        <f>6665102.81*1591.8496</f>
        <v>10609841242.057375</v>
      </c>
      <c r="L117" s="30">
        <f t="shared" si="57"/>
        <v>5.493663481722864E-3</v>
      </c>
      <c r="M117" s="29">
        <f>1.0628*1591.8496</f>
        <v>1691.8177548799999</v>
      </c>
      <c r="N117" s="29">
        <f>1.0628*1591.8496</f>
        <v>1691.8177548799999</v>
      </c>
      <c r="O117" s="32">
        <v>390</v>
      </c>
      <c r="P117" s="50">
        <v>2.5999999999999999E-3</v>
      </c>
      <c r="Q117" s="50">
        <v>2.3E-2</v>
      </c>
      <c r="R117" s="57">
        <f t="shared" si="58"/>
        <v>5.1070621569601786E-2</v>
      </c>
      <c r="S117" s="57">
        <f t="shared" ref="S117:T120" si="67">((N117-G117)/G117)</f>
        <v>-1.6990670539479634E-2</v>
      </c>
      <c r="T117" s="57">
        <f t="shared" si="67"/>
        <v>6.8493150684931503E-2</v>
      </c>
      <c r="U117" s="57">
        <f t="shared" si="61"/>
        <v>1.4E-3</v>
      </c>
      <c r="V117" s="58">
        <f t="shared" si="62"/>
        <v>1.3999999999999985E-3</v>
      </c>
    </row>
    <row r="118" spans="1:27">
      <c r="A118" s="135">
        <v>103</v>
      </c>
      <c r="B118" s="133" t="s">
        <v>163</v>
      </c>
      <c r="C118" s="134" t="s">
        <v>63</v>
      </c>
      <c r="D118" s="29">
        <f>457983.59*1567.0215</f>
        <v>717670132.17718506</v>
      </c>
      <c r="E118" s="30">
        <f t="shared" si="56"/>
        <v>3.7664342725462688E-4</v>
      </c>
      <c r="F118" s="29">
        <f>1.07*1567.0215</f>
        <v>1676.7130050000001</v>
      </c>
      <c r="G118" s="29">
        <f>1.08*1567.0215</f>
        <v>1692.3832200000002</v>
      </c>
      <c r="H118" s="32">
        <v>21</v>
      </c>
      <c r="I118" s="50">
        <v>-0.71299999999999997</v>
      </c>
      <c r="J118" s="50">
        <v>0.09</v>
      </c>
      <c r="K118" s="29">
        <f>444798.71*1591.8496</f>
        <v>708052648.59401608</v>
      </c>
      <c r="L118" s="30">
        <f t="shared" si="57"/>
        <v>3.6662216615446908E-4</v>
      </c>
      <c r="M118" s="29">
        <f>1.09*1591.8496</f>
        <v>1735.1160640000001</v>
      </c>
      <c r="N118" s="29">
        <f>1.1*1591.8496</f>
        <v>1751.0345600000001</v>
      </c>
      <c r="O118" s="32">
        <v>21</v>
      </c>
      <c r="P118" s="50">
        <v>-0.25700000000000001</v>
      </c>
      <c r="Q118" s="50">
        <v>7.2999999999999995E-2</v>
      </c>
      <c r="R118" s="57">
        <f t="shared" si="58"/>
        <v>-1.340098069010141E-2</v>
      </c>
      <c r="S118" s="57">
        <f t="shared" si="67"/>
        <v>3.465606329989486E-2</v>
      </c>
      <c r="T118" s="57">
        <f t="shared" si="67"/>
        <v>0</v>
      </c>
      <c r="U118" s="57">
        <f t="shared" si="61"/>
        <v>0.45599999999999996</v>
      </c>
      <c r="V118" s="58">
        <f t="shared" si="62"/>
        <v>-1.7000000000000001E-2</v>
      </c>
    </row>
    <row r="119" spans="1:27">
      <c r="A119" s="135">
        <v>104</v>
      </c>
      <c r="B119" s="133" t="s">
        <v>164</v>
      </c>
      <c r="C119" s="134" t="s">
        <v>29</v>
      </c>
      <c r="D119" s="29">
        <f>289244.15*1567.0215</f>
        <v>453251801.79922503</v>
      </c>
      <c r="E119" s="30">
        <v>0</v>
      </c>
      <c r="F119" s="29">
        <f>1.2853*1567.0215</f>
        <v>2014.0927339500001</v>
      </c>
      <c r="G119" s="29">
        <f>1.2853*1567.0215</f>
        <v>2014.0927339500001</v>
      </c>
      <c r="H119" s="32">
        <v>40</v>
      </c>
      <c r="I119" s="50">
        <v>1.1689999999999999E-3</v>
      </c>
      <c r="J119" s="50">
        <v>2.98E-2</v>
      </c>
      <c r="K119" s="29">
        <f>290142.9*1591.8496</f>
        <v>461863859.30784005</v>
      </c>
      <c r="L119" s="30">
        <f t="shared" si="57"/>
        <v>2.3914821716173481E-4</v>
      </c>
      <c r="M119" s="29">
        <f>1.2871*1591.8496</f>
        <v>2048.8696201600001</v>
      </c>
      <c r="N119" s="29">
        <f>1.2871*1591.8496</f>
        <v>2048.8696201600001</v>
      </c>
      <c r="O119" s="32">
        <v>41</v>
      </c>
      <c r="P119" s="50">
        <v>7.7800000000000005E-4</v>
      </c>
      <c r="Q119" s="50">
        <v>3.2500000000000001E-2</v>
      </c>
      <c r="R119" s="57">
        <f t="shared" si="58"/>
        <v>1.9000602919676559E-2</v>
      </c>
      <c r="S119" s="57">
        <f t="shared" si="67"/>
        <v>1.7266775071372292E-2</v>
      </c>
      <c r="T119" s="57">
        <f t="shared" si="67"/>
        <v>2.5000000000000001E-2</v>
      </c>
      <c r="U119" s="57">
        <f t="shared" si="61"/>
        <v>-3.9099999999999985E-4</v>
      </c>
      <c r="V119" s="58">
        <f t="shared" si="62"/>
        <v>2.700000000000001E-3</v>
      </c>
    </row>
    <row r="120" spans="1:27">
      <c r="A120" s="135">
        <v>105</v>
      </c>
      <c r="B120" s="133" t="s">
        <v>165</v>
      </c>
      <c r="C120" s="134" t="s">
        <v>72</v>
      </c>
      <c r="D120" s="29">
        <f>475348.42*1567.0215</f>
        <v>744881194.13102996</v>
      </c>
      <c r="E120" s="30">
        <f t="shared" ref="E120:E129" si="68">(D120/$D$148)</f>
        <v>3.9092417710615311E-4</v>
      </c>
      <c r="F120" s="29">
        <f>107.73*1567.0215</f>
        <v>168815.22619500002</v>
      </c>
      <c r="G120" s="29">
        <f>108.62*1567.0215</f>
        <v>170209.87533000001</v>
      </c>
      <c r="H120" s="32">
        <v>47</v>
      </c>
      <c r="I120" s="50">
        <v>1.1000000000000001E-3</v>
      </c>
      <c r="J120" s="50">
        <v>2.81E-2</v>
      </c>
      <c r="K120" s="29">
        <f>475629.48*1591.9896</f>
        <v>757197185.61340797</v>
      </c>
      <c r="L120" s="30">
        <f t="shared" si="57"/>
        <v>3.9206868718999569E-4</v>
      </c>
      <c r="M120" s="29">
        <f>107.78*1591.8496</f>
        <v>171569.54988800001</v>
      </c>
      <c r="N120" s="29">
        <f>108.71*1591.8496</f>
        <v>173049.97001599998</v>
      </c>
      <c r="O120" s="32">
        <v>47</v>
      </c>
      <c r="P120" s="50">
        <v>6.9999999999999999E-4</v>
      </c>
      <c r="Q120" s="50">
        <v>2.8799999999999999E-2</v>
      </c>
      <c r="R120" s="57">
        <f t="shared" si="58"/>
        <v>1.6534168910984123E-2</v>
      </c>
      <c r="S120" s="57">
        <f t="shared" si="67"/>
        <v>1.6685839646457881E-2</v>
      </c>
      <c r="T120" s="57">
        <f t="shared" si="67"/>
        <v>0</v>
      </c>
      <c r="U120" s="57">
        <f t="shared" si="61"/>
        <v>-4.0000000000000007E-4</v>
      </c>
      <c r="V120" s="58">
        <f t="shared" si="62"/>
        <v>6.9999999999999923E-4</v>
      </c>
    </row>
    <row r="121" spans="1:27">
      <c r="A121" s="135">
        <v>106</v>
      </c>
      <c r="B121" s="133" t="s">
        <v>166</v>
      </c>
      <c r="C121" s="134" t="s">
        <v>75</v>
      </c>
      <c r="D121" s="29">
        <v>5050251265.8460503</v>
      </c>
      <c r="E121" s="30">
        <f t="shared" si="68"/>
        <v>2.6504432328746477E-3</v>
      </c>
      <c r="F121" s="29">
        <v>177512.66562645001</v>
      </c>
      <c r="G121" s="29">
        <v>177512.66562645001</v>
      </c>
      <c r="H121" s="32">
        <v>59</v>
      </c>
      <c r="I121" s="50" t="s">
        <v>308</v>
      </c>
      <c r="J121" s="50">
        <v>7.4700000000000003E-2</v>
      </c>
      <c r="K121" s="29">
        <v>5207915272.3389444</v>
      </c>
      <c r="L121" s="30">
        <f t="shared" si="57"/>
        <v>2.6966033981868816E-3</v>
      </c>
      <c r="M121" s="29">
        <v>180535.96112992</v>
      </c>
      <c r="N121" s="29">
        <v>180535.96112992</v>
      </c>
      <c r="O121" s="32">
        <v>59</v>
      </c>
      <c r="P121" s="50" t="s">
        <v>317</v>
      </c>
      <c r="Q121" s="50">
        <v>7.3899999999999993E-2</v>
      </c>
      <c r="R121" s="57">
        <f t="shared" si="58"/>
        <v>3.121904202255198E-2</v>
      </c>
      <c r="S121" s="57">
        <f t="shared" si="59"/>
        <v>1.7031435434765492E-2</v>
      </c>
      <c r="T121" s="57">
        <f t="shared" si="60"/>
        <v>0</v>
      </c>
      <c r="U121" s="57">
        <f t="shared" si="61"/>
        <v>-9.9999999999999937E-5</v>
      </c>
      <c r="V121" s="58">
        <f t="shared" si="62"/>
        <v>-8.0000000000000904E-4</v>
      </c>
      <c r="X121" s="66"/>
    </row>
    <row r="122" spans="1:27">
      <c r="A122" s="135">
        <v>107</v>
      </c>
      <c r="B122" s="133" t="s">
        <v>167</v>
      </c>
      <c r="C122" s="134" t="s">
        <v>31</v>
      </c>
      <c r="D122" s="29">
        <v>54499166768.760002</v>
      </c>
      <c r="E122" s="30">
        <f t="shared" si="68"/>
        <v>2.8601932885287472E-2</v>
      </c>
      <c r="F122" s="29">
        <v>206256</v>
      </c>
      <c r="G122" s="29">
        <v>206256</v>
      </c>
      <c r="H122" s="32">
        <v>2369</v>
      </c>
      <c r="I122" s="50">
        <v>1.1999999999999999E-3</v>
      </c>
      <c r="J122" s="50">
        <v>1.9900000000000001E-2</v>
      </c>
      <c r="K122" s="29">
        <f>34119610.24*1626</f>
        <v>55478486250.240005</v>
      </c>
      <c r="L122" s="30">
        <f t="shared" si="57"/>
        <v>2.8726172897485035E-2</v>
      </c>
      <c r="M122" s="29">
        <f>129.09*1626</f>
        <v>209900.34</v>
      </c>
      <c r="N122" s="29">
        <f>129.09*1626</f>
        <v>209900.34</v>
      </c>
      <c r="O122" s="32">
        <v>2377</v>
      </c>
      <c r="P122" s="50">
        <v>1.4E-3</v>
      </c>
      <c r="Q122" s="50">
        <v>2.12E-2</v>
      </c>
      <c r="R122" s="57">
        <f t="shared" si="58"/>
        <v>1.7969439526208841E-2</v>
      </c>
      <c r="S122" s="57">
        <f t="shared" si="59"/>
        <v>1.7669013265068634E-2</v>
      </c>
      <c r="T122" s="57">
        <f t="shared" si="60"/>
        <v>3.3769523005487546E-3</v>
      </c>
      <c r="U122" s="57">
        <f t="shared" si="61"/>
        <v>2.0000000000000009E-4</v>
      </c>
      <c r="V122" s="58">
        <f t="shared" si="62"/>
        <v>1.2999999999999991E-3</v>
      </c>
    </row>
    <row r="123" spans="1:27">
      <c r="A123" s="135">
        <v>108</v>
      </c>
      <c r="B123" s="174" t="s">
        <v>168</v>
      </c>
      <c r="C123" s="174" t="s">
        <v>31</v>
      </c>
      <c r="D123" s="29">
        <v>138868930288</v>
      </c>
      <c r="E123" s="30">
        <f t="shared" si="68"/>
        <v>7.2880377067082489E-2</v>
      </c>
      <c r="F123" s="29">
        <v>193728</v>
      </c>
      <c r="G123" s="29">
        <v>193728</v>
      </c>
      <c r="H123" s="32">
        <v>781</v>
      </c>
      <c r="I123" s="50">
        <v>1.1999999999999999E-3</v>
      </c>
      <c r="J123" s="50">
        <v>2.1100000000000001E-2</v>
      </c>
      <c r="K123" s="29">
        <f>87906156.69*1626</f>
        <v>142935410777.94</v>
      </c>
      <c r="L123" s="30">
        <f t="shared" si="57"/>
        <v>7.401044261841927E-2</v>
      </c>
      <c r="M123" s="29">
        <f>121.42*1626</f>
        <v>197428.92</v>
      </c>
      <c r="N123" s="29">
        <f>121.42*1626</f>
        <v>197428.92</v>
      </c>
      <c r="O123" s="32">
        <v>791</v>
      </c>
      <c r="P123" s="50">
        <v>1.6000000000000001E-3</v>
      </c>
      <c r="Q123" s="50">
        <v>2.2700000000000001E-2</v>
      </c>
      <c r="R123" s="57">
        <f t="shared" si="58"/>
        <v>2.928286753204289E-2</v>
      </c>
      <c r="S123" s="57">
        <f t="shared" si="59"/>
        <v>1.9103691774033763E-2</v>
      </c>
      <c r="T123" s="57">
        <f t="shared" si="60"/>
        <v>1.2804097311139564E-2</v>
      </c>
      <c r="U123" s="57">
        <f t="shared" si="61"/>
        <v>4.0000000000000018E-4</v>
      </c>
      <c r="V123" s="58">
        <f t="shared" si="62"/>
        <v>1.6000000000000007E-3</v>
      </c>
      <c r="X123" s="65"/>
    </row>
    <row r="124" spans="1:27">
      <c r="A124" s="135">
        <v>109</v>
      </c>
      <c r="B124" s="133" t="s">
        <v>305</v>
      </c>
      <c r="C124" s="134" t="s">
        <v>304</v>
      </c>
      <c r="D124" s="29">
        <f>369674.04*1567.0215</f>
        <v>579287168.67185998</v>
      </c>
      <c r="E124" s="30">
        <f t="shared" si="68"/>
        <v>3.0401809242262156E-4</v>
      </c>
      <c r="F124" s="29">
        <v>1567.0215000000001</v>
      </c>
      <c r="G124" s="29">
        <v>1567.0215000000001</v>
      </c>
      <c r="H124" s="32">
        <v>4</v>
      </c>
      <c r="I124" s="50">
        <v>9.4200000000000006E-2</v>
      </c>
      <c r="J124" s="50">
        <v>8.5400000000000004E-2</v>
      </c>
      <c r="K124" s="29">
        <f>372311.38*1591.8496</f>
        <v>592663721.32844806</v>
      </c>
      <c r="L124" s="30">
        <f t="shared" si="57"/>
        <v>3.0687500109782172E-4</v>
      </c>
      <c r="M124" s="29">
        <v>1591.8496</v>
      </c>
      <c r="N124" s="29">
        <v>1591.8496</v>
      </c>
      <c r="O124" s="32">
        <v>5</v>
      </c>
      <c r="P124" s="50">
        <v>9.3700000000000006E-2</v>
      </c>
      <c r="Q124" s="50">
        <v>8.6199999999999999E-2</v>
      </c>
      <c r="R124" s="57">
        <f t="shared" ref="R124" si="69">((K124-D124)/D124)</f>
        <v>2.3091401605281007E-2</v>
      </c>
      <c r="S124" s="57">
        <f t="shared" ref="S124" si="70">((N124-G124)/G124)</f>
        <v>1.5844134876260439E-2</v>
      </c>
      <c r="T124" s="57">
        <f t="shared" si="60"/>
        <v>0.25</v>
      </c>
      <c r="U124" s="57">
        <f t="shared" si="61"/>
        <v>-5.0000000000000044E-4</v>
      </c>
      <c r="V124" s="58">
        <f t="shared" si="62"/>
        <v>7.9999999999999516E-4</v>
      </c>
    </row>
    <row r="125" spans="1:27">
      <c r="A125" s="135">
        <v>110</v>
      </c>
      <c r="B125" s="133" t="s">
        <v>169</v>
      </c>
      <c r="C125" s="134" t="s">
        <v>35</v>
      </c>
      <c r="D125" s="29">
        <f>151361.2103*1567.0215</f>
        <v>237186270.80612147</v>
      </c>
      <c r="E125" s="30">
        <f t="shared" si="68"/>
        <v>1.2447870676065125E-4</v>
      </c>
      <c r="F125" s="29">
        <f>125.0743*1567.0215</f>
        <v>195994.11719744999</v>
      </c>
      <c r="G125" s="29">
        <f>125.0743*1567.0215</f>
        <v>195994.11719744999</v>
      </c>
      <c r="H125" s="32">
        <v>8</v>
      </c>
      <c r="I125" s="50">
        <v>1.9E-3</v>
      </c>
      <c r="J125" s="50">
        <v>0.1031</v>
      </c>
      <c r="K125" s="29">
        <f>151683.72*1591.8496</f>
        <v>241457669.00851199</v>
      </c>
      <c r="L125" s="30">
        <f t="shared" si="57"/>
        <v>1.2502422499554452E-4</v>
      </c>
      <c r="M125" s="29">
        <f>125.34*1591.8496</f>
        <v>199522.42886400002</v>
      </c>
      <c r="N125" s="29">
        <f>125.34*1591.8496</f>
        <v>199522.42886400002</v>
      </c>
      <c r="O125" s="32">
        <v>8</v>
      </c>
      <c r="P125" s="50">
        <v>2.0999999999999999E-3</v>
      </c>
      <c r="Q125" s="50">
        <v>0.1055</v>
      </c>
      <c r="R125" s="57">
        <f t="shared" si="58"/>
        <v>1.8008623297939563E-2</v>
      </c>
      <c r="S125" s="57">
        <f t="shared" si="59"/>
        <v>1.8002130456780532E-2</v>
      </c>
      <c r="T125" s="57">
        <f t="shared" si="60"/>
        <v>0</v>
      </c>
      <c r="U125" s="57">
        <f t="shared" si="61"/>
        <v>1.9999999999999987E-4</v>
      </c>
      <c r="V125" s="58">
        <f t="shared" si="62"/>
        <v>2.3999999999999994E-3</v>
      </c>
    </row>
    <row r="126" spans="1:27">
      <c r="A126" s="135">
        <v>111</v>
      </c>
      <c r="B126" s="133" t="s">
        <v>170</v>
      </c>
      <c r="C126" s="134" t="s">
        <v>41</v>
      </c>
      <c r="D126" s="29">
        <f>10616876.68*1536.8158</f>
        <v>16316183828.475544</v>
      </c>
      <c r="E126" s="30">
        <f t="shared" si="68"/>
        <v>8.5629638483496473E-3</v>
      </c>
      <c r="F126" s="29">
        <f>1.4*1536.8158</f>
        <v>2151.5421200000001</v>
      </c>
      <c r="G126" s="29">
        <f>1.4*1536.8158</f>
        <v>2151.5421200000001</v>
      </c>
      <c r="H126" s="46">
        <v>114</v>
      </c>
      <c r="I126" s="53">
        <v>1.9E-3</v>
      </c>
      <c r="J126" s="53">
        <v>5.04E-2</v>
      </c>
      <c r="K126" s="29">
        <f>10690538.2*1591.8496</f>
        <v>17017728957.45472</v>
      </c>
      <c r="L126" s="30">
        <f t="shared" si="57"/>
        <v>8.8115999082845776E-3</v>
      </c>
      <c r="M126" s="29">
        <f>1.4*1591.8496</f>
        <v>2228.5894399999997</v>
      </c>
      <c r="N126" s="29">
        <f>1.4*1591.8496</f>
        <v>2228.5894399999997</v>
      </c>
      <c r="O126" s="46">
        <v>114</v>
      </c>
      <c r="P126" s="53">
        <v>8.9999999999999998E-4</v>
      </c>
      <c r="Q126" s="53">
        <v>4.99E-2</v>
      </c>
      <c r="R126" s="57">
        <f t="shared" si="58"/>
        <v>4.2996888019538965E-2</v>
      </c>
      <c r="S126" s="57">
        <f t="shared" si="59"/>
        <v>3.5810277327965892E-2</v>
      </c>
      <c r="T126" s="57">
        <f t="shared" si="60"/>
        <v>0</v>
      </c>
      <c r="U126" s="57">
        <f t="shared" si="61"/>
        <v>-1E-3</v>
      </c>
      <c r="V126" s="58">
        <f t="shared" si="62"/>
        <v>-5.0000000000000044E-4</v>
      </c>
    </row>
    <row r="127" spans="1:27">
      <c r="A127" s="135">
        <v>112</v>
      </c>
      <c r="B127" s="133" t="s">
        <v>171</v>
      </c>
      <c r="C127" s="134" t="s">
        <v>89</v>
      </c>
      <c r="D127" s="29">
        <f>19286543*1567.0215</f>
        <v>30222427541.6745</v>
      </c>
      <c r="E127" s="30">
        <f t="shared" si="68"/>
        <v>1.5861157067688238E-2</v>
      </c>
      <c r="F127" s="29">
        <f>103.42*1567.0215</f>
        <v>162061.36353</v>
      </c>
      <c r="G127" s="29">
        <f>103.42*1567.0215</f>
        <v>162061.36353</v>
      </c>
      <c r="H127" s="32">
        <v>590</v>
      </c>
      <c r="I127" s="53">
        <v>1.8E-3</v>
      </c>
      <c r="J127" s="50">
        <v>0.1023</v>
      </c>
      <c r="K127" s="29">
        <f>19001747*1591.8496</f>
        <v>30247923361.251202</v>
      </c>
      <c r="L127" s="30">
        <f t="shared" si="57"/>
        <v>1.5662054518681461E-2</v>
      </c>
      <c r="M127" s="29">
        <f>103.3*1591.8496</f>
        <v>164438.06367999999</v>
      </c>
      <c r="N127" s="29">
        <f>103.3*1591.8496</f>
        <v>164438.06367999999</v>
      </c>
      <c r="O127" s="32">
        <v>599</v>
      </c>
      <c r="P127" s="53">
        <v>-1.1999999999999999E-3</v>
      </c>
      <c r="Q127" s="50">
        <v>9.0800000000000006E-2</v>
      </c>
      <c r="R127" s="57">
        <f t="shared" si="58"/>
        <v>8.4360594599971366E-4</v>
      </c>
      <c r="S127" s="57">
        <f t="shared" si="59"/>
        <v>1.466543350142816E-2</v>
      </c>
      <c r="T127" s="57">
        <f t="shared" si="60"/>
        <v>1.5254237288135594E-2</v>
      </c>
      <c r="U127" s="57">
        <f t="shared" si="61"/>
        <v>-3.0000000000000001E-3</v>
      </c>
      <c r="V127" s="58">
        <f t="shared" si="62"/>
        <v>-1.1499999999999996E-2</v>
      </c>
    </row>
    <row r="128" spans="1:27">
      <c r="A128" s="135">
        <v>113</v>
      </c>
      <c r="B128" s="133" t="s">
        <v>172</v>
      </c>
      <c r="C128" s="134" t="s">
        <v>45</v>
      </c>
      <c r="D128" s="29">
        <f>1675531.12*1567.0215</f>
        <v>2625593288.9590802</v>
      </c>
      <c r="E128" s="30">
        <f t="shared" si="68"/>
        <v>1.3779484621022852E-3</v>
      </c>
      <c r="F128" s="29">
        <f>133.25*1567.0215</f>
        <v>208805.614875</v>
      </c>
      <c r="G128" s="29">
        <f>137.55*1567.0215</f>
        <v>215543.80732500003</v>
      </c>
      <c r="H128" s="32">
        <v>51</v>
      </c>
      <c r="I128" s="50">
        <v>6.9999999999999999E-4</v>
      </c>
      <c r="J128" s="50">
        <v>-2.8299999999999999E-2</v>
      </c>
      <c r="K128" s="29">
        <f>1675934.95*1591.8496</f>
        <v>2667836379.7835197</v>
      </c>
      <c r="L128" s="30">
        <f t="shared" si="57"/>
        <v>1.3813774363306533E-3</v>
      </c>
      <c r="M128" s="29">
        <f>133.281081*1591.8496</f>
        <v>212163.4354774176</v>
      </c>
      <c r="N128" s="29">
        <f>137.61833*1591.8496</f>
        <v>219067.68356316799</v>
      </c>
      <c r="O128" s="32">
        <v>51</v>
      </c>
      <c r="P128" s="50">
        <v>2.0999999999999999E-3</v>
      </c>
      <c r="Q128" s="50">
        <v>-2.8799999999999999E-2</v>
      </c>
      <c r="R128" s="57">
        <f t="shared" ref="R128:R129" si="71">((K128-D128)/D128)</f>
        <v>1.6088969682424369E-2</v>
      </c>
      <c r="S128" s="57">
        <f t="shared" ref="S128:S129" si="72">((N128-G128)/G128)</f>
        <v>1.6348770497751321E-2</v>
      </c>
      <c r="T128" s="57">
        <f t="shared" ref="T128:T129" si="73">((O128-H128)/H128)</f>
        <v>0</v>
      </c>
      <c r="U128" s="57">
        <f t="shared" ref="U128:U129" si="74">P128-I128</f>
        <v>1.3999999999999998E-3</v>
      </c>
      <c r="V128" s="58">
        <f t="shared" ref="V128:V129" si="75">Q128-J128</f>
        <v>-5.0000000000000044E-4</v>
      </c>
    </row>
    <row r="129" spans="1:24">
      <c r="A129" s="135">
        <v>114</v>
      </c>
      <c r="B129" s="133" t="s">
        <v>173</v>
      </c>
      <c r="C129" s="134" t="s">
        <v>52</v>
      </c>
      <c r="D129" s="33">
        <f>111288996.12*1581.25</f>
        <v>175975725114.75</v>
      </c>
      <c r="E129" s="30">
        <f t="shared" si="68"/>
        <v>9.2354547373686313E-2</v>
      </c>
      <c r="F129" s="29">
        <f>126.6928*1581.25</f>
        <v>200332.99000000002</v>
      </c>
      <c r="G129" s="29">
        <f>126.6928*1581.25</f>
        <v>200332.99000000002</v>
      </c>
      <c r="H129" s="32">
        <v>3595</v>
      </c>
      <c r="I129" s="50">
        <v>4.9000000000000002E-2</v>
      </c>
      <c r="J129" s="50">
        <v>6.8699999999999997E-2</v>
      </c>
      <c r="K129" s="33">
        <f>111933403.58*1591.8496</f>
        <v>178181143715.46158</v>
      </c>
      <c r="L129" s="30">
        <f t="shared" si="57"/>
        <v>9.2260310029995379E-2</v>
      </c>
      <c r="M129" s="29">
        <f>126.839*1591.8496</f>
        <v>201908.61141439999</v>
      </c>
      <c r="N129" s="29">
        <f>126.839*1591.8496</f>
        <v>201908.61141439999</v>
      </c>
      <c r="O129" s="32">
        <v>3609</v>
      </c>
      <c r="P129" s="50">
        <v>6.1899999999999997E-2</v>
      </c>
      <c r="Q129" s="50">
        <v>6.8199999999999997E-2</v>
      </c>
      <c r="R129" s="57">
        <f t="shared" si="71"/>
        <v>1.2532516057390712E-2</v>
      </c>
      <c r="S129" s="57">
        <f t="shared" si="72"/>
        <v>7.8650122199043077E-3</v>
      </c>
      <c r="T129" s="57">
        <f t="shared" si="73"/>
        <v>3.8942976356050071E-3</v>
      </c>
      <c r="U129" s="57">
        <f t="shared" si="74"/>
        <v>1.2899999999999995E-2</v>
      </c>
      <c r="V129" s="58">
        <f t="shared" si="75"/>
        <v>-5.0000000000000044E-4</v>
      </c>
    </row>
    <row r="130" spans="1:24" ht="6" customHeight="1">
      <c r="A130" s="36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</row>
    <row r="131" spans="1:24">
      <c r="A131" s="180" t="s">
        <v>174</v>
      </c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</row>
    <row r="132" spans="1:24">
      <c r="A132" s="135">
        <v>115</v>
      </c>
      <c r="B132" s="133" t="s">
        <v>175</v>
      </c>
      <c r="C132" s="134" t="s">
        <v>118</v>
      </c>
      <c r="D132" s="33">
        <f>1171556.44*1567.0215</f>
        <v>1835854129.94346</v>
      </c>
      <c r="E132" s="30">
        <f t="shared" ref="E132:E145" si="76">(D132/$D$148)</f>
        <v>9.6348219110608223E-4</v>
      </c>
      <c r="F132" s="29">
        <f>106.22*1567.0215</f>
        <v>166449.02373000002</v>
      </c>
      <c r="G132" s="29">
        <f>106.22*1567.0215</f>
        <v>166449.02373000002</v>
      </c>
      <c r="H132" s="32">
        <v>20</v>
      </c>
      <c r="I132" s="50">
        <v>-1.8213E-2</v>
      </c>
      <c r="J132" s="50">
        <v>2.3999999999999998E-3</v>
      </c>
      <c r="K132" s="33">
        <f>1163091.89*1591.8496</f>
        <v>1851467359.8597438</v>
      </c>
      <c r="L132" s="30">
        <f t="shared" ref="L132:L147" si="77">(K132/$K$148)</f>
        <v>9.5867019971459762E-4</v>
      </c>
      <c r="M132" s="29">
        <f>105.45*1591.8496</f>
        <v>167860.54032</v>
      </c>
      <c r="N132" s="29">
        <f>105.45*1591.8496</f>
        <v>167860.54032</v>
      </c>
      <c r="O132" s="32">
        <v>20</v>
      </c>
      <c r="P132" s="50">
        <v>-5.5529999999999998E-3</v>
      </c>
      <c r="Q132" s="50">
        <v>-2.7300000000000001E-2</v>
      </c>
      <c r="R132" s="57">
        <f>((K132-D132)/D132)</f>
        <v>8.5046135537820196E-3</v>
      </c>
      <c r="S132" s="57">
        <f>((N132-G132)/G132)</f>
        <v>8.480173439104283E-3</v>
      </c>
      <c r="T132" s="57">
        <f>((O132-H132)/H132)</f>
        <v>0</v>
      </c>
      <c r="U132" s="57">
        <f>P132-I132</f>
        <v>1.2660000000000001E-2</v>
      </c>
      <c r="V132" s="58">
        <f>Q132-J132</f>
        <v>-2.9700000000000001E-2</v>
      </c>
    </row>
    <row r="133" spans="1:24">
      <c r="A133" s="135">
        <v>116</v>
      </c>
      <c r="B133" s="134" t="s">
        <v>176</v>
      </c>
      <c r="C133" s="134" t="s">
        <v>25</v>
      </c>
      <c r="D133" s="29">
        <f>11851431.06*1567.0215</f>
        <v>18571447276.787792</v>
      </c>
      <c r="E133" s="30">
        <f t="shared" si="76"/>
        <v>9.746557976695925E-3</v>
      </c>
      <c r="F133" s="33">
        <f>135.69*1567.0215</f>
        <v>212629.14733500002</v>
      </c>
      <c r="G133" s="33">
        <f>135.69*1567.0215</f>
        <v>212629.14733500002</v>
      </c>
      <c r="H133" s="32">
        <v>551</v>
      </c>
      <c r="I133" s="50">
        <v>5.0000000000000001E-4</v>
      </c>
      <c r="J133" s="50">
        <v>1.46E-2</v>
      </c>
      <c r="K133" s="29">
        <f>11888489.66*1591.8496</f>
        <v>18924687509.875137</v>
      </c>
      <c r="L133" s="30">
        <f t="shared" si="77"/>
        <v>9.7990028600896967E-3</v>
      </c>
      <c r="M133" s="33">
        <f>135.84*1591.8496</f>
        <v>216236.84966400001</v>
      </c>
      <c r="N133" s="33">
        <f>135.84*1591.8496</f>
        <v>216236.84966400001</v>
      </c>
      <c r="O133" s="32">
        <v>553</v>
      </c>
      <c r="P133" s="50">
        <v>5.0000000000000001E-4</v>
      </c>
      <c r="Q133" s="50">
        <v>1.5599999999999999E-2</v>
      </c>
      <c r="R133" s="57">
        <f t="shared" ref="R133:R148" si="78">((K133-D133)/D133)</f>
        <v>1.9020608777693671E-2</v>
      </c>
      <c r="S133" s="57">
        <f t="shared" ref="S133:S148" si="79">((N133-G133)/G133)</f>
        <v>1.6967110926311577E-2</v>
      </c>
      <c r="T133" s="57">
        <f t="shared" ref="T133:T148" si="80">((O133-H133)/H133)</f>
        <v>3.629764065335753E-3</v>
      </c>
      <c r="U133" s="57">
        <f t="shared" ref="U133:U148" si="81">P133-I133</f>
        <v>0</v>
      </c>
      <c r="V133" s="58">
        <f t="shared" ref="V133:V148" si="82">Q133-J133</f>
        <v>9.9999999999999915E-4</v>
      </c>
    </row>
    <row r="134" spans="1:24">
      <c r="A134" s="135">
        <v>117</v>
      </c>
      <c r="B134" s="133" t="s">
        <v>177</v>
      </c>
      <c r="C134" s="134" t="s">
        <v>67</v>
      </c>
      <c r="D134" s="33">
        <v>16781494596.66</v>
      </c>
      <c r="E134" s="30">
        <f t="shared" si="76"/>
        <v>8.807165515117921E-3</v>
      </c>
      <c r="F134" s="33">
        <v>178217.82</v>
      </c>
      <c r="G134" s="33">
        <v>178217.82</v>
      </c>
      <c r="H134" s="32">
        <v>687</v>
      </c>
      <c r="I134" s="50">
        <v>1.1000000000000001E-3</v>
      </c>
      <c r="J134" s="50">
        <v>6.1400000000000003E-2</v>
      </c>
      <c r="K134" s="33">
        <v>16650758279.34</v>
      </c>
      <c r="L134" s="30">
        <f t="shared" si="77"/>
        <v>8.621586375826577E-3</v>
      </c>
      <c r="M134" s="33">
        <v>178427.84</v>
      </c>
      <c r="N134" s="33">
        <v>178427.84</v>
      </c>
      <c r="O134" s="32">
        <v>688</v>
      </c>
      <c r="P134" s="50">
        <v>1.1999999999999999E-3</v>
      </c>
      <c r="Q134" s="50">
        <v>6.0900000000000003E-2</v>
      </c>
      <c r="R134" s="57">
        <f t="shared" si="78"/>
        <v>-7.7905049855344815E-3</v>
      </c>
      <c r="S134" s="57">
        <f t="shared" si="79"/>
        <v>1.1784455673399523E-3</v>
      </c>
      <c r="T134" s="57">
        <f t="shared" si="80"/>
        <v>1.455604075691412E-3</v>
      </c>
      <c r="U134" s="57">
        <f t="shared" si="81"/>
        <v>9.9999999999999829E-5</v>
      </c>
      <c r="V134" s="58">
        <f t="shared" si="82"/>
        <v>-5.0000000000000044E-4</v>
      </c>
    </row>
    <row r="135" spans="1:24">
      <c r="A135" s="135">
        <v>118</v>
      </c>
      <c r="B135" s="133" t="s">
        <v>300</v>
      </c>
      <c r="C135" s="134" t="s">
        <v>301</v>
      </c>
      <c r="D135" s="29">
        <f>59081.69*1567.0215</f>
        <v>92582278.486335009</v>
      </c>
      <c r="E135" s="30">
        <f t="shared" ref="E135" si="83">(D135/$D$109)</f>
        <v>4.6138386905812228E-4</v>
      </c>
      <c r="F135" s="35">
        <f>0.9646*1567.0215</f>
        <v>1511.5489389000002</v>
      </c>
      <c r="G135" s="35">
        <f>0.9646*1567.0215</f>
        <v>1511.5489389000002</v>
      </c>
      <c r="H135" s="32">
        <v>2</v>
      </c>
      <c r="I135" s="50">
        <v>-2.6345008579792051E-2</v>
      </c>
      <c r="J135" s="50">
        <v>2.3176972271577223E-2</v>
      </c>
      <c r="K135" s="29">
        <f>59176.47*1591.8496</f>
        <v>94200040.098912001</v>
      </c>
      <c r="L135" s="30">
        <f t="shared" ref="L135" si="84">(K135/$K$109)</f>
        <v>4.513718254751804E-4</v>
      </c>
      <c r="M135" s="35">
        <f>0.9657*1591.8496</f>
        <v>1537.24915872</v>
      </c>
      <c r="N135" s="35">
        <f>0.9657*1591.8496</f>
        <v>1537.24915872</v>
      </c>
      <c r="O135" s="32">
        <v>2</v>
      </c>
      <c r="P135" s="50">
        <v>1.1403690648974507E-3</v>
      </c>
      <c r="Q135" s="50">
        <v>2.4280835793905386E-2</v>
      </c>
      <c r="R135" s="56">
        <f t="shared" si="78"/>
        <v>1.7473771860300136E-2</v>
      </c>
      <c r="S135" s="56">
        <f t="shared" si="79"/>
        <v>1.7002572102430655E-2</v>
      </c>
      <c r="T135" s="56">
        <f t="shared" si="80"/>
        <v>0</v>
      </c>
      <c r="U135" s="57">
        <f t="shared" si="81"/>
        <v>2.7485377644689502E-2</v>
      </c>
      <c r="V135" s="58">
        <f t="shared" si="82"/>
        <v>1.1038635223281634E-3</v>
      </c>
    </row>
    <row r="136" spans="1:24">
      <c r="A136" s="135">
        <v>119</v>
      </c>
      <c r="B136" s="133" t="s">
        <v>178</v>
      </c>
      <c r="C136" s="134" t="s">
        <v>65</v>
      </c>
      <c r="D136" s="33">
        <v>7487144960.5269642</v>
      </c>
      <c r="E136" s="30">
        <f t="shared" si="76"/>
        <v>3.9293594812565783E-3</v>
      </c>
      <c r="F136" s="33">
        <v>2029.1093237367561</v>
      </c>
      <c r="G136" s="33">
        <v>2029.1093237367561</v>
      </c>
      <c r="H136" s="32">
        <v>245</v>
      </c>
      <c r="I136" s="50">
        <v>4.7701109740820716E-2</v>
      </c>
      <c r="J136" s="50">
        <v>6.6872383380330497E-2</v>
      </c>
      <c r="K136" s="33">
        <v>8267892027.5737019</v>
      </c>
      <c r="L136" s="30">
        <f t="shared" si="77"/>
        <v>4.2810269698155797E-3</v>
      </c>
      <c r="M136" s="33">
        <v>2080.8065514522709</v>
      </c>
      <c r="N136" s="33">
        <v>2080.8065514522709</v>
      </c>
      <c r="O136" s="32">
        <v>251</v>
      </c>
      <c r="P136" s="50">
        <v>5.3330015394948901E-2</v>
      </c>
      <c r="Q136" s="50">
        <v>6.5997458075626833E-2</v>
      </c>
      <c r="R136" s="57">
        <f t="shared" si="78"/>
        <v>0.10427834256755017</v>
      </c>
      <c r="S136" s="57">
        <f t="shared" si="79"/>
        <v>2.5477793192685415E-2</v>
      </c>
      <c r="T136" s="56">
        <f t="shared" si="80"/>
        <v>2.4489795918367346E-2</v>
      </c>
      <c r="U136" s="57">
        <f t="shared" si="81"/>
        <v>5.6289056541281857E-3</v>
      </c>
      <c r="V136" s="58">
        <f t="shared" si="82"/>
        <v>-8.749253047036637E-4</v>
      </c>
    </row>
    <row r="137" spans="1:24">
      <c r="A137" s="135">
        <v>120</v>
      </c>
      <c r="B137" s="133" t="s">
        <v>307</v>
      </c>
      <c r="C137" s="134" t="s">
        <v>37</v>
      </c>
      <c r="D137" s="33">
        <v>93825648875.400009</v>
      </c>
      <c r="E137" s="30">
        <f t="shared" si="76"/>
        <v>4.924102644429839E-2</v>
      </c>
      <c r="F137" s="33">
        <f>100*1537</f>
        <v>153700</v>
      </c>
      <c r="G137" s="33">
        <f>100*1537</f>
        <v>153700</v>
      </c>
      <c r="H137" s="32">
        <v>1924</v>
      </c>
      <c r="I137" s="50">
        <v>3.9899999999999998E-2</v>
      </c>
      <c r="J137" s="50">
        <v>4.9119000000000003E-2</v>
      </c>
      <c r="K137" s="33">
        <v>89495496508.75</v>
      </c>
      <c r="L137" s="30">
        <f t="shared" si="77"/>
        <v>4.6339820712853336E-2</v>
      </c>
      <c r="M137" s="33">
        <f>100*1591.8496</f>
        <v>159184.95999999999</v>
      </c>
      <c r="N137" s="33">
        <f>100*1591.8496</f>
        <v>159184.95999999999</v>
      </c>
      <c r="O137" s="32">
        <v>1931</v>
      </c>
      <c r="P137" s="50">
        <v>4.7E-2</v>
      </c>
      <c r="Q137" s="50">
        <v>4.8969800000000001E-2</v>
      </c>
      <c r="R137" s="57">
        <f t="shared" si="78"/>
        <v>-4.6151051642610325E-2</v>
      </c>
      <c r="S137" s="57">
        <f t="shared" si="79"/>
        <v>3.5686141834742953E-2</v>
      </c>
      <c r="T137" s="57">
        <f t="shared" si="80"/>
        <v>3.6382536382536385E-3</v>
      </c>
      <c r="U137" s="57">
        <f t="shared" si="81"/>
        <v>7.1000000000000021E-3</v>
      </c>
      <c r="V137" s="58">
        <f t="shared" si="82"/>
        <v>-1.4920000000000211E-4</v>
      </c>
    </row>
    <row r="138" spans="1:24" ht="15.6">
      <c r="A138" s="135">
        <v>121</v>
      </c>
      <c r="B138" s="133" t="s">
        <v>179</v>
      </c>
      <c r="C138" s="134" t="s">
        <v>135</v>
      </c>
      <c r="D138" s="33">
        <f>1026912.33*1567.0215</f>
        <v>1609193699.725095</v>
      </c>
      <c r="E138" s="30">
        <f t="shared" si="76"/>
        <v>8.4452759423374617E-4</v>
      </c>
      <c r="F138" s="33">
        <f>1.04*1567.0215</f>
        <v>1629.7023600000002</v>
      </c>
      <c r="G138" s="33">
        <f>1.07*1567.0215</f>
        <v>1676.7130050000001</v>
      </c>
      <c r="H138" s="32">
        <v>47</v>
      </c>
      <c r="I138" s="50">
        <v>1.9E-3</v>
      </c>
      <c r="J138" s="50">
        <v>9.9599999999999994E-2</v>
      </c>
      <c r="K138" s="33">
        <f>1051453.17*1591.8496</f>
        <v>1673755308.0832319</v>
      </c>
      <c r="L138" s="30">
        <f t="shared" si="77"/>
        <v>8.6665278052488776E-4</v>
      </c>
      <c r="M138" s="33">
        <f>1.05*1591.8496</f>
        <v>1671.44208</v>
      </c>
      <c r="N138" s="33">
        <f>1.08*1591.8496</f>
        <v>1719.197568</v>
      </c>
      <c r="O138" s="32">
        <v>49</v>
      </c>
      <c r="P138" s="50">
        <v>1.9E-3</v>
      </c>
      <c r="Q138" s="50">
        <v>9.9599999999999994E-2</v>
      </c>
      <c r="R138" s="57">
        <f t="shared" si="78"/>
        <v>4.0120470499708148E-2</v>
      </c>
      <c r="S138" s="57">
        <f t="shared" si="79"/>
        <v>2.5338005295664764E-2</v>
      </c>
      <c r="T138" s="57">
        <f t="shared" si="80"/>
        <v>4.2553191489361701E-2</v>
      </c>
      <c r="U138" s="57">
        <f t="shared" si="81"/>
        <v>0</v>
      </c>
      <c r="V138" s="58">
        <f t="shared" si="82"/>
        <v>0</v>
      </c>
      <c r="X138" s="67"/>
    </row>
    <row r="139" spans="1:24" ht="15.6">
      <c r="A139" s="135">
        <v>122</v>
      </c>
      <c r="B139" s="133" t="s">
        <v>180</v>
      </c>
      <c r="C139" s="134" t="s">
        <v>43</v>
      </c>
      <c r="D139" s="29">
        <f>3210520.69*1567.0215</f>
        <v>5030954947.4248352</v>
      </c>
      <c r="E139" s="30">
        <f t="shared" si="76"/>
        <v>2.6403162522777059E-3</v>
      </c>
      <c r="F139" s="33">
        <f>10.5455*1567.0215</f>
        <v>16525.025228250001</v>
      </c>
      <c r="G139" s="33">
        <f>10.5455*1567.0215</f>
        <v>16525.025228250001</v>
      </c>
      <c r="H139" s="32">
        <v>68</v>
      </c>
      <c r="I139" s="50">
        <v>6.9199999999999998E-2</v>
      </c>
      <c r="J139" s="50">
        <v>8.9300000000000004E-2</v>
      </c>
      <c r="K139" s="29">
        <f>3224872.03*1591.8496</f>
        <v>5133511251.0066881</v>
      </c>
      <c r="L139" s="30">
        <f t="shared" si="77"/>
        <v>2.6580777835654244E-3</v>
      </c>
      <c r="M139" s="33">
        <f>10.55981*1591.8496</f>
        <v>16809.629324576003</v>
      </c>
      <c r="N139" s="33">
        <f>10.55981*1591.8496</f>
        <v>16809.629324576003</v>
      </c>
      <c r="O139" s="32">
        <v>68</v>
      </c>
      <c r="P139" s="50">
        <v>7.6899999999999996E-2</v>
      </c>
      <c r="Q139" s="50">
        <v>9.69E-2</v>
      </c>
      <c r="R139" s="57">
        <f t="shared" si="78"/>
        <v>2.0385057042569581E-2</v>
      </c>
      <c r="S139" s="57">
        <f t="shared" si="79"/>
        <v>1.7222611911022274E-2</v>
      </c>
      <c r="T139" s="57">
        <f t="shared" si="80"/>
        <v>0</v>
      </c>
      <c r="U139" s="57">
        <f t="shared" si="81"/>
        <v>7.6999999999999985E-3</v>
      </c>
      <c r="V139" s="58">
        <f t="shared" si="82"/>
        <v>7.5999999999999956E-3</v>
      </c>
      <c r="X139" s="67"/>
    </row>
    <row r="140" spans="1:24" ht="15.6">
      <c r="A140" s="135">
        <v>123</v>
      </c>
      <c r="B140" s="134" t="s">
        <v>181</v>
      </c>
      <c r="C140" s="142" t="s">
        <v>47</v>
      </c>
      <c r="D140" s="33">
        <v>25115492168.84</v>
      </c>
      <c r="E140" s="30">
        <f t="shared" si="76"/>
        <v>1.3180965214424125E-2</v>
      </c>
      <c r="F140" s="33">
        <f>1.04*1567.0215</f>
        <v>1629.7023600000002</v>
      </c>
      <c r="G140" s="33">
        <f>1.04*1567.0215</f>
        <v>1629.7023600000002</v>
      </c>
      <c r="H140" s="32">
        <v>460</v>
      </c>
      <c r="I140" s="50">
        <v>2.8E-3</v>
      </c>
      <c r="J140" s="50">
        <v>2.6200000000000001E-2</v>
      </c>
      <c r="K140" s="33">
        <v>24426120692.950001</v>
      </c>
      <c r="L140" s="30">
        <f t="shared" si="77"/>
        <v>1.264758672534046E-2</v>
      </c>
      <c r="M140" s="33">
        <f>0.99*1591.8496</f>
        <v>1575.931104</v>
      </c>
      <c r="N140" s="33">
        <f>0.99*1591.8496</f>
        <v>1575.931104</v>
      </c>
      <c r="O140" s="32">
        <v>460</v>
      </c>
      <c r="P140" s="50">
        <v>-6.7100000000000007E-2</v>
      </c>
      <c r="Q140" s="50">
        <v>-2.29E-2</v>
      </c>
      <c r="R140" s="57">
        <f t="shared" si="78"/>
        <v>-2.7448057607458748E-2</v>
      </c>
      <c r="S140" s="57">
        <f t="shared" si="79"/>
        <v>-3.2994525454329106E-2</v>
      </c>
      <c r="T140" s="57">
        <f t="shared" si="80"/>
        <v>0</v>
      </c>
      <c r="U140" s="57">
        <f t="shared" si="81"/>
        <v>-6.9900000000000004E-2</v>
      </c>
      <c r="V140" s="58">
        <f t="shared" si="82"/>
        <v>-4.9100000000000005E-2</v>
      </c>
      <c r="X140" s="67"/>
    </row>
    <row r="141" spans="1:24">
      <c r="A141" s="135">
        <v>124</v>
      </c>
      <c r="B141" s="133" t="s">
        <v>182</v>
      </c>
      <c r="C141" s="134" t="s">
        <v>91</v>
      </c>
      <c r="D141" s="29">
        <f>262334.27*1581.25</f>
        <v>414816064.4375</v>
      </c>
      <c r="E141" s="30">
        <f t="shared" si="76"/>
        <v>2.17701332666639E-4</v>
      </c>
      <c r="F141" s="33">
        <f>1.09*1581.25</f>
        <v>1723.5625000000002</v>
      </c>
      <c r="G141" s="33">
        <f>1.09*1581.25</f>
        <v>1723.5625000000002</v>
      </c>
      <c r="H141" s="32">
        <v>2</v>
      </c>
      <c r="I141" s="50">
        <v>-2.2133E-2</v>
      </c>
      <c r="J141" s="50">
        <v>-1.5495999999999999E-2</v>
      </c>
      <c r="K141" s="29">
        <f>246140.7*1619.88</f>
        <v>398718397.11600006</v>
      </c>
      <c r="L141" s="30">
        <f t="shared" si="77"/>
        <v>2.0645216528258765E-4</v>
      </c>
      <c r="M141" s="33">
        <f>1.03*1619.88</f>
        <v>1668.4764000000002</v>
      </c>
      <c r="N141" s="33">
        <f>1.03*1619.88</f>
        <v>1668.4764000000002</v>
      </c>
      <c r="O141" s="32">
        <v>2</v>
      </c>
      <c r="P141" s="50">
        <v>-4.0398999999999997E-2</v>
      </c>
      <c r="Q141" s="50">
        <v>-5.5268999999999999E-2</v>
      </c>
      <c r="R141" s="57">
        <f t="shared" si="78"/>
        <v>-3.8806759673902083E-2</v>
      </c>
      <c r="S141" s="57">
        <f t="shared" si="79"/>
        <v>-3.1960604851869301E-2</v>
      </c>
      <c r="T141" s="57">
        <f t="shared" si="80"/>
        <v>0</v>
      </c>
      <c r="U141" s="57">
        <f t="shared" si="81"/>
        <v>-1.8265999999999998E-2</v>
      </c>
      <c r="V141" s="58">
        <f t="shared" si="82"/>
        <v>-3.9773000000000003E-2</v>
      </c>
    </row>
    <row r="142" spans="1:24">
      <c r="A142" s="135">
        <v>125</v>
      </c>
      <c r="B142" s="133" t="s">
        <v>316</v>
      </c>
      <c r="C142" s="134" t="s">
        <v>314</v>
      </c>
      <c r="D142" s="29">
        <v>0</v>
      </c>
      <c r="E142" s="30">
        <f t="shared" si="76"/>
        <v>0</v>
      </c>
      <c r="F142" s="33">
        <v>0</v>
      </c>
      <c r="G142" s="33">
        <v>0</v>
      </c>
      <c r="H142" s="32">
        <v>0</v>
      </c>
      <c r="I142" s="50">
        <v>0</v>
      </c>
      <c r="J142" s="50">
        <v>0</v>
      </c>
      <c r="K142" s="29">
        <f>414420.46*1591.8496</f>
        <v>659695043.48281598</v>
      </c>
      <c r="L142" s="30">
        <f t="shared" si="77"/>
        <v>3.4158311013071841E-4</v>
      </c>
      <c r="M142" s="33">
        <f>1.00114278729631*1591.8496</f>
        <v>1593.668745500516</v>
      </c>
      <c r="N142" s="33">
        <f>1.00114278729631*1591.8496</f>
        <v>1593.668745500516</v>
      </c>
      <c r="O142" s="32">
        <v>5</v>
      </c>
      <c r="P142" s="50">
        <v>1.1000000000000001E-3</v>
      </c>
      <c r="Q142" s="50">
        <v>1.1000000000000001E-3</v>
      </c>
      <c r="R142" s="57" t="e">
        <f t="shared" ref="R142" si="85">((K142-D142)/D142)</f>
        <v>#DIV/0!</v>
      </c>
      <c r="S142" s="57" t="e">
        <f t="shared" ref="S142" si="86">((N142-G142)/G142)</f>
        <v>#DIV/0!</v>
      </c>
      <c r="T142" s="57" t="e">
        <f t="shared" si="80"/>
        <v>#DIV/0!</v>
      </c>
      <c r="U142" s="57">
        <f t="shared" si="81"/>
        <v>1.1000000000000001E-3</v>
      </c>
      <c r="V142" s="58">
        <f t="shared" si="82"/>
        <v>1.1000000000000001E-3</v>
      </c>
    </row>
    <row r="143" spans="1:24">
      <c r="A143" s="135">
        <v>126</v>
      </c>
      <c r="B143" s="133" t="s">
        <v>183</v>
      </c>
      <c r="C143" s="134" t="s">
        <v>49</v>
      </c>
      <c r="D143" s="29">
        <v>1052561842131.9399</v>
      </c>
      <c r="E143" s="30">
        <f t="shared" si="76"/>
        <v>0.55239932922294233</v>
      </c>
      <c r="F143" s="33">
        <v>2533.3200000000002</v>
      </c>
      <c r="G143" s="33">
        <v>2533.3200000000002</v>
      </c>
      <c r="H143" s="32">
        <v>10399</v>
      </c>
      <c r="I143" s="50">
        <v>1.2999999999999999E-3</v>
      </c>
      <c r="J143" s="50">
        <v>1.7500000000000002E-2</v>
      </c>
      <c r="K143" s="29">
        <v>1076749740859.61</v>
      </c>
      <c r="L143" s="30">
        <f t="shared" si="77"/>
        <v>0.55752961758435782</v>
      </c>
      <c r="M143" s="33">
        <v>2598.61</v>
      </c>
      <c r="N143" s="33">
        <v>2598.61</v>
      </c>
      <c r="O143" s="32">
        <v>10460</v>
      </c>
      <c r="P143" s="50">
        <v>1.2999999999999999E-3</v>
      </c>
      <c r="Q143" s="50">
        <v>1.8800000000000001E-2</v>
      </c>
      <c r="R143" s="57">
        <f t="shared" si="78"/>
        <v>2.2980026217441066E-2</v>
      </c>
      <c r="S143" s="57">
        <f t="shared" si="79"/>
        <v>2.5772504065810858E-2</v>
      </c>
      <c r="T143" s="57">
        <f t="shared" si="80"/>
        <v>5.8659486489085486E-3</v>
      </c>
      <c r="U143" s="57">
        <f t="shared" si="81"/>
        <v>0</v>
      </c>
      <c r="V143" s="58">
        <f t="shared" si="82"/>
        <v>1.2999999999999991E-3</v>
      </c>
    </row>
    <row r="144" spans="1:24">
      <c r="A144" s="135">
        <v>127</v>
      </c>
      <c r="B144" s="133" t="s">
        <v>292</v>
      </c>
      <c r="C144" s="133" t="s">
        <v>101</v>
      </c>
      <c r="D144" s="29">
        <f>285449.32*1567.0215</f>
        <v>447305221.60038</v>
      </c>
      <c r="E144" s="30">
        <f t="shared" si="76"/>
        <v>2.3475210147224425E-4</v>
      </c>
      <c r="F144" s="33">
        <f>101.71*1567.0215</f>
        <v>159381.756765</v>
      </c>
      <c r="G144" s="33">
        <f>101.71*1567.0215</f>
        <v>159381.756765</v>
      </c>
      <c r="H144" s="32">
        <v>18</v>
      </c>
      <c r="I144" s="50">
        <v>0</v>
      </c>
      <c r="J144" s="50">
        <v>0</v>
      </c>
      <c r="K144" s="29">
        <f>289012.43*1591.8496</f>
        <v>460064321.09052801</v>
      </c>
      <c r="L144" s="30">
        <f t="shared" si="77"/>
        <v>2.382164353223211E-4</v>
      </c>
      <c r="M144" s="33">
        <f>101.697*1591.8496</f>
        <v>161886.3287712</v>
      </c>
      <c r="N144" s="33">
        <f>101.697*1591.8496</f>
        <v>161886.3287712</v>
      </c>
      <c r="O144" s="32">
        <v>20</v>
      </c>
      <c r="P144" s="50">
        <v>0</v>
      </c>
      <c r="Q144" s="50">
        <v>6.8400000000000002E-2</v>
      </c>
      <c r="R144" s="57">
        <f t="shared" ref="R144" si="87">((K144-D144)/D144)</f>
        <v>2.8524369656357188E-2</v>
      </c>
      <c r="S144" s="57">
        <f t="shared" ref="S144" si="88">((N144-G144)/G144)</f>
        <v>1.5714295393875366E-2</v>
      </c>
      <c r="T144" s="57">
        <f t="shared" ref="T144" si="89">((O144-H144)/H144)</f>
        <v>0.1111111111111111</v>
      </c>
      <c r="U144" s="57">
        <f t="shared" ref="U144" si="90">P144-I144</f>
        <v>0</v>
      </c>
      <c r="V144" s="58">
        <f t="shared" ref="V144" si="91">Q144-J144</f>
        <v>6.8400000000000002E-2</v>
      </c>
    </row>
    <row r="145" spans="1:22" ht="16.5" customHeight="1">
      <c r="A145" s="135">
        <v>128</v>
      </c>
      <c r="B145" s="133" t="s">
        <v>184</v>
      </c>
      <c r="C145" s="134" t="s">
        <v>52</v>
      </c>
      <c r="D145" s="29">
        <f>137681985.19*1581.25</f>
        <v>217709639081.6875</v>
      </c>
      <c r="E145" s="30">
        <f t="shared" si="76"/>
        <v>0.11425709519404939</v>
      </c>
      <c r="F145" s="33">
        <f>1.1918*1581.25</f>
        <v>1884.5337500000001</v>
      </c>
      <c r="G145" s="33">
        <f>1.1918*1581.25</f>
        <v>1884.5337500000001</v>
      </c>
      <c r="H145" s="32">
        <v>620</v>
      </c>
      <c r="I145" s="50">
        <v>5.8500000000000003E-2</v>
      </c>
      <c r="J145" s="50">
        <v>7.8899999999999998E-2</v>
      </c>
      <c r="K145" s="29">
        <f>133559253.81*1591.8496</f>
        <v>212606244753.74698</v>
      </c>
      <c r="L145" s="30">
        <f t="shared" si="77"/>
        <v>0.11008526293117335</v>
      </c>
      <c r="M145" s="33">
        <f>1.1933*1591.8496</f>
        <v>1899.55412768</v>
      </c>
      <c r="N145" s="33">
        <f>1.1933*1591.8496</f>
        <v>1899.55412768</v>
      </c>
      <c r="O145" s="32">
        <v>633</v>
      </c>
      <c r="P145" s="50">
        <v>6.7799999999999999E-2</v>
      </c>
      <c r="Q145" s="50">
        <v>7.8200000000000006E-2</v>
      </c>
      <c r="R145" s="57">
        <f t="shared" si="78"/>
        <v>-2.3441287898261873E-2</v>
      </c>
      <c r="S145" s="57">
        <f t="shared" si="79"/>
        <v>7.970341565917782E-3</v>
      </c>
      <c r="T145" s="57">
        <f t="shared" si="80"/>
        <v>2.0967741935483872E-2</v>
      </c>
      <c r="U145" s="57">
        <f t="shared" si="81"/>
        <v>9.2999999999999958E-3</v>
      </c>
      <c r="V145" s="58">
        <f t="shared" si="82"/>
        <v>-6.999999999999923E-4</v>
      </c>
    </row>
    <row r="146" spans="1:22" ht="16.5" customHeight="1">
      <c r="A146" s="135">
        <v>129</v>
      </c>
      <c r="B146" s="133" t="s">
        <v>185</v>
      </c>
      <c r="C146" s="134" t="s">
        <v>96</v>
      </c>
      <c r="D146" s="33">
        <v>859734024.30442476</v>
      </c>
      <c r="E146" s="30">
        <v>0</v>
      </c>
      <c r="F146" s="33">
        <v>165477.8125</v>
      </c>
      <c r="G146" s="33">
        <v>165477.8125</v>
      </c>
      <c r="H146" s="32">
        <v>23</v>
      </c>
      <c r="I146" s="50">
        <v>6.9999999999999999E-4</v>
      </c>
      <c r="J146" s="50">
        <v>6.6799999999999998E-2</v>
      </c>
      <c r="K146" s="33">
        <v>1089244582.1498544</v>
      </c>
      <c r="L146" s="30">
        <f t="shared" si="77"/>
        <v>5.6399931413684157E-4</v>
      </c>
      <c r="M146" s="33">
        <v>169714.82760000002</v>
      </c>
      <c r="N146" s="33">
        <v>169714.82760000002</v>
      </c>
      <c r="O146" s="32">
        <v>24</v>
      </c>
      <c r="P146" s="50">
        <v>1.1000000000000001E-3</v>
      </c>
      <c r="Q146" s="50">
        <v>4.9099999999999998E-2</v>
      </c>
      <c r="R146" s="57">
        <f t="shared" si="78"/>
        <v>0.26695530403268286</v>
      </c>
      <c r="S146" s="57">
        <f t="shared" si="79"/>
        <v>2.5604732356490505E-2</v>
      </c>
      <c r="T146" s="57">
        <f t="shared" si="80"/>
        <v>4.3478260869565216E-2</v>
      </c>
      <c r="U146" s="57">
        <f t="shared" si="81"/>
        <v>4.0000000000000007E-4</v>
      </c>
      <c r="V146" s="58">
        <f t="shared" si="82"/>
        <v>-1.77E-2</v>
      </c>
    </row>
    <row r="147" spans="1:22">
      <c r="A147" s="135">
        <v>130</v>
      </c>
      <c r="B147" s="133" t="s">
        <v>186</v>
      </c>
      <c r="C147" s="134" t="s">
        <v>110</v>
      </c>
      <c r="D147" s="33">
        <f>1251120.32*1567.0215</f>
        <v>1960532440.5268803</v>
      </c>
      <c r="E147" s="30">
        <f>(D147/$D$148)</f>
        <v>1.0289151304148376E-3</v>
      </c>
      <c r="F147" s="33">
        <f>1.226*1567.0215</f>
        <v>1921.168359</v>
      </c>
      <c r="G147" s="33">
        <f>1.226*1567.0215</f>
        <v>1921.168359</v>
      </c>
      <c r="H147" s="32">
        <v>95</v>
      </c>
      <c r="I147" s="50">
        <v>-2.8396999999999999E-2</v>
      </c>
      <c r="J147" s="50">
        <v>-1.4141000000000001E-2</v>
      </c>
      <c r="K147" s="33">
        <f>1236890.22*1591.8496</f>
        <v>1968943201.950912</v>
      </c>
      <c r="L147" s="30">
        <f t="shared" si="77"/>
        <v>1.0194979471763257E-3</v>
      </c>
      <c r="M147" s="33">
        <f>1.215*1591.8496</f>
        <v>1934.0972640000002</v>
      </c>
      <c r="N147" s="33">
        <f>1.215*1591.8496</f>
        <v>1934.0972640000002</v>
      </c>
      <c r="O147" s="32">
        <v>95</v>
      </c>
      <c r="P147" s="50">
        <v>-9.2999999999999992E-3</v>
      </c>
      <c r="Q147" s="50">
        <v>-2.3E-2</v>
      </c>
      <c r="R147" s="57">
        <f t="shared" si="78"/>
        <v>4.2900394046891657E-3</v>
      </c>
      <c r="S147" s="57">
        <f t="shared" si="79"/>
        <v>6.7297095225584093E-3</v>
      </c>
      <c r="T147" s="57">
        <f t="shared" si="80"/>
        <v>0</v>
      </c>
      <c r="U147" s="57">
        <f t="shared" si="81"/>
        <v>1.9096999999999999E-2</v>
      </c>
      <c r="V147" s="58">
        <f t="shared" si="82"/>
        <v>-8.8589999999999988E-3</v>
      </c>
    </row>
    <row r="148" spans="1:22">
      <c r="A148" s="36"/>
      <c r="B148" s="37"/>
      <c r="C148" s="71" t="s">
        <v>53</v>
      </c>
      <c r="D148" s="48">
        <f>SUM(D113:D147)</f>
        <v>1905436495754.9351</v>
      </c>
      <c r="E148" s="40">
        <f>(D148/$D$219)</f>
        <v>0.38720684555878571</v>
      </c>
      <c r="F148" s="41"/>
      <c r="G148" s="45"/>
      <c r="H148" s="43">
        <f>SUM(H113:H147)</f>
        <v>23917</v>
      </c>
      <c r="I148" s="80"/>
      <c r="J148" s="80"/>
      <c r="K148" s="48">
        <f>SUM(K113:K147)</f>
        <v>1931287068703.0198</v>
      </c>
      <c r="L148" s="40">
        <f>(K148/$K$219)</f>
        <v>0.38415944719507306</v>
      </c>
      <c r="M148" s="41"/>
      <c r="N148" s="45"/>
      <c r="O148" s="43">
        <f>SUM(O113:O147)</f>
        <v>24091</v>
      </c>
      <c r="P148" s="80"/>
      <c r="Q148" s="80"/>
      <c r="R148" s="57">
        <f t="shared" si="78"/>
        <v>1.3566745995301567E-2</v>
      </c>
      <c r="S148" s="57" t="e">
        <f t="shared" si="79"/>
        <v>#DIV/0!</v>
      </c>
      <c r="T148" s="57">
        <f t="shared" si="80"/>
        <v>7.2751599280846263E-3</v>
      </c>
      <c r="U148" s="57">
        <f t="shared" si="81"/>
        <v>0</v>
      </c>
      <c r="V148" s="58">
        <f t="shared" si="82"/>
        <v>0</v>
      </c>
    </row>
    <row r="149" spans="1:22" ht="6" customHeight="1">
      <c r="A149" s="36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</row>
    <row r="150" spans="1:22">
      <c r="A150" s="179" t="s">
        <v>187</v>
      </c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</row>
    <row r="151" spans="1:22">
      <c r="A151" s="135">
        <v>131</v>
      </c>
      <c r="B151" s="133" t="s">
        <v>188</v>
      </c>
      <c r="C151" s="134" t="s">
        <v>189</v>
      </c>
      <c r="D151" s="72">
        <v>2344946167.6671491</v>
      </c>
      <c r="E151" s="30">
        <f>(D151/$D$156)</f>
        <v>2.3122034180908493E-2</v>
      </c>
      <c r="F151" s="60">
        <v>1.1100000000000001</v>
      </c>
      <c r="G151" s="60">
        <v>1.1100000000000001</v>
      </c>
      <c r="H151" s="32">
        <v>8</v>
      </c>
      <c r="I151" s="50">
        <v>4.7999999999999154E-3</v>
      </c>
      <c r="J151" s="50">
        <v>4.830154050409452E-2</v>
      </c>
      <c r="K151" s="72">
        <v>2356201909.2719512</v>
      </c>
      <c r="L151" s="30">
        <f>(K151/$K$156)</f>
        <v>2.3225504701448081E-2</v>
      </c>
      <c r="M151" s="60">
        <v>111.03684775079883</v>
      </c>
      <c r="N151" s="60">
        <v>111.03684775079883</v>
      </c>
      <c r="O151" s="32">
        <v>8</v>
      </c>
      <c r="P151" s="50">
        <v>4.7999999999999154E-3</v>
      </c>
      <c r="Q151" s="50">
        <v>5.3101540504094435E-2</v>
      </c>
      <c r="R151" s="57">
        <f t="shared" ref="R151:R156" si="92">((K151-D151)/D151)</f>
        <v>4.7999999999999215E-3</v>
      </c>
      <c r="S151" s="57">
        <f t="shared" ref="S151:T156" si="93">((N151-G151)/G151)</f>
        <v>99.033196171890822</v>
      </c>
      <c r="T151" s="57">
        <f t="shared" si="93"/>
        <v>0</v>
      </c>
      <c r="U151" s="57">
        <f t="shared" ref="U151:V156" si="94">P151-I151</f>
        <v>0</v>
      </c>
      <c r="V151" s="58">
        <f t="shared" si="94"/>
        <v>4.7999999999999154E-3</v>
      </c>
    </row>
    <row r="152" spans="1:22">
      <c r="A152" s="135">
        <v>132</v>
      </c>
      <c r="B152" s="133" t="s">
        <v>190</v>
      </c>
      <c r="C152" s="134" t="s">
        <v>47</v>
      </c>
      <c r="D152" s="29">
        <v>54160728474</v>
      </c>
      <c r="E152" s="30">
        <f>(D152/$D$156)</f>
        <v>0.53404476073093765</v>
      </c>
      <c r="F152" s="60">
        <v>102.07</v>
      </c>
      <c r="G152" s="60">
        <v>102.07</v>
      </c>
      <c r="H152" s="32">
        <v>645</v>
      </c>
      <c r="I152" s="50">
        <v>8.3900000000000002E-2</v>
      </c>
      <c r="J152" s="50">
        <v>8.3900000000000002E-2</v>
      </c>
      <c r="K152" s="29">
        <v>54160728474</v>
      </c>
      <c r="L152" s="30">
        <f>(K152/$K$156)</f>
        <v>0.53387201192593248</v>
      </c>
      <c r="M152" s="60">
        <v>102.07</v>
      </c>
      <c r="N152" s="60">
        <v>102.07</v>
      </c>
      <c r="O152" s="32">
        <v>645</v>
      </c>
      <c r="P152" s="50">
        <v>8.3900000000000002E-2</v>
      </c>
      <c r="Q152" s="50">
        <v>8.3900000000000002E-2</v>
      </c>
      <c r="R152" s="57">
        <f t="shared" si="92"/>
        <v>0</v>
      </c>
      <c r="S152" s="57">
        <f t="shared" si="93"/>
        <v>0</v>
      </c>
      <c r="T152" s="57">
        <f t="shared" si="93"/>
        <v>0</v>
      </c>
      <c r="U152" s="57">
        <f t="shared" si="94"/>
        <v>0</v>
      </c>
      <c r="V152" s="58">
        <f t="shared" si="94"/>
        <v>0</v>
      </c>
    </row>
    <row r="153" spans="1:22" ht="15.75" customHeight="1">
      <c r="A153" s="135">
        <v>133</v>
      </c>
      <c r="B153" s="133" t="s">
        <v>191</v>
      </c>
      <c r="C153" s="134" t="s">
        <v>145</v>
      </c>
      <c r="D153" s="29">
        <v>2860529295.4820657</v>
      </c>
      <c r="E153" s="30">
        <f>(D153/$D$156)</f>
        <v>2.8205874001545419E-2</v>
      </c>
      <c r="F153" s="60">
        <v>206</v>
      </c>
      <c r="G153" s="60">
        <v>206</v>
      </c>
      <c r="H153" s="32">
        <v>3250</v>
      </c>
      <c r="I153" s="50">
        <v>4.1851737125674554E-2</v>
      </c>
      <c r="J153" s="50">
        <v>4.7002489164334173E-2</v>
      </c>
      <c r="K153" s="29">
        <v>2863863818.3733487</v>
      </c>
      <c r="L153" s="30">
        <f>(K153/$K$156)</f>
        <v>2.8229619166419317E-2</v>
      </c>
      <c r="M153" s="60">
        <v>206</v>
      </c>
      <c r="N153" s="60">
        <v>206</v>
      </c>
      <c r="O153" s="32">
        <v>3250</v>
      </c>
      <c r="P153" s="50">
        <v>4.5647944890037838E-2</v>
      </c>
      <c r="Q153" s="50">
        <v>7.7263262212070444E-2</v>
      </c>
      <c r="R153" s="57">
        <f t="shared" si="92"/>
        <v>1.1657013604264069E-3</v>
      </c>
      <c r="S153" s="57">
        <f t="shared" si="93"/>
        <v>0</v>
      </c>
      <c r="T153" s="57">
        <f t="shared" si="93"/>
        <v>0</v>
      </c>
      <c r="U153" s="57">
        <f t="shared" si="94"/>
        <v>3.7962077643632838E-3</v>
      </c>
      <c r="V153" s="58">
        <f t="shared" si="94"/>
        <v>3.0260773047736271E-2</v>
      </c>
    </row>
    <row r="154" spans="1:22">
      <c r="A154" s="135">
        <v>134</v>
      </c>
      <c r="B154" s="133" t="s">
        <v>192</v>
      </c>
      <c r="C154" s="134" t="s">
        <v>145</v>
      </c>
      <c r="D154" s="29">
        <v>10912098448.459999</v>
      </c>
      <c r="E154" s="30">
        <f>(D154/$D$156)</f>
        <v>0.10759731578901835</v>
      </c>
      <c r="F154" s="60">
        <v>51.25</v>
      </c>
      <c r="G154" s="60">
        <v>51.25</v>
      </c>
      <c r="H154" s="32">
        <v>5344</v>
      </c>
      <c r="I154" s="50">
        <v>0.10252568994171264</v>
      </c>
      <c r="J154" s="50">
        <v>0.13493511851003639</v>
      </c>
      <c r="K154" s="29">
        <v>10917612232.18</v>
      </c>
      <c r="L154" s="30">
        <f>(K154/$K$156)</f>
        <v>0.10761686136882641</v>
      </c>
      <c r="M154" s="60">
        <v>46.15</v>
      </c>
      <c r="N154" s="60">
        <v>46.15</v>
      </c>
      <c r="O154" s="32">
        <v>5344</v>
      </c>
      <c r="P154" s="50">
        <v>0.14337140673224652</v>
      </c>
      <c r="Q154" s="50">
        <v>2.5581123700503246E-2</v>
      </c>
      <c r="R154" s="57">
        <f t="shared" si="92"/>
        <v>5.0529087013317486E-4</v>
      </c>
      <c r="S154" s="57">
        <f t="shared" si="93"/>
        <v>-9.9512195121951252E-2</v>
      </c>
      <c r="T154" s="57">
        <f t="shared" si="93"/>
        <v>0</v>
      </c>
      <c r="U154" s="57">
        <f t="shared" si="94"/>
        <v>4.0845716790533879E-2</v>
      </c>
      <c r="V154" s="58">
        <f t="shared" si="94"/>
        <v>-0.10935399480953314</v>
      </c>
    </row>
    <row r="155" spans="1:22">
      <c r="A155" s="135">
        <v>135</v>
      </c>
      <c r="B155" s="133" t="s">
        <v>193</v>
      </c>
      <c r="C155" s="134" t="s">
        <v>49</v>
      </c>
      <c r="D155" s="29">
        <v>31137781913.900002</v>
      </c>
      <c r="E155" s="30">
        <f>(D155/$D$156)</f>
        <v>0.30703001529759011</v>
      </c>
      <c r="F155" s="60">
        <v>6.1</v>
      </c>
      <c r="G155" s="60">
        <v>6.1</v>
      </c>
      <c r="H155" s="32">
        <v>208137</v>
      </c>
      <c r="I155" s="50">
        <v>0.1091</v>
      </c>
      <c r="J155" s="50">
        <v>0.22</v>
      </c>
      <c r="K155" s="29">
        <v>31150493797.18</v>
      </c>
      <c r="L155" s="30">
        <f>(K155/$K$156)</f>
        <v>0.30705600283737361</v>
      </c>
      <c r="M155" s="60">
        <v>5.9</v>
      </c>
      <c r="N155" s="60">
        <v>5.9</v>
      </c>
      <c r="O155" s="32">
        <v>208195</v>
      </c>
      <c r="P155" s="50">
        <v>-3.2800000000000003E-2</v>
      </c>
      <c r="Q155" s="50">
        <v>0.18</v>
      </c>
      <c r="R155" s="57">
        <f t="shared" si="92"/>
        <v>4.0824626863752793E-4</v>
      </c>
      <c r="S155" s="57">
        <f t="shared" si="93"/>
        <v>-3.2786885245901523E-2</v>
      </c>
      <c r="T155" s="57">
        <f t="shared" si="93"/>
        <v>2.7866261164521445E-4</v>
      </c>
      <c r="U155" s="57">
        <f t="shared" si="94"/>
        <v>-0.1419</v>
      </c>
      <c r="V155" s="58">
        <f t="shared" si="94"/>
        <v>-4.0000000000000008E-2</v>
      </c>
    </row>
    <row r="156" spans="1:22">
      <c r="A156" s="36"/>
      <c r="B156" s="73"/>
      <c r="C156" s="38" t="s">
        <v>53</v>
      </c>
      <c r="D156" s="39">
        <f>SUM(D151:D155)</f>
        <v>101416084299.50922</v>
      </c>
      <c r="E156" s="40">
        <f>(D156/$D$219)</f>
        <v>2.0608927234270515E-2</v>
      </c>
      <c r="F156" s="41"/>
      <c r="G156" s="74"/>
      <c r="H156" s="43">
        <f>SUM(H151:H155)</f>
        <v>217384</v>
      </c>
      <c r="I156" s="81"/>
      <c r="J156" s="81"/>
      <c r="K156" s="39">
        <f>SUM(K151:K155)</f>
        <v>101448900231.00531</v>
      </c>
      <c r="L156" s="40">
        <f>(K156/$K$219)</f>
        <v>2.0179575611958937E-2</v>
      </c>
      <c r="M156" s="41"/>
      <c r="N156" s="74"/>
      <c r="O156" s="43">
        <f>SUM(O151:O155)</f>
        <v>217442</v>
      </c>
      <c r="P156" s="81"/>
      <c r="Q156" s="81"/>
      <c r="R156" s="57">
        <f t="shared" si="92"/>
        <v>3.2357718918805224E-4</v>
      </c>
      <c r="S156" s="57" t="e">
        <f t="shared" si="93"/>
        <v>#DIV/0!</v>
      </c>
      <c r="T156" s="57">
        <f t="shared" si="93"/>
        <v>2.6680896478121667E-4</v>
      </c>
      <c r="U156" s="57">
        <f t="shared" si="94"/>
        <v>0</v>
      </c>
      <c r="V156" s="58">
        <f t="shared" si="94"/>
        <v>0</v>
      </c>
    </row>
    <row r="157" spans="1:22" ht="5.25" customHeight="1">
      <c r="A157" s="36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</row>
    <row r="158" spans="1:22" ht="15" customHeight="1">
      <c r="A158" s="179" t="s">
        <v>194</v>
      </c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</row>
    <row r="159" spans="1:22">
      <c r="A159" s="141">
        <v>136</v>
      </c>
      <c r="B159" s="133" t="s">
        <v>195</v>
      </c>
      <c r="C159" s="134" t="s">
        <v>57</v>
      </c>
      <c r="D159" s="33">
        <v>285035354.02999997</v>
      </c>
      <c r="E159" s="30">
        <f t="shared" ref="E159:E186" si="95">(D159/$D$187)</f>
        <v>4.9859714457750563E-3</v>
      </c>
      <c r="F159" s="33">
        <v>6.0298999999999996</v>
      </c>
      <c r="G159" s="33">
        <v>6.1162000000000001</v>
      </c>
      <c r="H159" s="34">
        <v>11842</v>
      </c>
      <c r="I159" s="51">
        <v>3.3080000000000002E-3</v>
      </c>
      <c r="J159" s="51">
        <v>5.5227999999999999E-2</v>
      </c>
      <c r="K159" s="33">
        <v>284450197.75999999</v>
      </c>
      <c r="L159" s="54">
        <f t="shared" ref="L159:L185" si="96">(K159/$K$187)</f>
        <v>4.9794108128229488E-3</v>
      </c>
      <c r="M159" s="33">
        <v>6.0198999999999998</v>
      </c>
      <c r="N159" s="33">
        <v>6.1021000000000001</v>
      </c>
      <c r="O159" s="34">
        <v>11842</v>
      </c>
      <c r="P159" s="51">
        <v>-1.75E-3</v>
      </c>
      <c r="Q159" s="51">
        <v>5.3477999999999998E-2</v>
      </c>
      <c r="R159" s="57">
        <f>((K159-D159)/D159)</f>
        <v>-2.0529252309465906E-3</v>
      </c>
      <c r="S159" s="57">
        <f>((N159-G159)/G159)</f>
        <v>-2.3053529969588962E-3</v>
      </c>
      <c r="T159" s="57">
        <f>((O159-H159)/H159)</f>
        <v>0</v>
      </c>
      <c r="U159" s="57">
        <f>P159-I159</f>
        <v>-5.058E-3</v>
      </c>
      <c r="V159" s="58">
        <f>Q159-J159</f>
        <v>-1.7500000000000016E-3</v>
      </c>
    </row>
    <row r="160" spans="1:22">
      <c r="A160" s="141">
        <v>137</v>
      </c>
      <c r="B160" s="133" t="s">
        <v>196</v>
      </c>
      <c r="C160" s="133" t="s">
        <v>197</v>
      </c>
      <c r="D160" s="33">
        <v>701507865.02677834</v>
      </c>
      <c r="E160" s="30">
        <f t="shared" si="95"/>
        <v>1.2271102986200112E-2</v>
      </c>
      <c r="F160" s="33">
        <v>1609.4472727630907</v>
      </c>
      <c r="G160" s="33">
        <v>1628.7182976368199</v>
      </c>
      <c r="H160" s="34">
        <v>164</v>
      </c>
      <c r="I160" s="51">
        <v>-1.4043131257923166E-3</v>
      </c>
      <c r="J160" s="51">
        <v>0.43882212099950696</v>
      </c>
      <c r="K160" s="33">
        <v>695939026.45629203</v>
      </c>
      <c r="L160" s="54">
        <f t="shared" si="96"/>
        <v>1.2182682032535553E-2</v>
      </c>
      <c r="M160" s="33">
        <v>1596.8812786536478</v>
      </c>
      <c r="N160" s="33">
        <v>1615.9436099332813</v>
      </c>
      <c r="O160" s="34">
        <v>161</v>
      </c>
      <c r="P160" s="51">
        <v>-7.829378925711063E-3</v>
      </c>
      <c r="Q160" s="51">
        <v>0.42755703740750317</v>
      </c>
      <c r="R160" s="57">
        <f>((K160-D160)/D160)</f>
        <v>-7.9383836562883451E-3</v>
      </c>
      <c r="S160" s="57">
        <f>((N160-G160)/G160)</f>
        <v>-7.8433991452505573E-3</v>
      </c>
      <c r="T160" s="57">
        <f>((O160-H160)/H160)</f>
        <v>-1.8292682926829267E-2</v>
      </c>
      <c r="U160" s="57">
        <f>P160-I160</f>
        <v>-6.4250657999187465E-3</v>
      </c>
      <c r="V160" s="58">
        <f>Q160-J160</f>
        <v>-1.1265083592003788E-2</v>
      </c>
    </row>
    <row r="161" spans="1:22">
      <c r="A161" s="141">
        <v>136</v>
      </c>
      <c r="B161" s="133" t="s">
        <v>198</v>
      </c>
      <c r="C161" s="134" t="s">
        <v>23</v>
      </c>
      <c r="D161" s="33">
        <v>6972292722.04</v>
      </c>
      <c r="E161" s="30">
        <f t="shared" si="95"/>
        <v>0.12196259843618489</v>
      </c>
      <c r="F161" s="33">
        <v>813.92589999999996</v>
      </c>
      <c r="G161" s="33">
        <v>838.46640000000002</v>
      </c>
      <c r="H161" s="34">
        <v>21420</v>
      </c>
      <c r="I161" s="51">
        <v>0.1087</v>
      </c>
      <c r="J161" s="51">
        <v>9.2999999999999999E-2</v>
      </c>
      <c r="K161" s="33">
        <v>6937698294.5600004</v>
      </c>
      <c r="L161" s="54">
        <f t="shared" si="96"/>
        <v>0.12144709399422778</v>
      </c>
      <c r="M161" s="33">
        <v>811.73540000000003</v>
      </c>
      <c r="N161" s="33">
        <v>836.20989999999995</v>
      </c>
      <c r="O161" s="34">
        <v>21424</v>
      </c>
      <c r="P161" s="51">
        <v>-0.14030000000000001</v>
      </c>
      <c r="Q161" s="51">
        <v>7.6600000000000001E-2</v>
      </c>
      <c r="R161" s="57">
        <f t="shared" ref="R161:R186" si="97">((K161-D161)/D161)</f>
        <v>-4.9617003845297061E-3</v>
      </c>
      <c r="S161" s="57">
        <f t="shared" ref="S161:T186" si="98">((N161-G161)/G161)</f>
        <v>-2.691222927955221E-3</v>
      </c>
      <c r="T161" s="57">
        <f t="shared" si="98"/>
        <v>1.8674136321195143E-4</v>
      </c>
      <c r="U161" s="57">
        <f t="shared" ref="U161:V186" si="99">P161-I161</f>
        <v>-0.249</v>
      </c>
      <c r="V161" s="58">
        <f t="shared" si="99"/>
        <v>-1.6399999999999998E-2</v>
      </c>
    </row>
    <row r="162" spans="1:22">
      <c r="A162" s="141">
        <v>137</v>
      </c>
      <c r="B162" s="133" t="s">
        <v>199</v>
      </c>
      <c r="C162" s="134" t="s">
        <v>112</v>
      </c>
      <c r="D162" s="33">
        <v>4001917492.6799998</v>
      </c>
      <c r="E162" s="30">
        <f t="shared" si="95"/>
        <v>7.0003408576292211E-2</v>
      </c>
      <c r="F162" s="33">
        <v>23.7776</v>
      </c>
      <c r="G162" s="33">
        <v>24.0733</v>
      </c>
      <c r="H162" s="32">
        <v>6157</v>
      </c>
      <c r="I162" s="50">
        <v>7.4999999999999997E-3</v>
      </c>
      <c r="J162" s="50">
        <v>0.1183</v>
      </c>
      <c r="K162" s="33">
        <v>4003951799.6599998</v>
      </c>
      <c r="L162" s="54">
        <f t="shared" si="96"/>
        <v>7.0090726047132804E-2</v>
      </c>
      <c r="M162" s="33">
        <v>23.600100000000001</v>
      </c>
      <c r="N162" s="33">
        <v>23.8916</v>
      </c>
      <c r="O162" s="32">
        <v>6153</v>
      </c>
      <c r="P162" s="50">
        <v>8.5000000000000006E-3</v>
      </c>
      <c r="Q162" s="50">
        <v>0.1099</v>
      </c>
      <c r="R162" s="57">
        <f t="shared" si="97"/>
        <v>5.0833306376781061E-4</v>
      </c>
      <c r="S162" s="57">
        <f t="shared" si="98"/>
        <v>-7.5477811517323887E-3</v>
      </c>
      <c r="T162" s="57">
        <f t="shared" si="98"/>
        <v>-6.4966704563910994E-4</v>
      </c>
      <c r="U162" s="57">
        <f t="shared" si="99"/>
        <v>1.0000000000000009E-3</v>
      </c>
      <c r="V162" s="58">
        <f t="shared" si="99"/>
        <v>-8.4000000000000047E-3</v>
      </c>
    </row>
    <row r="163" spans="1:22">
      <c r="A163" s="141">
        <v>138</v>
      </c>
      <c r="B163" s="133" t="s">
        <v>200</v>
      </c>
      <c r="C163" s="134" t="s">
        <v>121</v>
      </c>
      <c r="D163" s="29">
        <v>2000831084.165036</v>
      </c>
      <c r="E163" s="30">
        <f t="shared" si="95"/>
        <v>3.499947116179853E-2</v>
      </c>
      <c r="F163" s="33">
        <v>4.7760999999999996</v>
      </c>
      <c r="G163" s="33">
        <v>4.8829000000000002</v>
      </c>
      <c r="H163" s="32">
        <v>2740</v>
      </c>
      <c r="I163" s="50">
        <v>-2.35E-2</v>
      </c>
      <c r="J163" s="50">
        <v>0.18149999999999999</v>
      </c>
      <c r="K163" s="29">
        <v>1986267736.8685088</v>
      </c>
      <c r="L163" s="54">
        <f t="shared" si="96"/>
        <v>3.4770385550827822E-2</v>
      </c>
      <c r="M163" s="33">
        <v>4.7412999999999998</v>
      </c>
      <c r="N163" s="33">
        <v>4.8461999999999996</v>
      </c>
      <c r="O163" s="32">
        <v>2740</v>
      </c>
      <c r="P163" s="50">
        <v>-0.39190000000000003</v>
      </c>
      <c r="Q163" s="50">
        <v>0.14050000000000001</v>
      </c>
      <c r="R163" s="57">
        <f t="shared" si="97"/>
        <v>-7.2786490632739034E-3</v>
      </c>
      <c r="S163" s="57">
        <f t="shared" si="98"/>
        <v>-7.5160253128265207E-3</v>
      </c>
      <c r="T163" s="57">
        <f t="shared" si="98"/>
        <v>0</v>
      </c>
      <c r="U163" s="57">
        <f t="shared" si="99"/>
        <v>-0.36840000000000001</v>
      </c>
      <c r="V163" s="58">
        <f t="shared" si="99"/>
        <v>-4.0999999999999981E-2</v>
      </c>
    </row>
    <row r="164" spans="1:22">
      <c r="A164" s="141">
        <v>139</v>
      </c>
      <c r="B164" s="133" t="s">
        <v>201</v>
      </c>
      <c r="C164" s="134" t="s">
        <v>65</v>
      </c>
      <c r="D164" s="33">
        <v>3762245596.0920901</v>
      </c>
      <c r="E164" s="30">
        <f t="shared" si="95"/>
        <v>6.5810955900346982E-2</v>
      </c>
      <c r="F164" s="33">
        <v>8618.9280183269802</v>
      </c>
      <c r="G164" s="33">
        <v>8700.65233068825</v>
      </c>
      <c r="H164" s="32">
        <v>999</v>
      </c>
      <c r="I164" s="50">
        <v>9.3619243466787835E-2</v>
      </c>
      <c r="J164" s="50">
        <v>0.49669124961546079</v>
      </c>
      <c r="K164" s="33">
        <v>3737092809.8091998</v>
      </c>
      <c r="L164" s="54">
        <f t="shared" si="96"/>
        <v>6.5419256137720982E-2</v>
      </c>
      <c r="M164" s="33">
        <v>8579.7726967664094</v>
      </c>
      <c r="N164" s="33">
        <v>8657.6333771619502</v>
      </c>
      <c r="O164" s="32">
        <v>1001</v>
      </c>
      <c r="P164" s="50">
        <v>-0.23688216610860971</v>
      </c>
      <c r="Q164" s="50">
        <v>0.44374947340549914</v>
      </c>
      <c r="R164" s="57">
        <f t="shared" si="97"/>
        <v>-6.6855779721071255E-3</v>
      </c>
      <c r="S164" s="57">
        <f t="shared" si="98"/>
        <v>-4.944336572852908E-3</v>
      </c>
      <c r="T164" s="57">
        <f t="shared" si="98"/>
        <v>2.002002002002002E-3</v>
      </c>
      <c r="U164" s="57">
        <f t="shared" si="99"/>
        <v>-0.33050140957539753</v>
      </c>
      <c r="V164" s="58">
        <f t="shared" si="99"/>
        <v>-5.2941776209961655E-2</v>
      </c>
    </row>
    <row r="165" spans="1:22">
      <c r="A165" s="141">
        <v>140</v>
      </c>
      <c r="B165" s="133" t="s">
        <v>202</v>
      </c>
      <c r="C165" s="134" t="s">
        <v>67</v>
      </c>
      <c r="D165" s="33">
        <v>894659345.05999994</v>
      </c>
      <c r="E165" s="30">
        <f t="shared" si="95"/>
        <v>1.5649798823536391E-2</v>
      </c>
      <c r="F165" s="33">
        <v>216.76</v>
      </c>
      <c r="G165" s="33">
        <v>218.59</v>
      </c>
      <c r="H165" s="32">
        <v>692</v>
      </c>
      <c r="I165" s="50">
        <v>2.5000000000000001E-3</v>
      </c>
      <c r="J165" s="50">
        <v>6.13E-2</v>
      </c>
      <c r="K165" s="33">
        <v>891345783.44000006</v>
      </c>
      <c r="L165" s="54">
        <f t="shared" si="96"/>
        <v>1.5603352948870452E-2</v>
      </c>
      <c r="M165" s="33">
        <v>216.45</v>
      </c>
      <c r="N165" s="33">
        <v>218.27</v>
      </c>
      <c r="O165" s="32">
        <v>692</v>
      </c>
      <c r="P165" s="50">
        <v>-1.4E-3</v>
      </c>
      <c r="Q165" s="50">
        <v>5.9700000000000003E-2</v>
      </c>
      <c r="R165" s="57">
        <f t="shared" si="97"/>
        <v>-3.7037131935146366E-3</v>
      </c>
      <c r="S165" s="57">
        <f t="shared" si="98"/>
        <v>-1.4639279015508174E-3</v>
      </c>
      <c r="T165" s="57">
        <f t="shared" si="98"/>
        <v>0</v>
      </c>
      <c r="U165" s="57">
        <f t="shared" si="99"/>
        <v>-3.8999999999999998E-3</v>
      </c>
      <c r="V165" s="58">
        <f t="shared" si="99"/>
        <v>-1.5999999999999973E-3</v>
      </c>
    </row>
    <row r="166" spans="1:22">
      <c r="A166" s="141">
        <v>141</v>
      </c>
      <c r="B166" s="133" t="s">
        <v>203</v>
      </c>
      <c r="C166" s="134" t="s">
        <v>69</v>
      </c>
      <c r="D166" s="33">
        <v>3734808.11</v>
      </c>
      <c r="E166" s="30">
        <f t="shared" si="95"/>
        <v>6.5331006587867609E-5</v>
      </c>
      <c r="F166" s="33">
        <v>102.747</v>
      </c>
      <c r="G166" s="33">
        <v>102.99</v>
      </c>
      <c r="H166" s="32">
        <v>0</v>
      </c>
      <c r="I166" s="50">
        <v>0</v>
      </c>
      <c r="J166" s="50">
        <v>0</v>
      </c>
      <c r="K166" s="33">
        <v>3734808.11</v>
      </c>
      <c r="L166" s="54">
        <f t="shared" si="96"/>
        <v>6.537926158323104E-5</v>
      </c>
      <c r="M166" s="33">
        <v>102.747</v>
      </c>
      <c r="N166" s="33">
        <v>102.99</v>
      </c>
      <c r="O166" s="32">
        <v>0</v>
      </c>
      <c r="P166" s="50">
        <v>0</v>
      </c>
      <c r="Q166" s="50">
        <v>0</v>
      </c>
      <c r="R166" s="57">
        <f t="shared" si="97"/>
        <v>0</v>
      </c>
      <c r="S166" s="57">
        <f t="shared" si="98"/>
        <v>0</v>
      </c>
      <c r="T166" s="57" t="e">
        <f t="shared" si="98"/>
        <v>#DIV/0!</v>
      </c>
      <c r="U166" s="57">
        <f t="shared" si="99"/>
        <v>0</v>
      </c>
      <c r="V166" s="58">
        <f t="shared" si="99"/>
        <v>0</v>
      </c>
    </row>
    <row r="167" spans="1:22">
      <c r="A167" s="141">
        <v>142</v>
      </c>
      <c r="B167" s="133" t="s">
        <v>204</v>
      </c>
      <c r="C167" s="134" t="s">
        <v>126</v>
      </c>
      <c r="D167" s="33">
        <v>228952549.13</v>
      </c>
      <c r="E167" s="30">
        <f t="shared" si="95"/>
        <v>4.0049448472256619E-3</v>
      </c>
      <c r="F167" s="33">
        <v>1.5913999999999999</v>
      </c>
      <c r="G167" s="33">
        <v>1.6080000000000001</v>
      </c>
      <c r="H167" s="32">
        <v>395</v>
      </c>
      <c r="I167" s="50">
        <v>5.6585979251799756E-4</v>
      </c>
      <c r="J167" s="50">
        <v>8.7096113122481E-2</v>
      </c>
      <c r="K167" s="33">
        <v>229940329.41999999</v>
      </c>
      <c r="L167" s="54">
        <f t="shared" si="96"/>
        <v>4.0251944686080527E-3</v>
      </c>
      <c r="M167" s="33">
        <v>1.5822000000000001</v>
      </c>
      <c r="N167" s="33">
        <v>1.5984</v>
      </c>
      <c r="O167" s="32">
        <v>400</v>
      </c>
      <c r="P167" s="50">
        <v>-5.7810732688198252E-3</v>
      </c>
      <c r="Q167" s="50">
        <v>8.0811530842270773E-2</v>
      </c>
      <c r="R167" s="57">
        <f t="shared" si="97"/>
        <v>4.3143450193215659E-3</v>
      </c>
      <c r="S167" s="57">
        <f t="shared" si="98"/>
        <v>-5.9701492537313754E-3</v>
      </c>
      <c r="T167" s="57">
        <f t="shared" si="98"/>
        <v>1.2658227848101266E-2</v>
      </c>
      <c r="U167" s="57">
        <f t="shared" si="99"/>
        <v>-6.3469330613378228E-3</v>
      </c>
      <c r="V167" s="58">
        <f t="shared" si="99"/>
        <v>-6.2845822802102269E-3</v>
      </c>
    </row>
    <row r="168" spans="1:22">
      <c r="A168" s="141">
        <v>143</v>
      </c>
      <c r="B168" s="133" t="s">
        <v>205</v>
      </c>
      <c r="C168" s="134" t="s">
        <v>29</v>
      </c>
      <c r="D168" s="44">
        <v>130112092.91</v>
      </c>
      <c r="E168" s="30">
        <f t="shared" si="95"/>
        <v>2.2759814557285121E-3</v>
      </c>
      <c r="F168" s="33">
        <v>164.73779999999999</v>
      </c>
      <c r="G168" s="33">
        <v>165.63910000000001</v>
      </c>
      <c r="H168" s="32">
        <v>109</v>
      </c>
      <c r="I168" s="50">
        <v>-2.7209999999999999E-3</v>
      </c>
      <c r="J168" s="50">
        <v>3.0599999999999999E-2</v>
      </c>
      <c r="K168" s="44">
        <v>129665691.48999999</v>
      </c>
      <c r="L168" s="54">
        <f t="shared" si="96"/>
        <v>2.2698481187284469E-3</v>
      </c>
      <c r="M168" s="33">
        <v>163.89930000000001</v>
      </c>
      <c r="N168" s="33">
        <v>164.78739999999999</v>
      </c>
      <c r="O168" s="32">
        <v>110</v>
      </c>
      <c r="P168" s="50">
        <v>-2.7209999999999999E-3</v>
      </c>
      <c r="Q168" s="50">
        <v>2.5399999999999999E-2</v>
      </c>
      <c r="R168" s="57">
        <f t="shared" si="97"/>
        <v>-3.4308987736349971E-3</v>
      </c>
      <c r="S168" s="57">
        <f t="shared" si="98"/>
        <v>-5.141901881862569E-3</v>
      </c>
      <c r="T168" s="57">
        <f t="shared" si="98"/>
        <v>9.1743119266055051E-3</v>
      </c>
      <c r="U168" s="57">
        <f t="shared" si="99"/>
        <v>0</v>
      </c>
      <c r="V168" s="58">
        <f t="shared" si="99"/>
        <v>-5.1999999999999998E-3</v>
      </c>
    </row>
    <row r="169" spans="1:22">
      <c r="A169" s="141">
        <v>144</v>
      </c>
      <c r="B169" s="133" t="s">
        <v>206</v>
      </c>
      <c r="C169" s="134" t="s">
        <v>72</v>
      </c>
      <c r="D169" s="44">
        <v>255068972.53</v>
      </c>
      <c r="E169" s="30">
        <f t="shared" si="95"/>
        <v>4.4617855145222046E-3</v>
      </c>
      <c r="F169" s="33">
        <v>128.76</v>
      </c>
      <c r="G169" s="33">
        <v>129.79</v>
      </c>
      <c r="H169" s="32">
        <v>34</v>
      </c>
      <c r="I169" s="50">
        <v>4.1000000000000003E-3</v>
      </c>
      <c r="J169" s="50">
        <v>8.7499999999999994E-2</v>
      </c>
      <c r="K169" s="44">
        <v>254695120.47</v>
      </c>
      <c r="L169" s="54">
        <f t="shared" si="96"/>
        <v>4.4585366676792061E-3</v>
      </c>
      <c r="M169" s="33">
        <v>128.6</v>
      </c>
      <c r="N169" s="33">
        <v>129.68</v>
      </c>
      <c r="O169" s="32">
        <v>34</v>
      </c>
      <c r="P169" s="50">
        <v>-1.1999999999999999E-3</v>
      </c>
      <c r="Q169" s="50">
        <v>8.6400000000000005E-2</v>
      </c>
      <c r="R169" s="57">
        <f t="shared" si="97"/>
        <v>-1.4656900692067974E-3</v>
      </c>
      <c r="S169" s="57">
        <f t="shared" si="98"/>
        <v>-8.4752292164253971E-4</v>
      </c>
      <c r="T169" s="57">
        <f t="shared" si="98"/>
        <v>0</v>
      </c>
      <c r="U169" s="57">
        <f t="shared" si="99"/>
        <v>-5.3E-3</v>
      </c>
      <c r="V169" s="58">
        <f t="shared" si="99"/>
        <v>-1.0999999999999899E-3</v>
      </c>
    </row>
    <row r="170" spans="1:22" ht="15.75" customHeight="1">
      <c r="A170" s="141">
        <v>145</v>
      </c>
      <c r="B170" s="133" t="s">
        <v>207</v>
      </c>
      <c r="C170" s="134" t="s">
        <v>75</v>
      </c>
      <c r="D170" s="29">
        <v>335697559.5</v>
      </c>
      <c r="E170" s="30">
        <f t="shared" si="95"/>
        <v>5.8721783891664461E-3</v>
      </c>
      <c r="F170" s="33">
        <v>1.3427</v>
      </c>
      <c r="G170" s="33">
        <v>1.357</v>
      </c>
      <c r="H170" s="32">
        <v>101</v>
      </c>
      <c r="I170" s="50">
        <v>-4.7000000000000002E-3</v>
      </c>
      <c r="J170" s="50">
        <v>5.3499999999999999E-2</v>
      </c>
      <c r="K170" s="29">
        <v>337559726.87</v>
      </c>
      <c r="L170" s="54">
        <f t="shared" si="96"/>
        <v>5.9091136767928237E-3</v>
      </c>
      <c r="M170" s="33">
        <v>1.3349</v>
      </c>
      <c r="N170" s="33">
        <v>1.3488</v>
      </c>
      <c r="O170" s="32">
        <v>99</v>
      </c>
      <c r="P170" s="50">
        <v>-6.3E-3</v>
      </c>
      <c r="Q170" s="50">
        <v>4.7399999999999998E-2</v>
      </c>
      <c r="R170" s="57">
        <f t="shared" si="97"/>
        <v>5.5471579024094896E-3</v>
      </c>
      <c r="S170" s="57">
        <f t="shared" si="98"/>
        <v>-6.0427413411937988E-3</v>
      </c>
      <c r="T170" s="57">
        <f t="shared" si="98"/>
        <v>-1.9801980198019802E-2</v>
      </c>
      <c r="U170" s="57">
        <f t="shared" si="99"/>
        <v>-1.5999999999999999E-3</v>
      </c>
      <c r="V170" s="58">
        <f t="shared" si="99"/>
        <v>-6.1000000000000013E-3</v>
      </c>
    </row>
    <row r="171" spans="1:22">
      <c r="A171" s="141">
        <v>146</v>
      </c>
      <c r="B171" s="133" t="s">
        <v>208</v>
      </c>
      <c r="C171" s="134" t="s">
        <v>31</v>
      </c>
      <c r="D171" s="33">
        <v>9977586066.4099998</v>
      </c>
      <c r="E171" s="30">
        <f t="shared" si="95"/>
        <v>0.17453259226098441</v>
      </c>
      <c r="F171" s="33">
        <v>344.21</v>
      </c>
      <c r="G171" s="33">
        <v>346.93</v>
      </c>
      <c r="H171" s="32">
        <v>5482</v>
      </c>
      <c r="I171" s="50">
        <v>-5.9999999999999995E-4</v>
      </c>
      <c r="J171" s="50">
        <v>6.2E-2</v>
      </c>
      <c r="K171" s="33">
        <v>9978190437.3899994</v>
      </c>
      <c r="L171" s="54">
        <f t="shared" si="96"/>
        <v>0.17467208582596105</v>
      </c>
      <c r="M171" s="33">
        <v>344.56</v>
      </c>
      <c r="N171" s="33">
        <v>347.28</v>
      </c>
      <c r="O171" s="32">
        <v>5483</v>
      </c>
      <c r="P171" s="50">
        <v>1E-3</v>
      </c>
      <c r="Q171" s="50">
        <v>6.3100000000000003E-2</v>
      </c>
      <c r="R171" s="57">
        <f t="shared" si="97"/>
        <v>6.0572865618687551E-5</v>
      </c>
      <c r="S171" s="57">
        <f t="shared" si="98"/>
        <v>1.0088490473581584E-3</v>
      </c>
      <c r="T171" s="57">
        <f t="shared" si="98"/>
        <v>1.8241517694272163E-4</v>
      </c>
      <c r="U171" s="57">
        <f t="shared" si="99"/>
        <v>1.5999999999999999E-3</v>
      </c>
      <c r="V171" s="58">
        <f t="shared" si="99"/>
        <v>1.1000000000000038E-3</v>
      </c>
    </row>
    <row r="172" spans="1:22">
      <c r="A172" s="141">
        <v>147</v>
      </c>
      <c r="B172" s="133" t="s">
        <v>209</v>
      </c>
      <c r="C172" s="134" t="s">
        <v>80</v>
      </c>
      <c r="D172" s="33">
        <v>3590535844.6700001</v>
      </c>
      <c r="E172" s="30">
        <f t="shared" si="95"/>
        <v>6.2807328787264138E-2</v>
      </c>
      <c r="F172" s="33">
        <v>2.5158</v>
      </c>
      <c r="G172" s="33">
        <v>2.5598999999999998</v>
      </c>
      <c r="H172" s="32">
        <v>10305</v>
      </c>
      <c r="I172" s="50">
        <v>1.9199999999999998E-2</v>
      </c>
      <c r="J172" s="50">
        <v>8.5099999999999995E-2</v>
      </c>
      <c r="K172" s="33">
        <v>3588562778.5300002</v>
      </c>
      <c r="L172" s="54">
        <f t="shared" si="96"/>
        <v>6.2819180449235804E-2</v>
      </c>
      <c r="M172" s="33">
        <v>2.5114999999999998</v>
      </c>
      <c r="N172" s="33">
        <v>2.5552999999999999</v>
      </c>
      <c r="O172" s="32">
        <v>10305</v>
      </c>
      <c r="P172" s="50">
        <v>-1.8E-3</v>
      </c>
      <c r="Q172" s="50">
        <v>8.3099999999999993E-2</v>
      </c>
      <c r="R172" s="57">
        <f t="shared" si="97"/>
        <v>-5.4951857476337419E-4</v>
      </c>
      <c r="S172" s="57">
        <f t="shared" si="98"/>
        <v>-1.7969451931715839E-3</v>
      </c>
      <c r="T172" s="57">
        <f t="shared" si="98"/>
        <v>0</v>
      </c>
      <c r="U172" s="57">
        <f t="shared" si="99"/>
        <v>-2.0999999999999998E-2</v>
      </c>
      <c r="V172" s="58">
        <f t="shared" si="99"/>
        <v>-2.0000000000000018E-3</v>
      </c>
    </row>
    <row r="173" spans="1:22">
      <c r="A173" s="141">
        <v>148</v>
      </c>
      <c r="B173" s="133" t="s">
        <v>210</v>
      </c>
      <c r="C173" s="134" t="s">
        <v>82</v>
      </c>
      <c r="D173" s="33">
        <v>263091986.90665025</v>
      </c>
      <c r="E173" s="30">
        <f t="shared" si="95"/>
        <v>4.6021278265387369E-3</v>
      </c>
      <c r="F173" s="33">
        <v>342.3202757395739</v>
      </c>
      <c r="G173" s="33">
        <v>345.96646295218306</v>
      </c>
      <c r="H173" s="32">
        <v>32</v>
      </c>
      <c r="I173" s="50">
        <v>-3.6194231426617263E-3</v>
      </c>
      <c r="J173" s="50">
        <v>2.2920292065064851E-2</v>
      </c>
      <c r="K173" s="33">
        <v>257930917.49000001</v>
      </c>
      <c r="L173" s="54">
        <f t="shared" si="96"/>
        <v>4.5151805469817018E-3</v>
      </c>
      <c r="M173" s="33">
        <v>335.46</v>
      </c>
      <c r="N173" s="33">
        <v>337.62</v>
      </c>
      <c r="O173" s="32">
        <v>32</v>
      </c>
      <c r="P173" s="50">
        <v>-2.0040518268316099E-2</v>
      </c>
      <c r="Q173" s="50">
        <v>2.420439264903651E-3</v>
      </c>
      <c r="R173" s="57">
        <f t="shared" si="97"/>
        <v>-1.9616976850311583E-2</v>
      </c>
      <c r="S173" s="57">
        <f t="shared" si="98"/>
        <v>-2.4125063686697999E-2</v>
      </c>
      <c r="T173" s="57">
        <f t="shared" si="98"/>
        <v>0</v>
      </c>
      <c r="U173" s="57">
        <f t="shared" si="99"/>
        <v>-1.6421095125654372E-2</v>
      </c>
      <c r="V173" s="58">
        <f t="shared" si="99"/>
        <v>-2.04998528001612E-2</v>
      </c>
    </row>
    <row r="174" spans="1:22">
      <c r="A174" s="141">
        <v>149</v>
      </c>
      <c r="B174" s="133" t="s">
        <v>211</v>
      </c>
      <c r="C174" s="133" t="s">
        <v>84</v>
      </c>
      <c r="D174" s="136">
        <v>61985200.297614478</v>
      </c>
      <c r="E174" s="30">
        <f t="shared" si="95"/>
        <v>1.0842740536390622E-3</v>
      </c>
      <c r="F174" s="33">
        <v>1.2049774567368972</v>
      </c>
      <c r="G174" s="33">
        <v>1.219005296025772</v>
      </c>
      <c r="H174" s="32">
        <v>32</v>
      </c>
      <c r="I174" s="50">
        <v>1.1389510251456564E-3</v>
      </c>
      <c r="J174" s="50">
        <v>1.4479668186742666E-2</v>
      </c>
      <c r="K174" s="136">
        <v>58543184.732772775</v>
      </c>
      <c r="L174" s="54">
        <f t="shared" si="96"/>
        <v>1.0248211088305069E-3</v>
      </c>
      <c r="M174" s="33">
        <v>1.1386668391782095</v>
      </c>
      <c r="N174" s="33">
        <v>1.1513143765417762</v>
      </c>
      <c r="O174" s="32">
        <v>32</v>
      </c>
      <c r="P174" s="50">
        <v>-5.5529635272859958E-2</v>
      </c>
      <c r="Q174" s="50">
        <v>-4.185401777939915E-2</v>
      </c>
      <c r="R174" s="57">
        <f t="shared" si="97"/>
        <v>-5.5529635272859958E-2</v>
      </c>
      <c r="S174" s="57">
        <f t="shared" si="98"/>
        <v>-5.5529635272860006E-2</v>
      </c>
      <c r="T174" s="57">
        <f t="shared" si="98"/>
        <v>0</v>
      </c>
      <c r="U174" s="57">
        <f t="shared" si="99"/>
        <v>-5.6668586298005613E-2</v>
      </c>
      <c r="V174" s="58">
        <f t="shared" si="99"/>
        <v>-5.6333685966141814E-2</v>
      </c>
    </row>
    <row r="175" spans="1:22" ht="13.5" customHeight="1">
      <c r="A175" s="141">
        <v>150</v>
      </c>
      <c r="B175" s="133" t="s">
        <v>212</v>
      </c>
      <c r="C175" s="134" t="s">
        <v>37</v>
      </c>
      <c r="D175" s="29">
        <v>3301004128.3200002</v>
      </c>
      <c r="E175" s="30">
        <f t="shared" si="95"/>
        <v>5.7742704873223624E-2</v>
      </c>
      <c r="F175" s="33">
        <v>4.6569070000000004</v>
      </c>
      <c r="G175" s="33">
        <v>4.7872380000000003</v>
      </c>
      <c r="H175" s="32">
        <v>2373</v>
      </c>
      <c r="I175" s="50">
        <v>3.7032367220040108E-3</v>
      </c>
      <c r="J175" s="50">
        <v>9.8512107935157189E-2</v>
      </c>
      <c r="K175" s="29">
        <v>3314086430.9200001</v>
      </c>
      <c r="L175" s="54">
        <f t="shared" si="96"/>
        <v>5.8014365743828067E-2</v>
      </c>
      <c r="M175" s="33">
        <v>4.6711869999999998</v>
      </c>
      <c r="N175" s="33">
        <v>4.6711869999999998</v>
      </c>
      <c r="O175" s="32">
        <v>2376</v>
      </c>
      <c r="P175" s="50">
        <v>3.0664129646564842E-3</v>
      </c>
      <c r="Q175" s="50">
        <v>0.1018805997047616</v>
      </c>
      <c r="R175" s="57">
        <f t="shared" si="97"/>
        <v>3.9631282153706239E-3</v>
      </c>
      <c r="S175" s="57">
        <f t="shared" si="98"/>
        <v>-2.4241744404602521E-2</v>
      </c>
      <c r="T175" s="57">
        <f t="shared" si="98"/>
        <v>1.2642225031605564E-3</v>
      </c>
      <c r="U175" s="57">
        <f t="shared" si="99"/>
        <v>-6.3682375734752661E-4</v>
      </c>
      <c r="V175" s="58">
        <f t="shared" si="99"/>
        <v>3.3684917696044092E-3</v>
      </c>
    </row>
    <row r="176" spans="1:22" ht="13.5" customHeight="1">
      <c r="A176" s="141">
        <v>151</v>
      </c>
      <c r="B176" s="133" t="s">
        <v>213</v>
      </c>
      <c r="C176" s="134" t="s">
        <v>214</v>
      </c>
      <c r="D176" s="29">
        <v>78436678.760000005</v>
      </c>
      <c r="E176" s="30">
        <f t="shared" si="95"/>
        <v>1.3720509932168953E-3</v>
      </c>
      <c r="F176" s="33">
        <v>2.2599999999999998</v>
      </c>
      <c r="G176" s="33">
        <v>2.27</v>
      </c>
      <c r="H176" s="32">
        <v>86</v>
      </c>
      <c r="I176" s="50">
        <v>-1.8E-3</v>
      </c>
      <c r="J176" s="50">
        <v>7.0599999999999996E-2</v>
      </c>
      <c r="K176" s="29">
        <v>80344706.689999998</v>
      </c>
      <c r="L176" s="54">
        <f t="shared" si="96"/>
        <v>1.4064651893222657E-3</v>
      </c>
      <c r="M176" s="33">
        <v>2.27</v>
      </c>
      <c r="N176" s="33">
        <v>2.2799999999999998</v>
      </c>
      <c r="O176" s="32">
        <v>86</v>
      </c>
      <c r="P176" s="50">
        <v>-2E-3</v>
      </c>
      <c r="Q176" s="50">
        <v>7.0999999999999994E-2</v>
      </c>
      <c r="R176" s="57">
        <f t="shared" si="97"/>
        <v>2.4325710371268558E-2</v>
      </c>
      <c r="S176" s="57">
        <f t="shared" si="98"/>
        <v>4.4052863436122407E-3</v>
      </c>
      <c r="T176" s="57">
        <f t="shared" si="98"/>
        <v>0</v>
      </c>
      <c r="U176" s="57">
        <f t="shared" si="99"/>
        <v>-2.0000000000000009E-4</v>
      </c>
      <c r="V176" s="58">
        <f t="shared" si="99"/>
        <v>3.9999999999999758E-4</v>
      </c>
    </row>
    <row r="177" spans="1:22">
      <c r="A177" s="141">
        <v>152</v>
      </c>
      <c r="B177" s="133" t="s">
        <v>215</v>
      </c>
      <c r="C177" s="134" t="s">
        <v>135</v>
      </c>
      <c r="D177" s="29">
        <v>595297793.66999996</v>
      </c>
      <c r="E177" s="30">
        <f t="shared" si="95"/>
        <v>1.0413226847147931E-2</v>
      </c>
      <c r="F177" s="33">
        <v>243.41</v>
      </c>
      <c r="G177" s="33">
        <v>244.32</v>
      </c>
      <c r="H177" s="32">
        <v>143</v>
      </c>
      <c r="I177" s="50">
        <v>1.37E-2</v>
      </c>
      <c r="J177" s="50">
        <v>0.25030000000000002</v>
      </c>
      <c r="K177" s="29">
        <v>570027444.63999999</v>
      </c>
      <c r="L177" s="54">
        <f t="shared" si="96"/>
        <v>9.9785510567340259E-3</v>
      </c>
      <c r="M177" s="33">
        <v>243.44</v>
      </c>
      <c r="N177" s="33">
        <v>244.46</v>
      </c>
      <c r="O177" s="32">
        <v>145</v>
      </c>
      <c r="P177" s="50">
        <v>1.37E-2</v>
      </c>
      <c r="Q177" s="50">
        <v>0.25030000000000002</v>
      </c>
      <c r="R177" s="57">
        <f t="shared" si="97"/>
        <v>-4.2449928924158671E-2</v>
      </c>
      <c r="S177" s="57">
        <f t="shared" si="98"/>
        <v>5.7301899148663553E-4</v>
      </c>
      <c r="T177" s="57">
        <f t="shared" si="98"/>
        <v>1.3986013986013986E-2</v>
      </c>
      <c r="U177" s="57">
        <f t="shared" si="99"/>
        <v>0</v>
      </c>
      <c r="V177" s="58">
        <f t="shared" si="99"/>
        <v>0</v>
      </c>
    </row>
    <row r="178" spans="1:22">
      <c r="A178" s="141">
        <v>153</v>
      </c>
      <c r="B178" s="133" t="s">
        <v>216</v>
      </c>
      <c r="C178" s="134" t="s">
        <v>33</v>
      </c>
      <c r="D178" s="29">
        <v>2148864629.7399998</v>
      </c>
      <c r="E178" s="30">
        <f t="shared" si="95"/>
        <v>3.7588943031929854E-2</v>
      </c>
      <c r="F178" s="33">
        <v>552.22</v>
      </c>
      <c r="G178" s="33">
        <v>552.22</v>
      </c>
      <c r="H178" s="32">
        <v>823</v>
      </c>
      <c r="I178" s="50">
        <v>-1.0500000000000001E-2</v>
      </c>
      <c r="J178" s="50">
        <v>0.37459999999999999</v>
      </c>
      <c r="K178" s="29">
        <v>2140977950.55</v>
      </c>
      <c r="L178" s="54">
        <f t="shared" si="96"/>
        <v>3.7478647724404332E-2</v>
      </c>
      <c r="M178" s="33">
        <v>552.22</v>
      </c>
      <c r="N178" s="33">
        <v>552.22</v>
      </c>
      <c r="O178" s="32">
        <v>823</v>
      </c>
      <c r="P178" s="50">
        <v>-3.6700000000000001E-3</v>
      </c>
      <c r="Q178" s="50">
        <v>-2.4649999999999998E-2</v>
      </c>
      <c r="R178" s="57">
        <f t="shared" si="97"/>
        <v>-3.6701610147280711E-3</v>
      </c>
      <c r="S178" s="57">
        <f t="shared" si="98"/>
        <v>0</v>
      </c>
      <c r="T178" s="57">
        <f t="shared" si="98"/>
        <v>0</v>
      </c>
      <c r="U178" s="57">
        <f t="shared" si="99"/>
        <v>6.830000000000001E-3</v>
      </c>
      <c r="V178" s="58">
        <f t="shared" si="99"/>
        <v>-0.39924999999999999</v>
      </c>
    </row>
    <row r="179" spans="1:22">
      <c r="A179" s="141">
        <v>154</v>
      </c>
      <c r="B179" s="133" t="s">
        <v>217</v>
      </c>
      <c r="C179" s="134" t="s">
        <v>91</v>
      </c>
      <c r="D179" s="33">
        <v>33405129.710000001</v>
      </c>
      <c r="E179" s="30">
        <f t="shared" si="95"/>
        <v>5.8433811989140778E-4</v>
      </c>
      <c r="F179" s="33">
        <v>1.92</v>
      </c>
      <c r="G179" s="33">
        <v>1.92</v>
      </c>
      <c r="H179" s="32">
        <v>9</v>
      </c>
      <c r="I179" s="50">
        <v>1.181E-3</v>
      </c>
      <c r="J179" s="50">
        <v>2.4275999999999999E-2</v>
      </c>
      <c r="K179" s="33">
        <v>35657209.409999996</v>
      </c>
      <c r="L179" s="54">
        <f t="shared" si="96"/>
        <v>6.2419325241971728E-4</v>
      </c>
      <c r="M179" s="33">
        <v>1.91</v>
      </c>
      <c r="N179" s="33">
        <v>1.91</v>
      </c>
      <c r="O179" s="32">
        <v>9</v>
      </c>
      <c r="P179" s="50">
        <v>-6.7869999999999996E-3</v>
      </c>
      <c r="Q179" s="50">
        <v>1.7323999999999999E-2</v>
      </c>
      <c r="R179" s="57">
        <f t="shared" si="97"/>
        <v>6.7417181718825173E-2</v>
      </c>
      <c r="S179" s="57">
        <f t="shared" si="98"/>
        <v>-5.2083333333333382E-3</v>
      </c>
      <c r="T179" s="57">
        <f t="shared" si="98"/>
        <v>0</v>
      </c>
      <c r="U179" s="57">
        <f t="shared" si="99"/>
        <v>-7.9679999999999994E-3</v>
      </c>
      <c r="V179" s="58">
        <f t="shared" si="99"/>
        <v>-6.9519999999999998E-3</v>
      </c>
    </row>
    <row r="180" spans="1:22">
      <c r="A180" s="141">
        <v>155</v>
      </c>
      <c r="B180" s="133" t="s">
        <v>218</v>
      </c>
      <c r="C180" s="134" t="s">
        <v>45</v>
      </c>
      <c r="D180" s="33">
        <v>274958071.79000002</v>
      </c>
      <c r="E180" s="30">
        <f t="shared" si="95"/>
        <v>4.8096949215149553E-3</v>
      </c>
      <c r="F180" s="33">
        <v>2.76</v>
      </c>
      <c r="G180" s="33">
        <v>2.82</v>
      </c>
      <c r="H180" s="32">
        <v>121</v>
      </c>
      <c r="I180" s="50">
        <v>2.2700000000000001E-2</v>
      </c>
      <c r="J180" s="50">
        <v>-6.9800000000000001E-2</v>
      </c>
      <c r="K180" s="33">
        <v>271423091.64999998</v>
      </c>
      <c r="L180" s="54">
        <f t="shared" si="96"/>
        <v>4.7513662780159921E-3</v>
      </c>
      <c r="M180" s="33">
        <v>2.725447</v>
      </c>
      <c r="N180" s="33">
        <v>2.788306</v>
      </c>
      <c r="O180" s="32">
        <v>121</v>
      </c>
      <c r="P180" s="50">
        <v>1.0500000000000001E-2</v>
      </c>
      <c r="Q180" s="50">
        <v>4.3400000000000001E-2</v>
      </c>
      <c r="R180" s="57">
        <f t="shared" si="97"/>
        <v>-1.2856433408144846E-2</v>
      </c>
      <c r="S180" s="57">
        <f t="shared" si="98"/>
        <v>-1.1239007092198543E-2</v>
      </c>
      <c r="T180" s="57">
        <f t="shared" si="98"/>
        <v>0</v>
      </c>
      <c r="U180" s="57">
        <f t="shared" si="99"/>
        <v>-1.2200000000000001E-2</v>
      </c>
      <c r="V180" s="58">
        <f t="shared" si="99"/>
        <v>0.1132</v>
      </c>
    </row>
    <row r="181" spans="1:22">
      <c r="A181" s="141">
        <v>156</v>
      </c>
      <c r="B181" s="133" t="s">
        <v>219</v>
      </c>
      <c r="C181" s="134" t="s">
        <v>49</v>
      </c>
      <c r="D181" s="29">
        <v>2929367652.6799998</v>
      </c>
      <c r="E181" s="30">
        <f t="shared" si="95"/>
        <v>5.1241866189351115E-2</v>
      </c>
      <c r="F181" s="33">
        <v>6892.29</v>
      </c>
      <c r="G181" s="33">
        <v>6954.92</v>
      </c>
      <c r="H181" s="32">
        <v>2310</v>
      </c>
      <c r="I181" s="50">
        <v>5.0000000000000001E-4</v>
      </c>
      <c r="J181" s="50">
        <v>8.0500000000000002E-2</v>
      </c>
      <c r="K181" s="29">
        <v>2938849185.8299999</v>
      </c>
      <c r="L181" s="30">
        <f t="shared" si="96"/>
        <v>5.1445692526903383E-2</v>
      </c>
      <c r="M181" s="33">
        <v>6891.67</v>
      </c>
      <c r="N181" s="33">
        <v>6953.99</v>
      </c>
      <c r="O181" s="32">
        <v>2317</v>
      </c>
      <c r="P181" s="50">
        <v>-1E-4</v>
      </c>
      <c r="Q181" s="50">
        <v>8.0399999999999999E-2</v>
      </c>
      <c r="R181" s="57">
        <f t="shared" si="97"/>
        <v>3.2367166822934276E-3</v>
      </c>
      <c r="S181" s="57">
        <f t="shared" si="98"/>
        <v>-1.3371828863600028E-4</v>
      </c>
      <c r="T181" s="57">
        <f t="shared" si="98"/>
        <v>3.0303030303030303E-3</v>
      </c>
      <c r="U181" s="57">
        <f t="shared" si="99"/>
        <v>-6.0000000000000006E-4</v>
      </c>
      <c r="V181" s="58">
        <f t="shared" si="99"/>
        <v>-1.0000000000000286E-4</v>
      </c>
    </row>
    <row r="182" spans="1:22">
      <c r="A182" s="141">
        <v>157</v>
      </c>
      <c r="B182" s="133" t="s">
        <v>220</v>
      </c>
      <c r="C182" s="133" t="s">
        <v>101</v>
      </c>
      <c r="D182" s="29">
        <v>108985734.81</v>
      </c>
      <c r="E182" s="30">
        <f t="shared" si="95"/>
        <v>1.9064293396470382E-3</v>
      </c>
      <c r="F182" s="33">
        <v>1148.43</v>
      </c>
      <c r="G182" s="33">
        <v>1164.21</v>
      </c>
      <c r="H182" s="32">
        <v>10</v>
      </c>
      <c r="I182" s="50">
        <v>-4.6031516381195298E-4</v>
      </c>
      <c r="J182" s="50">
        <v>3.6900000000000002E-2</v>
      </c>
      <c r="K182" s="29">
        <v>109178120.31999999</v>
      </c>
      <c r="L182" s="30">
        <f t="shared" si="96"/>
        <v>1.9112052553529324E-3</v>
      </c>
      <c r="M182" s="33">
        <v>1151.0899999999999</v>
      </c>
      <c r="N182" s="33">
        <v>1165.8599999999999</v>
      </c>
      <c r="O182" s="32">
        <v>11</v>
      </c>
      <c r="P182" s="50">
        <v>1.45488601931087E-3</v>
      </c>
      <c r="Q182" s="50">
        <v>3.7999999999999999E-2</v>
      </c>
      <c r="R182" s="57">
        <f t="shared" si="97"/>
        <v>1.7652357011253377E-3</v>
      </c>
      <c r="S182" s="57">
        <f t="shared" si="98"/>
        <v>1.4172700801400636E-3</v>
      </c>
      <c r="T182" s="57">
        <f t="shared" si="98"/>
        <v>0.1</v>
      </c>
      <c r="U182" s="57">
        <f t="shared" si="99"/>
        <v>1.915201183122823E-3</v>
      </c>
      <c r="V182" s="58">
        <f t="shared" si="99"/>
        <v>1.0999999999999968E-3</v>
      </c>
    </row>
    <row r="183" spans="1:22">
      <c r="A183" s="141">
        <v>158</v>
      </c>
      <c r="B183" s="133" t="s">
        <v>221</v>
      </c>
      <c r="C183" s="133" t="s">
        <v>84</v>
      </c>
      <c r="D183" s="29">
        <v>744328212.45001805</v>
      </c>
      <c r="E183" s="30">
        <f t="shared" si="95"/>
        <v>1.3020136488647567E-2</v>
      </c>
      <c r="F183" s="33">
        <v>1.4243635456238546</v>
      </c>
      <c r="G183" s="33">
        <v>1.4243635456238546</v>
      </c>
      <c r="H183" s="32">
        <v>44</v>
      </c>
      <c r="I183" s="50">
        <v>2.6847587340616064E-3</v>
      </c>
      <c r="J183" s="50">
        <v>5.5797368678121968E-2</v>
      </c>
      <c r="K183" s="29">
        <v>748492022.61328256</v>
      </c>
      <c r="L183" s="30">
        <f t="shared" si="96"/>
        <v>1.3102642571747947E-2</v>
      </c>
      <c r="M183" s="33">
        <v>1.4287102158507186</v>
      </c>
      <c r="N183" s="33">
        <v>1.4287102158507186</v>
      </c>
      <c r="O183" s="32">
        <v>44</v>
      </c>
      <c r="P183" s="50">
        <v>2.8602334324785194E-3</v>
      </c>
      <c r="Q183" s="50">
        <v>6.1703553262446184E-2</v>
      </c>
      <c r="R183" s="57">
        <f t="shared" si="97"/>
        <v>5.5940512446236408E-3</v>
      </c>
      <c r="S183" s="57">
        <f t="shared" si="98"/>
        <v>3.0516578721903318E-3</v>
      </c>
      <c r="T183" s="57">
        <f t="shared" si="98"/>
        <v>0</v>
      </c>
      <c r="U183" s="57">
        <f t="shared" si="99"/>
        <v>1.7547469841691296E-4</v>
      </c>
      <c r="V183" s="58">
        <f t="shared" si="99"/>
        <v>5.9061845843242158E-3</v>
      </c>
    </row>
    <row r="184" spans="1:22">
      <c r="A184" s="141">
        <v>159</v>
      </c>
      <c r="B184" s="133" t="s">
        <v>222</v>
      </c>
      <c r="C184" s="134" t="s">
        <v>52</v>
      </c>
      <c r="D184" s="33">
        <v>2339095392.9899998</v>
      </c>
      <c r="E184" s="30">
        <f t="shared" si="95"/>
        <v>4.0916548328122929E-2</v>
      </c>
      <c r="F184" s="33">
        <v>2.1019000000000001</v>
      </c>
      <c r="G184" s="33">
        <v>2.1160000000000001</v>
      </c>
      <c r="H184" s="32">
        <v>2289</v>
      </c>
      <c r="I184" s="50">
        <v>-2.2000000000000001E-3</v>
      </c>
      <c r="J184" s="50">
        <v>6.3E-2</v>
      </c>
      <c r="K184" s="33">
        <v>2336353958.0799999</v>
      </c>
      <c r="L184" s="54">
        <f t="shared" si="96"/>
        <v>4.089878035965E-2</v>
      </c>
      <c r="M184" s="33">
        <v>2.1000999999999999</v>
      </c>
      <c r="N184" s="33">
        <v>2.1141000000000001</v>
      </c>
      <c r="O184" s="32">
        <v>2297</v>
      </c>
      <c r="P184" s="50">
        <v>-8.0000000000000004E-4</v>
      </c>
      <c r="Q184" s="50">
        <v>6.2100000000000002E-2</v>
      </c>
      <c r="R184" s="57">
        <f t="shared" si="97"/>
        <v>-1.1720064595123452E-3</v>
      </c>
      <c r="S184" s="57">
        <f t="shared" si="98"/>
        <v>-8.9792060491493983E-4</v>
      </c>
      <c r="T184" s="57">
        <f t="shared" si="98"/>
        <v>3.4949759720401923E-3</v>
      </c>
      <c r="U184" s="57">
        <f t="shared" si="99"/>
        <v>1.4000000000000002E-3</v>
      </c>
      <c r="V184" s="58">
        <f t="shared" si="99"/>
        <v>-8.9999999999999802E-4</v>
      </c>
    </row>
    <row r="185" spans="1:22">
      <c r="A185" s="141">
        <v>160</v>
      </c>
      <c r="B185" s="133" t="s">
        <v>223</v>
      </c>
      <c r="C185" s="134" t="s">
        <v>52</v>
      </c>
      <c r="D185" s="33">
        <v>1336937706.8399999</v>
      </c>
      <c r="E185" s="30">
        <f t="shared" si="95"/>
        <v>2.3386338350093346E-2</v>
      </c>
      <c r="F185" s="33">
        <v>1.6198999999999999</v>
      </c>
      <c r="G185" s="33">
        <v>1.6293</v>
      </c>
      <c r="H185" s="32">
        <v>919</v>
      </c>
      <c r="I185" s="50">
        <v>-2.0000000000000001E-4</v>
      </c>
      <c r="J185" s="50">
        <v>6.6199999999999995E-2</v>
      </c>
      <c r="K185" s="33">
        <v>1336516316.03</v>
      </c>
      <c r="L185" s="54">
        <f t="shared" si="96"/>
        <v>2.3396235432288824E-2</v>
      </c>
      <c r="M185" s="33">
        <v>1.6206</v>
      </c>
      <c r="N185" s="33">
        <v>1.6298999999999999</v>
      </c>
      <c r="O185" s="32">
        <v>923</v>
      </c>
      <c r="P185" s="50">
        <v>4.0000000000000002E-4</v>
      </c>
      <c r="Q185" s="50">
        <v>6.6699999999999995E-2</v>
      </c>
      <c r="R185" s="57">
        <f t="shared" si="97"/>
        <v>-3.151910577763167E-4</v>
      </c>
      <c r="S185" s="57">
        <f t="shared" si="98"/>
        <v>3.6825630638920634E-4</v>
      </c>
      <c r="T185" s="57">
        <f t="shared" si="98"/>
        <v>4.3525571273122961E-3</v>
      </c>
      <c r="U185" s="57">
        <f t="shared" si="99"/>
        <v>6.0000000000000006E-4</v>
      </c>
      <c r="V185" s="58">
        <f t="shared" si="99"/>
        <v>5.0000000000000044E-4</v>
      </c>
    </row>
    <row r="186" spans="1:22">
      <c r="A186" s="141">
        <v>161</v>
      </c>
      <c r="B186" s="133" t="s">
        <v>224</v>
      </c>
      <c r="C186" s="134" t="s">
        <v>106</v>
      </c>
      <c r="D186" s="29">
        <v>9811530514.5400009</v>
      </c>
      <c r="E186" s="30">
        <f t="shared" si="95"/>
        <v>0.17162787104542218</v>
      </c>
      <c r="F186" s="33">
        <v>570.28</v>
      </c>
      <c r="G186" s="33">
        <v>577.28</v>
      </c>
      <c r="H186" s="32">
        <v>34</v>
      </c>
      <c r="I186" s="50">
        <v>-3.5777942776089589E-3</v>
      </c>
      <c r="J186" s="50">
        <v>0.10280050962998888</v>
      </c>
      <c r="K186" s="29">
        <v>9867797056.3199997</v>
      </c>
      <c r="L186" s="54">
        <v>5.2058</v>
      </c>
      <c r="M186" s="33">
        <v>572.98</v>
      </c>
      <c r="N186" s="33">
        <v>579.91</v>
      </c>
      <c r="O186" s="32">
        <v>35</v>
      </c>
      <c r="P186" s="50">
        <v>4.5854045955973088E-3</v>
      </c>
      <c r="Q186" s="50">
        <v>0.10785691075375281</v>
      </c>
      <c r="R186" s="57">
        <f t="shared" si="97"/>
        <v>5.7347364610053145E-3</v>
      </c>
      <c r="S186" s="57">
        <f t="shared" si="98"/>
        <v>4.5558481152993269E-3</v>
      </c>
      <c r="T186" s="57">
        <f t="shared" si="98"/>
        <v>2.9411764705882353E-2</v>
      </c>
      <c r="U186" s="57">
        <f t="shared" si="99"/>
        <v>8.1631988732062677E-3</v>
      </c>
      <c r="V186" s="58">
        <f t="shared" si="99"/>
        <v>5.0564011237639317E-3</v>
      </c>
    </row>
    <row r="187" spans="1:22">
      <c r="A187" s="36"/>
      <c r="B187" s="37"/>
      <c r="C187" s="38" t="s">
        <v>53</v>
      </c>
      <c r="D187" s="75">
        <f>SUM(D159:D186)</f>
        <v>57167466185.858185</v>
      </c>
      <c r="E187" s="40">
        <f>(D187/$D$219)</f>
        <v>1.1617093668421914E-2</v>
      </c>
      <c r="F187" s="41"/>
      <c r="G187" s="76"/>
      <c r="H187" s="43">
        <f>SUM(H159:H186)</f>
        <v>69665</v>
      </c>
      <c r="I187" s="82"/>
      <c r="J187" s="82"/>
      <c r="K187" s="75">
        <f>SUM(K159:K186)</f>
        <v>57125272136.110069</v>
      </c>
      <c r="L187" s="40">
        <f>(K187/$K$219)</f>
        <v>1.1362998965976477E-2</v>
      </c>
      <c r="M187" s="41"/>
      <c r="N187" s="76"/>
      <c r="O187" s="43">
        <f>SUM(O159:O186)</f>
        <v>69695</v>
      </c>
      <c r="P187" s="82"/>
      <c r="Q187" s="82"/>
      <c r="R187" s="57">
        <f t="shared" ref="R187" si="100">((K187-D187)/D187)</f>
        <v>-7.3807801120549408E-4</v>
      </c>
      <c r="S187" s="57" t="e">
        <f t="shared" ref="S187" si="101">((N187-G187)/G187)</f>
        <v>#DIV/0!</v>
      </c>
      <c r="T187" s="57">
        <f t="shared" ref="T187" si="102">((O187-H187)/H187)</f>
        <v>4.3063231177779371E-4</v>
      </c>
      <c r="U187" s="57">
        <f t="shared" ref="U187" si="103">P187-I187</f>
        <v>0</v>
      </c>
      <c r="V187" s="58">
        <f t="shared" ref="V187" si="104">Q187-J187</f>
        <v>0</v>
      </c>
    </row>
    <row r="188" spans="1:22" ht="5.25" customHeight="1">
      <c r="A188" s="36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</row>
    <row r="189" spans="1:22" ht="15" customHeight="1">
      <c r="A189" s="179" t="s">
        <v>225</v>
      </c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</row>
    <row r="190" spans="1:22" ht="16.2" customHeight="1">
      <c r="A190" s="135">
        <v>162</v>
      </c>
      <c r="B190" s="133" t="s">
        <v>226</v>
      </c>
      <c r="C190" s="134" t="s">
        <v>23</v>
      </c>
      <c r="D190" s="78">
        <v>1079088065.6800001</v>
      </c>
      <c r="E190" s="30">
        <f>(D190/$D$193)</f>
        <v>0.15847999214874134</v>
      </c>
      <c r="F190" s="77">
        <v>71.850700000000003</v>
      </c>
      <c r="G190" s="77">
        <v>74.017099999999999</v>
      </c>
      <c r="H190" s="34">
        <v>1739</v>
      </c>
      <c r="I190" s="51">
        <v>0.15260000000000001</v>
      </c>
      <c r="J190" s="51">
        <v>0.18590000000000001</v>
      </c>
      <c r="K190" s="78">
        <v>1071068969.13</v>
      </c>
      <c r="L190" s="54">
        <f>(K190/$K$193)</f>
        <v>0.15775853797828143</v>
      </c>
      <c r="M190" s="77">
        <v>71.441699999999997</v>
      </c>
      <c r="N190" s="77">
        <v>73.595699999999994</v>
      </c>
      <c r="O190" s="34">
        <v>1740</v>
      </c>
      <c r="P190" s="51">
        <v>0.15140000000000001</v>
      </c>
      <c r="Q190" s="51">
        <v>0.18590000000000001</v>
      </c>
      <c r="R190" s="57">
        <f>((K190-D190)/D190)</f>
        <v>-7.4313643205262802E-3</v>
      </c>
      <c r="S190" s="57">
        <f t="shared" ref="S190:T193" si="105">((N190-G190)/G190)</f>
        <v>-5.6932789855317963E-3</v>
      </c>
      <c r="T190" s="57">
        <f t="shared" si="105"/>
        <v>5.750431282346176E-4</v>
      </c>
      <c r="U190" s="57">
        <f t="shared" ref="U190:V193" si="106">P190-I190</f>
        <v>-1.2000000000000066E-3</v>
      </c>
      <c r="V190" s="58">
        <f t="shared" si="106"/>
        <v>0</v>
      </c>
    </row>
    <row r="191" spans="1:22">
      <c r="A191" s="135">
        <v>163</v>
      </c>
      <c r="B191" s="133" t="s">
        <v>227</v>
      </c>
      <c r="C191" s="134" t="s">
        <v>228</v>
      </c>
      <c r="D191" s="78">
        <v>1066142908.05</v>
      </c>
      <c r="E191" s="30">
        <f>(D191/$D$193)</f>
        <v>0.15657880489182008</v>
      </c>
      <c r="F191" s="77">
        <v>30.2287</v>
      </c>
      <c r="G191" s="77">
        <v>30.524699999999999</v>
      </c>
      <c r="H191" s="32">
        <v>1487</v>
      </c>
      <c r="I191" s="50">
        <v>6.8999999999999999E-3</v>
      </c>
      <c r="J191" s="50">
        <v>0.13550000000000001</v>
      </c>
      <c r="K191" s="78">
        <v>1070195505.35</v>
      </c>
      <c r="L191" s="54">
        <f>(K191/$K$193)</f>
        <v>0.15762988485427046</v>
      </c>
      <c r="M191" s="77">
        <v>29.946000000000002</v>
      </c>
      <c r="N191" s="77">
        <v>30.2349</v>
      </c>
      <c r="O191" s="32">
        <v>1489</v>
      </c>
      <c r="P191" s="50">
        <v>7.3000000000000001E-3</v>
      </c>
      <c r="Q191" s="50">
        <v>0.12479999999999999</v>
      </c>
      <c r="R191" s="57">
        <f>((K191-D191)/D191)</f>
        <v>3.8011764364801392E-3</v>
      </c>
      <c r="S191" s="57">
        <f t="shared" si="105"/>
        <v>-9.4939508004992547E-3</v>
      </c>
      <c r="T191" s="57">
        <f t="shared" si="105"/>
        <v>1.3449899125756557E-3</v>
      </c>
      <c r="U191" s="57">
        <f t="shared" si="106"/>
        <v>4.0000000000000018E-4</v>
      </c>
      <c r="V191" s="58">
        <f t="shared" si="106"/>
        <v>-1.0700000000000015E-2</v>
      </c>
    </row>
    <row r="192" spans="1:22">
      <c r="A192" s="135">
        <v>164</v>
      </c>
      <c r="B192" s="133" t="s">
        <v>229</v>
      </c>
      <c r="C192" s="134" t="s">
        <v>49</v>
      </c>
      <c r="D192" s="44">
        <v>4663755138.96</v>
      </c>
      <c r="E192" s="30">
        <f>(D192/$D$193)</f>
        <v>0.6849412029594385</v>
      </c>
      <c r="F192" s="77">
        <v>3.15</v>
      </c>
      <c r="G192" s="77">
        <v>3.19</v>
      </c>
      <c r="H192" s="32">
        <v>10333</v>
      </c>
      <c r="I192" s="50">
        <v>3.0999999999999999E-3</v>
      </c>
      <c r="J192" s="50">
        <v>0.1</v>
      </c>
      <c r="K192" s="44">
        <v>4648028725.4700003</v>
      </c>
      <c r="L192" s="54">
        <f>(K192/$K$193)</f>
        <v>0.68461157716744803</v>
      </c>
      <c r="M192" s="77">
        <v>3.15</v>
      </c>
      <c r="N192" s="77">
        <v>3.19</v>
      </c>
      <c r="O192" s="32">
        <v>10341</v>
      </c>
      <c r="P192" s="50">
        <v>0</v>
      </c>
      <c r="Q192" s="50">
        <v>0.1</v>
      </c>
      <c r="R192" s="57">
        <f>((K192-D192)/D192)</f>
        <v>-3.3720495655152906E-3</v>
      </c>
      <c r="S192" s="57">
        <f t="shared" si="105"/>
        <v>0</v>
      </c>
      <c r="T192" s="57">
        <f t="shared" si="105"/>
        <v>7.7421852317816704E-4</v>
      </c>
      <c r="U192" s="57">
        <f t="shared" si="106"/>
        <v>-3.0999999999999999E-3</v>
      </c>
      <c r="V192" s="58">
        <f t="shared" si="106"/>
        <v>0</v>
      </c>
    </row>
    <row r="193" spans="1:24">
      <c r="A193" s="36"/>
      <c r="B193" s="37"/>
      <c r="C193" s="71" t="s">
        <v>53</v>
      </c>
      <c r="D193" s="75">
        <f>SUM(D190:D192)</f>
        <v>6808986112.6900005</v>
      </c>
      <c r="E193" s="40">
        <f>(D193/$D$219)</f>
        <v>1.3836651287104146E-3</v>
      </c>
      <c r="F193" s="41"/>
      <c r="G193" s="76"/>
      <c r="H193" s="43">
        <f>SUM(H190:H192)</f>
        <v>13559</v>
      </c>
      <c r="I193" s="82"/>
      <c r="J193" s="82"/>
      <c r="K193" s="75">
        <f>SUM(K190:K192)</f>
        <v>6789293199.9500008</v>
      </c>
      <c r="L193" s="40">
        <f>(K193/$K$219)</f>
        <v>1.3504833977320686E-3</v>
      </c>
      <c r="M193" s="41"/>
      <c r="N193" s="76"/>
      <c r="O193" s="43">
        <f>SUM(O190:O192)</f>
        <v>13570</v>
      </c>
      <c r="P193" s="82"/>
      <c r="Q193" s="82"/>
      <c r="R193" s="57">
        <f>((K193-D193)/D193)</f>
        <v>-2.8921945814073288E-3</v>
      </c>
      <c r="S193" s="57" t="e">
        <f t="shared" si="105"/>
        <v>#DIV/0!</v>
      </c>
      <c r="T193" s="57">
        <f t="shared" si="105"/>
        <v>8.1126926764510659E-4</v>
      </c>
      <c r="U193" s="57">
        <f t="shared" si="106"/>
        <v>0</v>
      </c>
      <c r="V193" s="58">
        <f t="shared" si="106"/>
        <v>0</v>
      </c>
    </row>
    <row r="194" spans="1:24" ht="6" customHeight="1">
      <c r="A194" s="36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</row>
    <row r="195" spans="1:24" ht="15" customHeight="1">
      <c r="A195" s="175" t="s">
        <v>230</v>
      </c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</row>
    <row r="196" spans="1:24">
      <c r="A196" s="178" t="s">
        <v>231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</row>
    <row r="197" spans="1:24">
      <c r="A197" s="135">
        <v>165</v>
      </c>
      <c r="B197" s="133" t="s">
        <v>232</v>
      </c>
      <c r="C197" s="134" t="s">
        <v>233</v>
      </c>
      <c r="D197" s="47">
        <v>5351261046.8699999</v>
      </c>
      <c r="E197" s="30">
        <f>(D197/$D$218)</f>
        <v>9.5118794928414963E-2</v>
      </c>
      <c r="F197" s="79">
        <v>2.34</v>
      </c>
      <c r="G197" s="79">
        <v>2.38</v>
      </c>
      <c r="H197" s="46">
        <v>15015</v>
      </c>
      <c r="I197" s="53">
        <v>-8.9999999999999998E-4</v>
      </c>
      <c r="J197" s="53">
        <v>3.1800000000000002E-2</v>
      </c>
      <c r="K197" s="47">
        <v>5336185727.54</v>
      </c>
      <c r="L197" s="30">
        <f>(K197/$K$218)</f>
        <v>9.4639559658570932E-2</v>
      </c>
      <c r="M197" s="79">
        <v>2.33</v>
      </c>
      <c r="N197" s="79">
        <v>2.38</v>
      </c>
      <c r="O197" s="46">
        <v>15015</v>
      </c>
      <c r="P197" s="53">
        <v>-4.3E-3</v>
      </c>
      <c r="Q197" s="53">
        <v>2.8199999999999999E-2</v>
      </c>
      <c r="R197" s="57">
        <f>((K197-D197)/D197)</f>
        <v>-2.8171526669994191E-3</v>
      </c>
      <c r="S197" s="57">
        <f>((N197-G197)/G197)</f>
        <v>0</v>
      </c>
      <c r="T197" s="57">
        <f>((O197-H197)/H197)</f>
        <v>0</v>
      </c>
      <c r="U197" s="57">
        <f>P197-I197</f>
        <v>-3.4000000000000002E-3</v>
      </c>
      <c r="V197" s="58">
        <f>Q197-J197</f>
        <v>-3.6000000000000025E-3</v>
      </c>
    </row>
    <row r="198" spans="1:24">
      <c r="A198" s="135">
        <v>166</v>
      </c>
      <c r="B198" s="133" t="s">
        <v>234</v>
      </c>
      <c r="C198" s="134" t="s">
        <v>49</v>
      </c>
      <c r="D198" s="47">
        <v>915686794.71000004</v>
      </c>
      <c r="E198" s="30">
        <f>(D198/$D$218)</f>
        <v>1.627635499031076E-2</v>
      </c>
      <c r="F198" s="79">
        <v>558.52</v>
      </c>
      <c r="G198" s="79">
        <v>565.69000000000005</v>
      </c>
      <c r="H198" s="46">
        <v>927</v>
      </c>
      <c r="I198" s="53">
        <v>4.3E-3</v>
      </c>
      <c r="J198" s="53">
        <v>0.12089999999999999</v>
      </c>
      <c r="K198" s="47">
        <v>910599170.69000006</v>
      </c>
      <c r="L198" s="30">
        <f>(K198/$K$218)</f>
        <v>1.6149869764613713E-2</v>
      </c>
      <c r="M198" s="79">
        <v>551.82000000000005</v>
      </c>
      <c r="N198" s="79">
        <v>558.80999999999995</v>
      </c>
      <c r="O198" s="46">
        <v>934</v>
      </c>
      <c r="P198" s="53">
        <v>-1.2200000000000001E-2</v>
      </c>
      <c r="Q198" s="53">
        <v>0.1072</v>
      </c>
      <c r="R198" s="57">
        <f>((K198-D198)/D198)</f>
        <v>-5.556074467155816E-3</v>
      </c>
      <c r="S198" s="57">
        <f>((N198-G198)/G198)</f>
        <v>-1.2162138273612948E-2</v>
      </c>
      <c r="T198" s="57">
        <f>((O198-H198)/H198)</f>
        <v>7.551240560949299E-3</v>
      </c>
      <c r="U198" s="57">
        <f>P198-I198</f>
        <v>-1.6500000000000001E-2</v>
      </c>
      <c r="V198" s="58">
        <f>Q198-J198</f>
        <v>-1.369999999999999E-2</v>
      </c>
    </row>
    <row r="199" spans="1:24" ht="6" customHeight="1">
      <c r="A199" s="36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</row>
    <row r="200" spans="1:24" ht="15" customHeight="1">
      <c r="A200" s="178" t="s">
        <v>174</v>
      </c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</row>
    <row r="201" spans="1:24">
      <c r="A201" s="135">
        <v>167</v>
      </c>
      <c r="B201" s="133" t="s">
        <v>294</v>
      </c>
      <c r="C201" s="134" t="s">
        <v>23</v>
      </c>
      <c r="D201" s="29">
        <v>1210127201.98</v>
      </c>
      <c r="E201" s="30">
        <f>(D201/$D$218)</f>
        <v>2.1510040372588184E-2</v>
      </c>
      <c r="F201" s="77">
        <v>1.0559000000000001</v>
      </c>
      <c r="G201" s="77">
        <v>1.0559000000000001</v>
      </c>
      <c r="H201" s="32">
        <v>548</v>
      </c>
      <c r="I201" s="50">
        <v>0.1983</v>
      </c>
      <c r="J201" s="50">
        <v>0.16400000000000001</v>
      </c>
      <c r="K201" s="29">
        <v>1213254601.5</v>
      </c>
      <c r="L201" s="30">
        <f t="shared" ref="L201:L213" si="107">(K201/$K$218)</f>
        <v>2.1517594608279917E-2</v>
      </c>
      <c r="M201" s="77">
        <v>1.0586</v>
      </c>
      <c r="N201" s="77">
        <v>1.0586</v>
      </c>
      <c r="O201" s="32">
        <v>555</v>
      </c>
      <c r="P201" s="50">
        <v>0.1333</v>
      </c>
      <c r="Q201" s="50">
        <v>0.1623</v>
      </c>
      <c r="R201" s="57">
        <f>((K201-D201)/D201)</f>
        <v>2.5843560204935117E-3</v>
      </c>
      <c r="S201" s="57">
        <f>((N201-G201)/G201)</f>
        <v>2.5570603276824744E-3</v>
      </c>
      <c r="T201" s="57">
        <f>((O201-H201)/H201)</f>
        <v>1.2773722627737226E-2</v>
      </c>
      <c r="U201" s="57">
        <f>P201-I201</f>
        <v>-6.5000000000000002E-2</v>
      </c>
      <c r="V201" s="58">
        <f>Q201-J201</f>
        <v>-1.7000000000000071E-3</v>
      </c>
      <c r="X201" s="83"/>
    </row>
    <row r="202" spans="1:24">
      <c r="A202" s="135">
        <v>168</v>
      </c>
      <c r="B202" s="133" t="s">
        <v>235</v>
      </c>
      <c r="C202" s="134" t="s">
        <v>236</v>
      </c>
      <c r="D202" s="29">
        <v>348977951.63999999</v>
      </c>
      <c r="E202" s="30">
        <f>(D202/$D$218)</f>
        <v>6.2030915565218312E-3</v>
      </c>
      <c r="F202" s="77">
        <v>1066.5</v>
      </c>
      <c r="G202" s="77">
        <v>1066.5</v>
      </c>
      <c r="H202" s="32">
        <v>18</v>
      </c>
      <c r="I202" s="50">
        <v>1.4E-3</v>
      </c>
      <c r="J202" s="50">
        <v>2.7E-2</v>
      </c>
      <c r="K202" s="29">
        <v>349302531.08999997</v>
      </c>
      <c r="L202" s="30">
        <f t="shared" si="107"/>
        <v>6.1950313234733793E-3</v>
      </c>
      <c r="M202" s="77">
        <v>1067.5</v>
      </c>
      <c r="N202" s="77">
        <v>1067.5</v>
      </c>
      <c r="O202" s="32">
        <v>18</v>
      </c>
      <c r="P202" s="50">
        <v>1.4E-3</v>
      </c>
      <c r="Q202" s="50">
        <v>2.8400000000000002E-2</v>
      </c>
      <c r="R202" s="57">
        <f>((K202-D202)/D202)</f>
        <v>9.3008583629609638E-4</v>
      </c>
      <c r="S202" s="57">
        <f>((N202-G202)/G202)</f>
        <v>9.3764650726676048E-4</v>
      </c>
      <c r="T202" s="57">
        <f>((O202-H202)/H202)</f>
        <v>0</v>
      </c>
      <c r="U202" s="57">
        <f>P202-I202</f>
        <v>0</v>
      </c>
      <c r="V202" s="58">
        <f>Q202-J202</f>
        <v>1.4000000000000019E-3</v>
      </c>
      <c r="X202" s="83"/>
    </row>
    <row r="203" spans="1:24">
      <c r="A203" s="135">
        <v>169</v>
      </c>
      <c r="B203" s="133" t="s">
        <v>237</v>
      </c>
      <c r="C203" s="134" t="s">
        <v>67</v>
      </c>
      <c r="D203" s="29">
        <v>209753215.27000001</v>
      </c>
      <c r="E203" s="30">
        <f>(D203/$D$218)</f>
        <v>3.7283684899865987E-3</v>
      </c>
      <c r="F203" s="77">
        <v>119.07</v>
      </c>
      <c r="G203" s="77">
        <v>119.07</v>
      </c>
      <c r="H203" s="32">
        <v>75</v>
      </c>
      <c r="I203" s="50">
        <v>1.9E-3</v>
      </c>
      <c r="J203" s="50">
        <v>0.1133</v>
      </c>
      <c r="K203" s="29">
        <v>210703643.97999999</v>
      </c>
      <c r="L203" s="30">
        <f t="shared" si="107"/>
        <v>3.7369201716141022E-3</v>
      </c>
      <c r="M203" s="77">
        <v>119.29</v>
      </c>
      <c r="N203" s="77">
        <v>119.29</v>
      </c>
      <c r="O203" s="32">
        <v>75</v>
      </c>
      <c r="P203" s="50">
        <v>1.8E-3</v>
      </c>
      <c r="Q203" s="50">
        <v>0.11219999999999999</v>
      </c>
      <c r="R203" s="57">
        <f t="shared" ref="R203:R219" si="108">((K203-D203)/D203)</f>
        <v>4.5311758810302905E-3</v>
      </c>
      <c r="S203" s="57">
        <f t="shared" ref="S203:S218" si="109">((N203-G203)/G203)</f>
        <v>1.847652641303545E-3</v>
      </c>
      <c r="T203" s="57">
        <f t="shared" ref="T203:T218" si="110">((O203-H203)/H203)</f>
        <v>0</v>
      </c>
      <c r="U203" s="57">
        <f t="shared" ref="U203:U218" si="111">P203-I203</f>
        <v>-1.0000000000000005E-4</v>
      </c>
      <c r="V203" s="58">
        <f t="shared" ref="V203:V218" si="112">Q203-J203</f>
        <v>-1.1000000000000038E-3</v>
      </c>
    </row>
    <row r="204" spans="1:24">
      <c r="A204" s="135">
        <v>170</v>
      </c>
      <c r="B204" s="173" t="s">
        <v>238</v>
      </c>
      <c r="C204" s="134" t="s">
        <v>72</v>
      </c>
      <c r="D204" s="44">
        <v>62079214.159999996</v>
      </c>
      <c r="E204" s="30">
        <f>(D204/$D$218)</f>
        <v>1.1034595377207438E-3</v>
      </c>
      <c r="F204" s="77">
        <v>101.37</v>
      </c>
      <c r="G204" s="77">
        <v>101.37</v>
      </c>
      <c r="H204" s="32">
        <v>15</v>
      </c>
      <c r="I204" s="50">
        <v>1.6000000000000001E-3</v>
      </c>
      <c r="J204" s="50">
        <v>4.4299999999999999E-2</v>
      </c>
      <c r="K204" s="44">
        <v>62149920.689999998</v>
      </c>
      <c r="L204" s="30">
        <f t="shared" si="107"/>
        <v>1.1022556985902092E-3</v>
      </c>
      <c r="M204" s="77">
        <v>101.46</v>
      </c>
      <c r="N204" s="77">
        <v>101.46</v>
      </c>
      <c r="O204" s="32">
        <v>15</v>
      </c>
      <c r="P204" s="50">
        <v>1E-3</v>
      </c>
      <c r="Q204" s="50">
        <v>4.53E-2</v>
      </c>
      <c r="R204" s="57">
        <f t="shared" si="108"/>
        <v>1.1389726973309547E-3</v>
      </c>
      <c r="S204" s="57">
        <f t="shared" si="109"/>
        <v>8.8783663805849062E-4</v>
      </c>
      <c r="T204" s="57">
        <f t="shared" si="110"/>
        <v>0</v>
      </c>
      <c r="U204" s="57">
        <f t="shared" si="111"/>
        <v>-6.0000000000000006E-4</v>
      </c>
      <c r="V204" s="58">
        <f t="shared" si="112"/>
        <v>1.0000000000000009E-3</v>
      </c>
    </row>
    <row r="205" spans="1:24">
      <c r="A205" s="135">
        <v>171</v>
      </c>
      <c r="B205" s="133" t="s">
        <v>239</v>
      </c>
      <c r="C205" s="134" t="s">
        <v>75</v>
      </c>
      <c r="D205" s="44">
        <v>118138284.59999999</v>
      </c>
      <c r="E205" s="30">
        <v>0</v>
      </c>
      <c r="F205" s="77">
        <v>1.0734999999999999</v>
      </c>
      <c r="G205" s="77">
        <v>1.0734999999999999</v>
      </c>
      <c r="H205" s="32">
        <v>37</v>
      </c>
      <c r="I205" s="50">
        <v>1.5E-3</v>
      </c>
      <c r="J205" s="50">
        <v>0.12330000000000001</v>
      </c>
      <c r="K205" s="44">
        <v>118387173.90000001</v>
      </c>
      <c r="L205" s="30">
        <f t="shared" si="107"/>
        <v>2.0996476845426058E-3</v>
      </c>
      <c r="M205" s="77">
        <v>1.0758000000000001</v>
      </c>
      <c r="N205" s="77">
        <v>1.0758000000000001</v>
      </c>
      <c r="O205" s="32">
        <v>37</v>
      </c>
      <c r="P205" s="50">
        <v>1.5E-3</v>
      </c>
      <c r="Q205" s="50">
        <v>0.1207</v>
      </c>
      <c r="R205" s="57">
        <f t="shared" ref="R205:R206" si="113">((K205-D205)/D205)</f>
        <v>2.1067624338944558E-3</v>
      </c>
      <c r="S205" s="57">
        <f t="shared" ref="S205:S206" si="114">((N205-G205)/G205)</f>
        <v>2.1425244527249099E-3</v>
      </c>
      <c r="T205" s="57">
        <f t="shared" ref="T205" si="115">((O205-H205)/H205)</f>
        <v>0</v>
      </c>
      <c r="U205" s="57">
        <f t="shared" ref="U205" si="116">P205-I205</f>
        <v>0</v>
      </c>
      <c r="V205" s="58">
        <f t="shared" ref="V205" si="117">Q205-J205</f>
        <v>-2.6000000000000051E-3</v>
      </c>
    </row>
    <row r="206" spans="1:24">
      <c r="A206" s="135">
        <v>172</v>
      </c>
      <c r="B206" s="133" t="s">
        <v>240</v>
      </c>
      <c r="C206" s="134" t="s">
        <v>31</v>
      </c>
      <c r="D206" s="29">
        <v>5307261960.9300003</v>
      </c>
      <c r="E206" s="30">
        <f t="shared" ref="E206:E213" si="118">(D206/$D$218)</f>
        <v>9.433671010842426E-2</v>
      </c>
      <c r="F206" s="77">
        <v>149.72</v>
      </c>
      <c r="G206" s="77">
        <v>149.72</v>
      </c>
      <c r="H206" s="32">
        <v>698</v>
      </c>
      <c r="I206" s="50">
        <v>2.5999999999999999E-3</v>
      </c>
      <c r="J206" s="50">
        <v>4.36E-2</v>
      </c>
      <c r="K206" s="29">
        <v>5318467686.4399996</v>
      </c>
      <c r="L206" s="30">
        <f t="shared" si="107"/>
        <v>9.4325322543647741E-2</v>
      </c>
      <c r="M206" s="77">
        <v>150.12</v>
      </c>
      <c r="N206" s="77">
        <v>150.12</v>
      </c>
      <c r="O206" s="32">
        <v>699</v>
      </c>
      <c r="P206" s="50">
        <v>2.7000000000000001E-3</v>
      </c>
      <c r="Q206" s="50">
        <v>4.6399999999999997E-2</v>
      </c>
      <c r="R206" s="57">
        <f t="shared" si="113"/>
        <v>2.1113948383349964E-3</v>
      </c>
      <c r="S206" s="57">
        <f t="shared" si="114"/>
        <v>2.6716537536735619E-3</v>
      </c>
      <c r="T206" s="57">
        <f t="shared" si="110"/>
        <v>1.4326647564469914E-3</v>
      </c>
      <c r="U206" s="57">
        <f t="shared" si="111"/>
        <v>1.0000000000000026E-4</v>
      </c>
      <c r="V206" s="58">
        <f t="shared" si="112"/>
        <v>2.7999999999999969E-3</v>
      </c>
    </row>
    <row r="207" spans="1:24">
      <c r="A207" s="135">
        <v>173</v>
      </c>
      <c r="B207" s="133" t="s">
        <v>241</v>
      </c>
      <c r="C207" s="134" t="s">
        <v>65</v>
      </c>
      <c r="D207" s="29">
        <v>727019566.20533097</v>
      </c>
      <c r="E207" s="30">
        <f t="shared" si="118"/>
        <v>1.2922790426618865E-2</v>
      </c>
      <c r="F207" s="35">
        <v>1232.47030926715</v>
      </c>
      <c r="G207" s="35">
        <v>1232.47030926715</v>
      </c>
      <c r="H207" s="32">
        <v>167</v>
      </c>
      <c r="I207" s="50">
        <v>0.11983215859096442</v>
      </c>
      <c r="J207" s="50">
        <v>0.14875780019902204</v>
      </c>
      <c r="K207" s="29">
        <v>733079992.28998494</v>
      </c>
      <c r="L207" s="30">
        <f t="shared" si="107"/>
        <v>1.3001490429160234E-2</v>
      </c>
      <c r="M207" s="35">
        <v>1235.40794721255</v>
      </c>
      <c r="N207" s="35">
        <v>1235.40794721255</v>
      </c>
      <c r="O207" s="32">
        <v>172</v>
      </c>
      <c r="P207" s="50">
        <v>0.12428440228755538</v>
      </c>
      <c r="Q207" s="50">
        <v>0.14739161961621028</v>
      </c>
      <c r="R207" s="57">
        <f t="shared" si="108"/>
        <v>8.3359875942353081E-3</v>
      </c>
      <c r="S207" s="57">
        <f t="shared" si="109"/>
        <v>2.3835364822270898E-3</v>
      </c>
      <c r="T207" s="57">
        <f t="shared" si="110"/>
        <v>2.9940119760479042E-2</v>
      </c>
      <c r="U207" s="57">
        <f t="shared" si="111"/>
        <v>4.4522436965909601E-3</v>
      </c>
      <c r="V207" s="58">
        <f t="shared" si="112"/>
        <v>-1.3661805828117657E-3</v>
      </c>
    </row>
    <row r="208" spans="1:24">
      <c r="A208" s="135">
        <v>174</v>
      </c>
      <c r="B208" s="133" t="s">
        <v>242</v>
      </c>
      <c r="C208" s="134" t="s">
        <v>233</v>
      </c>
      <c r="D208" s="29">
        <v>29516413806.349998</v>
      </c>
      <c r="E208" s="30">
        <f t="shared" si="118"/>
        <v>0.52465497146894213</v>
      </c>
      <c r="F208" s="35">
        <v>1261.21</v>
      </c>
      <c r="G208" s="35">
        <v>1261.21</v>
      </c>
      <c r="H208" s="32">
        <v>9974</v>
      </c>
      <c r="I208" s="50">
        <v>2E-3</v>
      </c>
      <c r="J208" s="50">
        <v>3.1199999999999999E-2</v>
      </c>
      <c r="K208" s="29">
        <v>29695463751.880001</v>
      </c>
      <c r="L208" s="30">
        <f t="shared" si="107"/>
        <v>0.52666188113181855</v>
      </c>
      <c r="M208" s="35">
        <v>1234.6199999999999</v>
      </c>
      <c r="N208" s="35">
        <v>1234.6199999999999</v>
      </c>
      <c r="O208" s="32">
        <v>10002</v>
      </c>
      <c r="P208" s="50">
        <v>-2.3400000000000001E-2</v>
      </c>
      <c r="Q208" s="50">
        <v>3.5900000000000001E-2</v>
      </c>
      <c r="R208" s="57">
        <f t="shared" si="108"/>
        <v>6.0661144915742701E-3</v>
      </c>
      <c r="S208" s="57">
        <f t="shared" si="109"/>
        <v>-2.1082928299014553E-2</v>
      </c>
      <c r="T208" s="57">
        <f t="shared" si="110"/>
        <v>2.8072989773410867E-3</v>
      </c>
      <c r="U208" s="57">
        <f t="shared" si="111"/>
        <v>-2.5399999999999999E-2</v>
      </c>
      <c r="V208" s="58">
        <f t="shared" si="112"/>
        <v>4.7000000000000028E-3</v>
      </c>
    </row>
    <row r="209" spans="1:22">
      <c r="A209" s="135">
        <v>175</v>
      </c>
      <c r="B209" s="133" t="s">
        <v>243</v>
      </c>
      <c r="C209" s="134" t="s">
        <v>244</v>
      </c>
      <c r="D209" s="29">
        <v>495295190.35000002</v>
      </c>
      <c r="E209" s="30">
        <f t="shared" si="118"/>
        <v>8.8038840242129577E-3</v>
      </c>
      <c r="F209" s="79">
        <v>120.18</v>
      </c>
      <c r="G209" s="79">
        <v>121.14</v>
      </c>
      <c r="H209" s="46">
        <v>149</v>
      </c>
      <c r="I209" s="50">
        <v>-4.8050000000000002E-2</v>
      </c>
      <c r="J209" s="50">
        <v>-3.1099999999999999E-2</v>
      </c>
      <c r="K209" s="29">
        <v>500846219.75</v>
      </c>
      <c r="L209" s="30">
        <f t="shared" si="107"/>
        <v>8.8827241243065493E-3</v>
      </c>
      <c r="M209" s="79">
        <v>122.23</v>
      </c>
      <c r="N209" s="79">
        <v>123.23</v>
      </c>
      <c r="O209" s="46">
        <v>148</v>
      </c>
      <c r="P209" s="50">
        <v>1.7100000000000001E-2</v>
      </c>
      <c r="Q209" s="50">
        <v>-1.4500000000000001E-2</v>
      </c>
      <c r="R209" s="57">
        <f t="shared" si="108"/>
        <v>1.120751727081651E-2</v>
      </c>
      <c r="S209" s="57">
        <f t="shared" si="109"/>
        <v>1.7252765395410298E-2</v>
      </c>
      <c r="T209" s="57">
        <f t="shared" si="110"/>
        <v>-6.7114093959731542E-3</v>
      </c>
      <c r="U209" s="57">
        <f t="shared" si="111"/>
        <v>6.515E-2</v>
      </c>
      <c r="V209" s="58">
        <f t="shared" si="112"/>
        <v>1.6599999999999997E-2</v>
      </c>
    </row>
    <row r="210" spans="1:22">
      <c r="A210" s="135">
        <v>176</v>
      </c>
      <c r="B210" s="133" t="s">
        <v>245</v>
      </c>
      <c r="C210" s="134" t="s">
        <v>244</v>
      </c>
      <c r="D210" s="29">
        <v>160017001.38999999</v>
      </c>
      <c r="E210" s="30">
        <f t="shared" si="118"/>
        <v>2.8443060816810608E-3</v>
      </c>
      <c r="F210" s="79">
        <v>118.29</v>
      </c>
      <c r="G210" s="79">
        <v>118.29</v>
      </c>
      <c r="H210" s="46">
        <v>73</v>
      </c>
      <c r="I210" s="50">
        <v>2.7000000000000001E-3</v>
      </c>
      <c r="J210" s="50">
        <v>5.91E-2</v>
      </c>
      <c r="K210" s="29">
        <v>163263202.93000001</v>
      </c>
      <c r="L210" s="30">
        <f t="shared" si="107"/>
        <v>2.895543450446232E-3</v>
      </c>
      <c r="M210" s="79">
        <v>118.83</v>
      </c>
      <c r="N210" s="79">
        <v>118.83</v>
      </c>
      <c r="O210" s="46">
        <v>73</v>
      </c>
      <c r="P210" s="50">
        <v>4.5999999999999999E-3</v>
      </c>
      <c r="Q210" s="50">
        <v>6.3899999999999998E-2</v>
      </c>
      <c r="R210" s="57">
        <f t="shared" si="108"/>
        <v>2.0286603997085574E-2</v>
      </c>
      <c r="S210" s="57">
        <f t="shared" si="109"/>
        <v>4.5650519908698286E-3</v>
      </c>
      <c r="T210" s="57">
        <f t="shared" si="110"/>
        <v>0</v>
      </c>
      <c r="U210" s="57">
        <f t="shared" si="111"/>
        <v>1.8999999999999998E-3</v>
      </c>
      <c r="V210" s="58">
        <f t="shared" si="112"/>
        <v>4.7999999999999987E-3</v>
      </c>
    </row>
    <row r="211" spans="1:22" ht="13.5" customHeight="1">
      <c r="A211" s="135">
        <v>177</v>
      </c>
      <c r="B211" s="133" t="s">
        <v>246</v>
      </c>
      <c r="C211" s="134" t="s">
        <v>89</v>
      </c>
      <c r="D211" s="29">
        <v>1465083300</v>
      </c>
      <c r="E211" s="30">
        <f t="shared" si="118"/>
        <v>2.6041891200067051E-2</v>
      </c>
      <c r="F211" s="60">
        <v>103.42</v>
      </c>
      <c r="G211" s="60">
        <v>103.42</v>
      </c>
      <c r="H211" s="32">
        <v>621</v>
      </c>
      <c r="I211" s="50">
        <v>2.5000000000000001E-3</v>
      </c>
      <c r="J211" s="50">
        <v>0.14249999999999999</v>
      </c>
      <c r="K211" s="29">
        <v>1408898382</v>
      </c>
      <c r="L211" s="30">
        <f t="shared" si="107"/>
        <v>2.4987421593667451E-2</v>
      </c>
      <c r="M211" s="60">
        <v>103.63</v>
      </c>
      <c r="N211" s="60">
        <v>103.63</v>
      </c>
      <c r="O211" s="32">
        <v>623</v>
      </c>
      <c r="P211" s="50">
        <v>2.5000000000000001E-3</v>
      </c>
      <c r="Q211" s="50">
        <v>0.14180000000000001</v>
      </c>
      <c r="R211" s="57">
        <f t="shared" si="108"/>
        <v>-3.8349299319704211E-2</v>
      </c>
      <c r="S211" s="57">
        <f t="shared" si="109"/>
        <v>2.0305550183716279E-3</v>
      </c>
      <c r="T211" s="57">
        <f t="shared" si="110"/>
        <v>3.2206119162640902E-3</v>
      </c>
      <c r="U211" s="57">
        <f t="shared" si="111"/>
        <v>0</v>
      </c>
      <c r="V211" s="58">
        <f t="shared" si="112"/>
        <v>-6.9999999999997842E-4</v>
      </c>
    </row>
    <row r="212" spans="1:22" ht="15.75" customHeight="1">
      <c r="A212" s="135">
        <v>178</v>
      </c>
      <c r="B212" s="133" t="s">
        <v>247</v>
      </c>
      <c r="C212" s="134" t="s">
        <v>49</v>
      </c>
      <c r="D212" s="29">
        <v>6056738545.7299995</v>
      </c>
      <c r="E212" s="30">
        <f t="shared" si="118"/>
        <v>0.10765867458536521</v>
      </c>
      <c r="F212" s="60">
        <v>135.83000000000001</v>
      </c>
      <c r="G212" s="60">
        <v>135.83000000000001</v>
      </c>
      <c r="H212" s="32">
        <v>1299</v>
      </c>
      <c r="I212" s="50">
        <v>2.0000000000000001E-4</v>
      </c>
      <c r="J212" s="50">
        <v>1.14E-2</v>
      </c>
      <c r="K212" s="29">
        <v>6029773846.4700003</v>
      </c>
      <c r="L212" s="30">
        <f t="shared" si="107"/>
        <v>0.10694064464914387</v>
      </c>
      <c r="M212" s="60">
        <v>135.87</v>
      </c>
      <c r="N212" s="60">
        <v>135.87</v>
      </c>
      <c r="O212" s="32">
        <v>1302</v>
      </c>
      <c r="P212" s="50">
        <v>2.9999999999999997E-4</v>
      </c>
      <c r="Q212" s="50">
        <v>1.17E-2</v>
      </c>
      <c r="R212" s="57">
        <f t="shared" si="108"/>
        <v>-4.4520163874350142E-3</v>
      </c>
      <c r="S212" s="57">
        <f t="shared" si="109"/>
        <v>2.9448575425157947E-4</v>
      </c>
      <c r="T212" s="57">
        <f t="shared" si="110"/>
        <v>2.3094688221709007E-3</v>
      </c>
      <c r="U212" s="57">
        <f t="shared" si="111"/>
        <v>9.9999999999999964E-5</v>
      </c>
      <c r="V212" s="58">
        <f t="shared" si="112"/>
        <v>2.9999999999999992E-4</v>
      </c>
    </row>
    <row r="213" spans="1:22">
      <c r="A213" s="135">
        <v>179</v>
      </c>
      <c r="B213" s="133" t="s">
        <v>248</v>
      </c>
      <c r="C213" s="134" t="s">
        <v>52</v>
      </c>
      <c r="D213" s="29">
        <v>4059028544.21</v>
      </c>
      <c r="E213" s="30">
        <f t="shared" si="118"/>
        <v>7.2149330844385004E-2</v>
      </c>
      <c r="F213" s="60">
        <v>1.248</v>
      </c>
      <c r="G213" s="60">
        <v>1.248</v>
      </c>
      <c r="H213" s="32">
        <v>1514</v>
      </c>
      <c r="I213" s="50">
        <v>0.1009</v>
      </c>
      <c r="J213" s="50">
        <v>9.7699999999999995E-2</v>
      </c>
      <c r="K213" s="29">
        <v>4074208881.9299998</v>
      </c>
      <c r="L213" s="30">
        <f t="shared" si="107"/>
        <v>7.2257854997983387E-2</v>
      </c>
      <c r="M213" s="60">
        <v>1.2506999999999999</v>
      </c>
      <c r="N213" s="60">
        <v>1.2506999999999999</v>
      </c>
      <c r="O213" s="32">
        <v>1536</v>
      </c>
      <c r="P213" s="50">
        <v>0.1193</v>
      </c>
      <c r="Q213" s="50">
        <v>9.9199999999999997E-2</v>
      </c>
      <c r="R213" s="57">
        <f t="shared" si="108"/>
        <v>3.7398943009784393E-3</v>
      </c>
      <c r="S213" s="57">
        <f t="shared" si="109"/>
        <v>2.1634615384614783E-3</v>
      </c>
      <c r="T213" s="57">
        <f t="shared" si="110"/>
        <v>1.4531043593130779E-2</v>
      </c>
      <c r="U213" s="57">
        <f t="shared" si="111"/>
        <v>1.84E-2</v>
      </c>
      <c r="V213" s="58">
        <f t="shared" si="112"/>
        <v>1.5000000000000013E-3</v>
      </c>
    </row>
    <row r="214" spans="1:22" ht="6" customHeight="1">
      <c r="A214" s="36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</row>
    <row r="215" spans="1:22">
      <c r="A215" s="178" t="s">
        <v>249</v>
      </c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</row>
    <row r="216" spans="1:22">
      <c r="A216" s="172">
        <v>180</v>
      </c>
      <c r="B216" s="133" t="s">
        <v>250</v>
      </c>
      <c r="C216" s="134" t="s">
        <v>233</v>
      </c>
      <c r="D216" s="29">
        <v>207589758.66999999</v>
      </c>
      <c r="E216" s="30">
        <f t="shared" ref="E216" si="119">(D216/$D$218)</f>
        <v>3.6899129964366637E-3</v>
      </c>
      <c r="F216" s="35">
        <v>1078.52</v>
      </c>
      <c r="G216" s="35">
        <v>1078.52</v>
      </c>
      <c r="H216" s="32">
        <v>96</v>
      </c>
      <c r="I216" s="50">
        <v>-4.4000000000000003E-3</v>
      </c>
      <c r="J216" s="50">
        <v>-8.3000000000000001E-3</v>
      </c>
      <c r="K216" s="29">
        <v>210818057.93000001</v>
      </c>
      <c r="L216" s="30">
        <f t="shared" ref="L216" si="120">(K216/$K$218)</f>
        <v>3.7389493524559378E-3</v>
      </c>
      <c r="M216" s="35">
        <v>1079.51</v>
      </c>
      <c r="N216" s="35">
        <v>1079.51</v>
      </c>
      <c r="O216" s="32">
        <v>99</v>
      </c>
      <c r="P216" s="50">
        <v>0</v>
      </c>
      <c r="Q216" s="50">
        <v>-8.3999999999999995E-3</v>
      </c>
      <c r="R216" s="57">
        <f t="shared" ref="R216" si="121">((K216-D216)/D216)</f>
        <v>1.5551341649430611E-2</v>
      </c>
      <c r="S216" s="57">
        <f t="shared" ref="S216" si="122">((N216-G216)/G216)</f>
        <v>9.1792456329044345E-4</v>
      </c>
      <c r="T216" s="57">
        <f t="shared" ref="T216" si="123">((O216-H216)/H216)</f>
        <v>3.125E-2</v>
      </c>
      <c r="U216" s="57">
        <f t="shared" ref="U216" si="124">P216-I216</f>
        <v>4.4000000000000003E-3</v>
      </c>
      <c r="V216" s="58">
        <f t="shared" ref="V216" si="125">Q216-J216</f>
        <v>-9.9999999999999395E-5</v>
      </c>
    </row>
    <row r="217" spans="1:22">
      <c r="A217" s="172">
        <v>181</v>
      </c>
      <c r="B217" s="133" t="s">
        <v>295</v>
      </c>
      <c r="C217" s="134" t="s">
        <v>296</v>
      </c>
      <c r="D217" s="29">
        <v>48242269.659999996</v>
      </c>
      <c r="E217" s="30">
        <f t="shared" ref="E217" si="126">(D217/$D$218)</f>
        <v>8.5750751355231176E-4</v>
      </c>
      <c r="F217" s="35">
        <v>101.01</v>
      </c>
      <c r="G217" s="35">
        <v>103.09</v>
      </c>
      <c r="H217" s="32">
        <v>153</v>
      </c>
      <c r="I217" s="50">
        <v>2.0500000000000001E-2</v>
      </c>
      <c r="J217" s="50">
        <v>1.29E-2</v>
      </c>
      <c r="K217" s="29">
        <v>48901476.584246598</v>
      </c>
      <c r="L217" s="30">
        <f t="shared" ref="L217" si="127">(K217/$K$218)</f>
        <v>8.6728881768523942E-4</v>
      </c>
      <c r="M217" s="35">
        <v>101.22</v>
      </c>
      <c r="N217" s="35">
        <v>103.3</v>
      </c>
      <c r="O217" s="32">
        <v>153</v>
      </c>
      <c r="P217" s="50">
        <v>2.2599999999999999E-2</v>
      </c>
      <c r="Q217" s="50">
        <v>1.29E-2</v>
      </c>
      <c r="R217" s="57">
        <f t="shared" ref="R217" si="128">((K217-D217)/D217)</f>
        <v>1.3664508923243762E-2</v>
      </c>
      <c r="S217" s="57">
        <f t="shared" ref="S217" si="129">((N217-G217)/G217)</f>
        <v>2.0370550004849522E-3</v>
      </c>
      <c r="T217" s="57">
        <f t="shared" ref="T217" si="130">((O217-H217)/H217)</f>
        <v>0</v>
      </c>
      <c r="U217" s="57">
        <f t="shared" ref="U217" si="131">P217-I217</f>
        <v>2.0999999999999977E-3</v>
      </c>
      <c r="V217" s="58">
        <f t="shared" ref="V217" si="132">Q217-J217</f>
        <v>0</v>
      </c>
    </row>
    <row r="218" spans="1:22">
      <c r="A218" s="36"/>
      <c r="B218" s="37"/>
      <c r="C218" s="71" t="s">
        <v>53</v>
      </c>
      <c r="D218" s="48">
        <f>SUM(D197:D217)</f>
        <v>56258713652.725334</v>
      </c>
      <c r="E218" s="40">
        <f>(D218/$D$219)</f>
        <v>1.1432424589955191E-2</v>
      </c>
      <c r="F218" s="41"/>
      <c r="G218" s="74"/>
      <c r="H218" s="84">
        <f>SUM(H197:H217)</f>
        <v>31379</v>
      </c>
      <c r="I218" s="81"/>
      <c r="J218" s="81"/>
      <c r="K218" s="48">
        <f>SUM(K197:K217)</f>
        <v>56384304267.594231</v>
      </c>
      <c r="L218" s="40">
        <f>(K218/$K$219)</f>
        <v>1.1215610309276406E-2</v>
      </c>
      <c r="M218" s="41"/>
      <c r="N218" s="74"/>
      <c r="O218" s="43">
        <f>SUM(O197:O217)</f>
        <v>31456</v>
      </c>
      <c r="P218" s="81"/>
      <c r="Q218" s="81"/>
      <c r="R218" s="57">
        <f t="shared" si="108"/>
        <v>2.2323762260926228E-3</v>
      </c>
      <c r="S218" s="57" t="e">
        <f t="shared" si="109"/>
        <v>#DIV/0!</v>
      </c>
      <c r="T218" s="57">
        <f t="shared" si="110"/>
        <v>2.4538704228942924E-3</v>
      </c>
      <c r="U218" s="57">
        <f t="shared" si="111"/>
        <v>0</v>
      </c>
      <c r="V218" s="58">
        <f t="shared" si="112"/>
        <v>0</v>
      </c>
    </row>
    <row r="219" spans="1:22">
      <c r="A219" s="85"/>
      <c r="B219" s="85"/>
      <c r="C219" s="86" t="s">
        <v>251</v>
      </c>
      <c r="D219" s="87">
        <f>SUM(D25,D69,D109,D148,D156,D187,D193,D218)</f>
        <v>4920978328792.6191</v>
      </c>
      <c r="E219" s="88"/>
      <c r="F219" s="88"/>
      <c r="G219" s="89"/>
      <c r="H219" s="87">
        <f>SUM(H25,H69,H109,H148,H156,H187,H193,H218)</f>
        <v>860131</v>
      </c>
      <c r="I219" s="111"/>
      <c r="J219" s="111"/>
      <c r="K219" s="87">
        <f>SUM(K25,K69,K109,K148,K156,K187,K193,K218)</f>
        <v>5027305934565.0498</v>
      </c>
      <c r="L219" s="88"/>
      <c r="M219" s="88"/>
      <c r="N219" s="89"/>
      <c r="O219" s="87">
        <f>SUM(O25,O69,O109,O148,O156,O187,O193,O218)</f>
        <v>864669</v>
      </c>
      <c r="P219" s="112"/>
      <c r="Q219" s="87"/>
      <c r="R219" s="118">
        <f t="shared" si="108"/>
        <v>2.1607005491226895E-2</v>
      </c>
      <c r="S219" s="118"/>
      <c r="T219" s="118"/>
      <c r="U219" s="118"/>
      <c r="V219" s="118"/>
    </row>
    <row r="220" spans="1:22" ht="6.75" customHeight="1">
      <c r="A220" s="36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37"/>
    </row>
    <row r="221" spans="1:22" ht="14.4" customHeight="1">
      <c r="A221" s="175" t="s">
        <v>252</v>
      </c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</row>
    <row r="222" spans="1:22" ht="14.4" customHeight="1">
      <c r="A222" s="135">
        <v>1</v>
      </c>
      <c r="B222" s="133" t="s">
        <v>253</v>
      </c>
      <c r="C222" s="134" t="s">
        <v>189</v>
      </c>
      <c r="D222" s="29">
        <v>4039754115.726265</v>
      </c>
      <c r="E222" s="30">
        <f t="shared" ref="E222" si="133">(D222/$D$218)</f>
        <v>7.180672741049364E-2</v>
      </c>
      <c r="F222" s="35">
        <v>123.2</v>
      </c>
      <c r="G222" s="35">
        <v>123.2</v>
      </c>
      <c r="H222" s="32">
        <v>9</v>
      </c>
      <c r="I222" s="50">
        <v>0.32385011751795284</v>
      </c>
      <c r="J222" s="50">
        <v>0.2375490385312739</v>
      </c>
      <c r="K222" s="29">
        <v>4048844318.235446</v>
      </c>
      <c r="L222" s="30">
        <f>(K222/$K$224)</f>
        <v>0.2616936251580137</v>
      </c>
      <c r="M222" s="35">
        <v>123.2</v>
      </c>
      <c r="N222" s="35">
        <v>123.2</v>
      </c>
      <c r="O222" s="32">
        <v>9</v>
      </c>
      <c r="P222" s="50">
        <v>0.29908324860364099</v>
      </c>
      <c r="Q222" s="50">
        <v>0.23667437685870607</v>
      </c>
      <c r="R222" s="57">
        <f t="shared" ref="R222" si="134">((K222-D222)/D222)</f>
        <v>2.2501870779199121E-3</v>
      </c>
      <c r="S222" s="57">
        <f t="shared" ref="S222" si="135">((N222-G222)/G222)</f>
        <v>0</v>
      </c>
      <c r="T222" s="57">
        <f t="shared" ref="T222" si="136">((O222-H222)/H222)</f>
        <v>0</v>
      </c>
      <c r="U222" s="57">
        <f t="shared" ref="U222" si="137">P222-I222</f>
        <v>-2.4766868914311846E-2</v>
      </c>
      <c r="V222" s="58">
        <f t="shared" ref="V222" si="138">Q222-J222</f>
        <v>-8.7466167256783356E-4</v>
      </c>
    </row>
    <row r="223" spans="1:22" ht="14.4" customHeight="1">
      <c r="A223" s="135">
        <v>2</v>
      </c>
      <c r="B223" s="133" t="s">
        <v>302</v>
      </c>
      <c r="C223" s="134" t="s">
        <v>41</v>
      </c>
      <c r="D223" s="29">
        <v>11436567268.139999</v>
      </c>
      <c r="E223" s="30">
        <f t="shared" ref="E223" si="139">(D223/$D$218)</f>
        <v>0.20328526063954858</v>
      </c>
      <c r="F223" s="35">
        <v>1.1000000000000001</v>
      </c>
      <c r="G223" s="35">
        <v>1.1000000000000001</v>
      </c>
      <c r="H223" s="32">
        <v>16</v>
      </c>
      <c r="I223" s="50">
        <v>4.1000000000000003E-3</v>
      </c>
      <c r="J223" s="50">
        <v>0.2064</v>
      </c>
      <c r="K223" s="29">
        <v>11422852081.67</v>
      </c>
      <c r="L223" s="30">
        <f>(K223/$K$224)</f>
        <v>0.73830637484198636</v>
      </c>
      <c r="M223" s="35">
        <v>1.1000000000000001</v>
      </c>
      <c r="N223" s="35">
        <v>1.1000000000000001</v>
      </c>
      <c r="O223" s="32">
        <v>16</v>
      </c>
      <c r="P223" s="50">
        <v>3.5999999999999999E-3</v>
      </c>
      <c r="Q223" s="50">
        <v>0.2056</v>
      </c>
      <c r="R223" s="57">
        <f t="shared" ref="R223:R224" si="140">((K223-D223)/D223)</f>
        <v>-1.1992397848441022E-3</v>
      </c>
      <c r="S223" s="57">
        <f t="shared" ref="S223" si="141">((N223-G223)/G223)</f>
        <v>0</v>
      </c>
      <c r="T223" s="57">
        <f t="shared" ref="T223" si="142">((O223-H223)/H223)</f>
        <v>0</v>
      </c>
      <c r="U223" s="57">
        <f t="shared" ref="U223" si="143">P223-I223</f>
        <v>-5.0000000000000044E-4</v>
      </c>
      <c r="V223" s="58">
        <f t="shared" ref="V223" si="144">Q223-J223</f>
        <v>-7.9999999999999516E-4</v>
      </c>
    </row>
    <row r="224" spans="1:22" ht="14.4" customHeight="1">
      <c r="A224" s="90"/>
      <c r="B224" s="90"/>
      <c r="C224" s="90" t="s">
        <v>53</v>
      </c>
      <c r="D224" s="90">
        <f>SUM(D222:D223)</f>
        <v>15476321383.866264</v>
      </c>
      <c r="E224" s="90"/>
      <c r="F224" s="90"/>
      <c r="G224" s="90"/>
      <c r="H224" s="90">
        <f>SUM(H222:H223)</f>
        <v>25</v>
      </c>
      <c r="I224" s="90"/>
      <c r="J224" s="90"/>
      <c r="K224" s="90">
        <f>SUM(K222:K223)</f>
        <v>15471696399.905445</v>
      </c>
      <c r="L224" s="40"/>
      <c r="M224" s="90"/>
      <c r="N224" s="90"/>
      <c r="O224" s="90">
        <f>SUM(O222:O223)</f>
        <v>25</v>
      </c>
      <c r="P224" s="90"/>
      <c r="Q224" s="90"/>
      <c r="R224" s="118">
        <f t="shared" si="140"/>
        <v>-2.9884258966350309E-4</v>
      </c>
      <c r="S224" s="90"/>
      <c r="T224" s="90"/>
      <c r="U224" s="90"/>
      <c r="V224" s="90"/>
    </row>
    <row r="225" spans="1:22" ht="6" customHeight="1">
      <c r="A225" s="36"/>
      <c r="B225" s="137"/>
      <c r="C225" s="71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37"/>
    </row>
    <row r="226" spans="1:22" ht="15.6">
      <c r="A226" s="175" t="s">
        <v>254</v>
      </c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</row>
    <row r="227" spans="1:22">
      <c r="A227" s="135">
        <v>1</v>
      </c>
      <c r="B227" s="133" t="s">
        <v>255</v>
      </c>
      <c r="C227" s="134" t="s">
        <v>256</v>
      </c>
      <c r="D227" s="29">
        <v>117431274879</v>
      </c>
      <c r="E227" s="30">
        <f>(D227/$D$229)</f>
        <v>0.89659369073419437</v>
      </c>
      <c r="F227" s="60">
        <v>111.28</v>
      </c>
      <c r="G227" s="60">
        <v>111.28</v>
      </c>
      <c r="H227" s="32">
        <v>0</v>
      </c>
      <c r="I227" s="50">
        <v>0.23899999999999999</v>
      </c>
      <c r="J227" s="50">
        <v>0.23899999999999999</v>
      </c>
      <c r="K227" s="29">
        <v>117431274879</v>
      </c>
      <c r="L227" s="30">
        <f>(K227/$K$229)</f>
        <v>0.89753391886077161</v>
      </c>
      <c r="M227" s="60">
        <v>111.28</v>
      </c>
      <c r="N227" s="60">
        <v>111.28</v>
      </c>
      <c r="O227" s="32">
        <v>0</v>
      </c>
      <c r="P227" s="50">
        <v>0.23899999999999999</v>
      </c>
      <c r="Q227" s="50">
        <v>0.23899999999999999</v>
      </c>
      <c r="R227" s="57">
        <f>((K227-D227)/D227)</f>
        <v>0</v>
      </c>
      <c r="S227" s="57">
        <f>((N227-G227)/G227)</f>
        <v>0</v>
      </c>
      <c r="T227" s="57" t="e">
        <f>((O227-H227)/H227)</f>
        <v>#DIV/0!</v>
      </c>
      <c r="U227" s="57">
        <f>P227-I227</f>
        <v>0</v>
      </c>
      <c r="V227" s="58">
        <f>Q227-J227</f>
        <v>0</v>
      </c>
    </row>
    <row r="228" spans="1:22">
      <c r="A228" s="135">
        <v>2</v>
      </c>
      <c r="B228" s="133" t="s">
        <v>257</v>
      </c>
      <c r="C228" s="134" t="s">
        <v>52</v>
      </c>
      <c r="D228" s="29">
        <v>13543631695.280001</v>
      </c>
      <c r="E228" s="30">
        <f>(D228/$D$229)</f>
        <v>0.10340630926580566</v>
      </c>
      <c r="F228" s="91">
        <v>1000000</v>
      </c>
      <c r="G228" s="91">
        <v>1000000</v>
      </c>
      <c r="H228" s="32">
        <v>26</v>
      </c>
      <c r="I228" s="50">
        <v>0.25729999999999997</v>
      </c>
      <c r="J228" s="50">
        <v>0.25729999999999997</v>
      </c>
      <c r="K228" s="29">
        <v>13406426528.49</v>
      </c>
      <c r="L228" s="30">
        <f>(K228/$K$229)</f>
        <v>0.10246608113922834</v>
      </c>
      <c r="M228" s="91">
        <v>1000000</v>
      </c>
      <c r="N228" s="91">
        <v>1000000</v>
      </c>
      <c r="O228" s="32">
        <v>26</v>
      </c>
      <c r="P228" s="50">
        <v>0.2031</v>
      </c>
      <c r="Q228" s="50">
        <v>0.2031</v>
      </c>
      <c r="R228" s="57">
        <f>((K228-D228)/D228)</f>
        <v>-1.0130603805315923E-2</v>
      </c>
      <c r="S228" s="57">
        <f>((N228-G228)/G228)</f>
        <v>0</v>
      </c>
      <c r="T228" s="57">
        <f>((O228-H228)/H228)</f>
        <v>0</v>
      </c>
      <c r="U228" s="57">
        <f>P228-I228</f>
        <v>-5.419999999999997E-2</v>
      </c>
      <c r="V228" s="58">
        <f>Q228-J228</f>
        <v>-5.419999999999997E-2</v>
      </c>
    </row>
    <row r="229" spans="1:22">
      <c r="A229" s="85"/>
      <c r="B229" s="85"/>
      <c r="C229" s="86" t="s">
        <v>258</v>
      </c>
      <c r="D229" s="90">
        <f>SUM(D227:D228)</f>
        <v>130974906574.28</v>
      </c>
      <c r="E229" s="92"/>
      <c r="F229" s="93"/>
      <c r="G229" s="93"/>
      <c r="H229" s="90">
        <f>SUM(H227:H228)</f>
        <v>26</v>
      </c>
      <c r="I229" s="113"/>
      <c r="J229" s="113"/>
      <c r="K229" s="90">
        <f>SUM(K227:K228)</f>
        <v>130837701407.49001</v>
      </c>
      <c r="L229" s="92"/>
      <c r="M229" s="93"/>
      <c r="N229" s="93"/>
      <c r="O229" s="90">
        <f>SUM(O227:O228)</f>
        <v>26</v>
      </c>
      <c r="P229" s="113"/>
      <c r="Q229" s="90"/>
      <c r="R229" s="118">
        <f>((K229-D229)/D229)</f>
        <v>-1.0475683501417878E-3</v>
      </c>
      <c r="S229" s="119"/>
      <c r="T229" s="119"/>
      <c r="U229" s="118"/>
      <c r="V229" s="120"/>
    </row>
    <row r="230" spans="1:22" ht="4.5" customHeight="1">
      <c r="A230" s="36"/>
      <c r="B230" s="176"/>
      <c r="C230" s="176"/>
      <c r="D230" s="176"/>
      <c r="E230" s="176"/>
      <c r="F230" s="176"/>
      <c r="G230" s="176"/>
      <c r="H230" s="176"/>
      <c r="I230" s="176"/>
      <c r="J230" s="176"/>
      <c r="K230" s="176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  <c r="V230" s="176"/>
    </row>
    <row r="231" spans="1:22" ht="15.6">
      <c r="A231" s="175" t="s">
        <v>259</v>
      </c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</row>
    <row r="232" spans="1:22">
      <c r="A232" s="135">
        <v>1</v>
      </c>
      <c r="B232" s="133" t="s">
        <v>260</v>
      </c>
      <c r="C232" s="134" t="s">
        <v>82</v>
      </c>
      <c r="D232" s="94">
        <v>993057310.60677624</v>
      </c>
      <c r="E232" s="95">
        <f t="shared" ref="E232:E243" si="145">(D232/$D$244)</f>
        <v>7.4933373946994092E-2</v>
      </c>
      <c r="F232" s="91">
        <v>234.01845424926975</v>
      </c>
      <c r="G232" s="91">
        <v>238.08202479321315</v>
      </c>
      <c r="H232" s="96">
        <v>254</v>
      </c>
      <c r="I232" s="52">
        <v>-7.6523117532656393E-4</v>
      </c>
      <c r="J232" s="52">
        <v>2.0399643539154688E-2</v>
      </c>
      <c r="K232" s="94">
        <v>1038625754.02</v>
      </c>
      <c r="L232" s="95">
        <f t="shared" ref="L232:L243" si="146">(K232/$K$244)</f>
        <v>7.794365850434784E-2</v>
      </c>
      <c r="M232" s="91">
        <v>253.78</v>
      </c>
      <c r="N232" s="91">
        <v>253.78</v>
      </c>
      <c r="O232" s="96">
        <v>254</v>
      </c>
      <c r="P232" s="52">
        <v>8.4400000000000003E-2</v>
      </c>
      <c r="Q232" s="52">
        <v>0.10656666957355898</v>
      </c>
      <c r="R232" s="57">
        <f>((K232-D232)/D232)</f>
        <v>4.5887022759422198E-2</v>
      </c>
      <c r="S232" s="57">
        <f>((N232-G232)/G232)</f>
        <v>6.5935154997196335E-2</v>
      </c>
      <c r="T232" s="57">
        <f>((O232-H232)/H232)</f>
        <v>0</v>
      </c>
      <c r="U232" s="57">
        <f>P232-I232</f>
        <v>8.5165231175326567E-2</v>
      </c>
      <c r="V232" s="58">
        <f>Q232-J232</f>
        <v>8.6167026034404293E-2</v>
      </c>
    </row>
    <row r="233" spans="1:22">
      <c r="A233" s="135">
        <v>2</v>
      </c>
      <c r="B233" s="133" t="s">
        <v>261</v>
      </c>
      <c r="C233" s="134" t="s">
        <v>233</v>
      </c>
      <c r="D233" s="94">
        <v>1160328151.8699999</v>
      </c>
      <c r="E233" s="95">
        <f t="shared" si="145"/>
        <v>8.7555171666953285E-2</v>
      </c>
      <c r="F233" s="91">
        <v>33</v>
      </c>
      <c r="G233" s="91">
        <v>36.479999999999997</v>
      </c>
      <c r="H233" s="96">
        <v>220</v>
      </c>
      <c r="I233" s="52">
        <v>8.0000000000000004E-4</v>
      </c>
      <c r="J233" s="52">
        <v>7.6200000000000004E-2</v>
      </c>
      <c r="K233" s="94">
        <v>1141776628.5899999</v>
      </c>
      <c r="L233" s="95">
        <f t="shared" si="146"/>
        <v>8.5684614773523959E-2</v>
      </c>
      <c r="M233" s="91">
        <v>32.479999999999997</v>
      </c>
      <c r="N233" s="91">
        <v>35.89</v>
      </c>
      <c r="O233" s="96">
        <v>230</v>
      </c>
      <c r="P233" s="52">
        <v>-1.26E-2</v>
      </c>
      <c r="Q233" s="52">
        <v>5.8999999999999997E-2</v>
      </c>
      <c r="R233" s="57">
        <f t="shared" ref="R233:R244" si="147">((K233-D233)/D233)</f>
        <v>-1.5988169596766307E-2</v>
      </c>
      <c r="S233" s="57">
        <f t="shared" ref="S233:S244" si="148">((N233-G233)/G233)</f>
        <v>-1.6173245614034989E-2</v>
      </c>
      <c r="T233" s="57">
        <f t="shared" ref="T233:T244" si="149">((O233-H233)/H233)</f>
        <v>4.5454545454545456E-2</v>
      </c>
      <c r="U233" s="57">
        <f t="shared" ref="U233:U244" si="150">P233-I233</f>
        <v>-1.34E-2</v>
      </c>
      <c r="V233" s="58">
        <f t="shared" ref="V233:V244" si="151">Q233-J233</f>
        <v>-1.7200000000000007E-2</v>
      </c>
    </row>
    <row r="234" spans="1:22">
      <c r="A234" s="135">
        <v>3</v>
      </c>
      <c r="B234" s="133" t="s">
        <v>262</v>
      </c>
      <c r="C234" s="134" t="s">
        <v>43</v>
      </c>
      <c r="D234" s="94">
        <v>394354288.5</v>
      </c>
      <c r="E234" s="95">
        <f t="shared" si="145"/>
        <v>2.9756890213834201E-2</v>
      </c>
      <c r="F234" s="91">
        <v>29.045261</v>
      </c>
      <c r="G234" s="91">
        <v>29.423935</v>
      </c>
      <c r="H234" s="96">
        <v>167</v>
      </c>
      <c r="I234" s="52">
        <v>-4.3234891219627869E-3</v>
      </c>
      <c r="J234" s="52">
        <v>1.5657990726524851E-2</v>
      </c>
      <c r="K234" s="94">
        <v>382202161.67000002</v>
      </c>
      <c r="L234" s="95">
        <f t="shared" si="146"/>
        <v>2.8682357098817307E-2</v>
      </c>
      <c r="M234" s="91">
        <v>28.516387999999999</v>
      </c>
      <c r="N234" s="91">
        <v>28.870381999999999</v>
      </c>
      <c r="O234" s="96">
        <v>167</v>
      </c>
      <c r="P234" s="52">
        <v>-1.8208580930795804E-2</v>
      </c>
      <c r="Q234" s="52">
        <v>-2.8356999956286044E-3</v>
      </c>
      <c r="R234" s="57">
        <f t="shared" si="147"/>
        <v>-3.0815252133361757E-2</v>
      </c>
      <c r="S234" s="57">
        <f t="shared" si="148"/>
        <v>-1.8813017361545996E-2</v>
      </c>
      <c r="T234" s="57">
        <f t="shared" si="149"/>
        <v>0</v>
      </c>
      <c r="U234" s="57">
        <f t="shared" si="150"/>
        <v>-1.3885091808833017E-2</v>
      </c>
      <c r="V234" s="58">
        <f t="shared" si="151"/>
        <v>-1.8493690722153455E-2</v>
      </c>
    </row>
    <row r="235" spans="1:22">
      <c r="A235" s="135">
        <v>4</v>
      </c>
      <c r="B235" s="133" t="s">
        <v>263</v>
      </c>
      <c r="C235" s="134" t="s">
        <v>43</v>
      </c>
      <c r="D235" s="94">
        <v>869440180.33000004</v>
      </c>
      <c r="E235" s="95">
        <f t="shared" si="145"/>
        <v>6.5605565218992218E-2</v>
      </c>
      <c r="F235" s="91">
        <v>64.669683000000006</v>
      </c>
      <c r="G235" s="91">
        <v>65.243408000000002</v>
      </c>
      <c r="H235" s="96">
        <v>460</v>
      </c>
      <c r="I235" s="52">
        <v>4.3678678658887193E-4</v>
      </c>
      <c r="J235" s="52">
        <v>-2.5151419254186402E-2</v>
      </c>
      <c r="K235" s="94">
        <v>853080069.95000005</v>
      </c>
      <c r="L235" s="95">
        <f t="shared" si="146"/>
        <v>6.4019384645229577E-2</v>
      </c>
      <c r="M235" s="91">
        <v>64.013845000000003</v>
      </c>
      <c r="N235" s="91">
        <v>64.570018000000005</v>
      </c>
      <c r="O235" s="96">
        <v>460</v>
      </c>
      <c r="P235" s="52">
        <v>-1.0141353249639162E-2</v>
      </c>
      <c r="Q235" s="52">
        <v>-3.5037703076439053E-2</v>
      </c>
      <c r="R235" s="57">
        <f t="shared" si="147"/>
        <v>-1.8816832658677493E-2</v>
      </c>
      <c r="S235" s="57">
        <f t="shared" si="148"/>
        <v>-1.0321195974312036E-2</v>
      </c>
      <c r="T235" s="57">
        <f t="shared" si="149"/>
        <v>0</v>
      </c>
      <c r="U235" s="57">
        <f t="shared" si="150"/>
        <v>-1.0578140036228034E-2</v>
      </c>
      <c r="V235" s="58">
        <f t="shared" si="151"/>
        <v>-9.8862838222526506E-3</v>
      </c>
    </row>
    <row r="236" spans="1:22">
      <c r="A236" s="135">
        <v>5</v>
      </c>
      <c r="B236" s="133" t="s">
        <v>264</v>
      </c>
      <c r="C236" s="134" t="s">
        <v>265</v>
      </c>
      <c r="D236" s="94">
        <v>1466703894.6600001</v>
      </c>
      <c r="E236" s="95">
        <f t="shared" si="145"/>
        <v>0.11067344274512857</v>
      </c>
      <c r="F236" s="91">
        <v>42750</v>
      </c>
      <c r="G236" s="91">
        <v>46000</v>
      </c>
      <c r="H236" s="96">
        <v>228</v>
      </c>
      <c r="I236" s="52">
        <v>-7.0000000000000001E-3</v>
      </c>
      <c r="J236" s="52">
        <v>0.17</v>
      </c>
      <c r="K236" s="94">
        <v>1632684072.26</v>
      </c>
      <c r="L236" s="95">
        <f t="shared" si="146"/>
        <v>0.12252475858717338</v>
      </c>
      <c r="M236" s="91">
        <v>47100</v>
      </c>
      <c r="N236" s="91">
        <v>49900</v>
      </c>
      <c r="O236" s="96">
        <v>228</v>
      </c>
      <c r="P236" s="52">
        <v>0.113</v>
      </c>
      <c r="Q236" s="52">
        <v>0.3</v>
      </c>
      <c r="R236" s="57">
        <f t="shared" si="147"/>
        <v>0.1131654304623471</v>
      </c>
      <c r="S236" s="57">
        <f t="shared" si="148"/>
        <v>8.478260869565217E-2</v>
      </c>
      <c r="T236" s="57">
        <f t="shared" si="149"/>
        <v>0</v>
      </c>
      <c r="U236" s="57">
        <f t="shared" si="150"/>
        <v>0.12000000000000001</v>
      </c>
      <c r="V236" s="58">
        <f t="shared" si="151"/>
        <v>0.12999999999999998</v>
      </c>
    </row>
    <row r="237" spans="1:22">
      <c r="A237" s="135">
        <v>6</v>
      </c>
      <c r="B237" s="133" t="s">
        <v>266</v>
      </c>
      <c r="C237" s="134" t="s">
        <v>267</v>
      </c>
      <c r="D237" s="94">
        <v>1040004045.75</v>
      </c>
      <c r="E237" s="95">
        <f t="shared" si="145"/>
        <v>7.8475845486655968E-2</v>
      </c>
      <c r="F237" s="91">
        <v>300</v>
      </c>
      <c r="G237" s="91">
        <v>300</v>
      </c>
      <c r="H237" s="96">
        <v>141</v>
      </c>
      <c r="I237" s="52">
        <v>5.0000000000000001E-3</v>
      </c>
      <c r="J237" s="52">
        <v>7.4800000000000005E-2</v>
      </c>
      <c r="K237" s="94">
        <v>1025851000.87</v>
      </c>
      <c r="L237" s="95">
        <f t="shared" si="146"/>
        <v>7.698497729203721E-2</v>
      </c>
      <c r="M237" s="91">
        <v>312</v>
      </c>
      <c r="N237" s="91">
        <v>312</v>
      </c>
      <c r="O237" s="96">
        <v>141</v>
      </c>
      <c r="P237" s="52">
        <v>-1.3599999999999999E-2</v>
      </c>
      <c r="Q237" s="52">
        <v>6.0499999999999998E-2</v>
      </c>
      <c r="R237" s="57">
        <f t="shared" si="147"/>
        <v>-1.3608644060411816E-2</v>
      </c>
      <c r="S237" s="57">
        <f t="shared" si="148"/>
        <v>0.04</v>
      </c>
      <c r="T237" s="57">
        <f t="shared" si="149"/>
        <v>0</v>
      </c>
      <c r="U237" s="57">
        <f t="shared" si="150"/>
        <v>-1.8599999999999998E-2</v>
      </c>
      <c r="V237" s="58">
        <f t="shared" si="151"/>
        <v>-1.4300000000000007E-2</v>
      </c>
    </row>
    <row r="238" spans="1:22">
      <c r="A238" s="135">
        <v>7</v>
      </c>
      <c r="B238" s="133" t="s">
        <v>268</v>
      </c>
      <c r="C238" s="134" t="s">
        <v>267</v>
      </c>
      <c r="D238" s="94">
        <v>861228989.12</v>
      </c>
      <c r="E238" s="95">
        <f t="shared" si="145"/>
        <v>6.4985971309439047E-2</v>
      </c>
      <c r="F238" s="91">
        <v>350</v>
      </c>
      <c r="G238" s="91">
        <v>350</v>
      </c>
      <c r="H238" s="96">
        <v>630</v>
      </c>
      <c r="I238" s="52">
        <v>6.9999999999999999E-4</v>
      </c>
      <c r="J238" s="52">
        <v>2.8799999999999999E-2</v>
      </c>
      <c r="K238" s="94">
        <v>853824201.39999998</v>
      </c>
      <c r="L238" s="95">
        <f t="shared" si="146"/>
        <v>6.4075227981866129E-2</v>
      </c>
      <c r="M238" s="91">
        <v>315</v>
      </c>
      <c r="N238" s="91">
        <v>315</v>
      </c>
      <c r="O238" s="96">
        <v>630</v>
      </c>
      <c r="P238" s="52">
        <v>6.9999999999999999E-4</v>
      </c>
      <c r="Q238" s="52">
        <v>2.8799999999999999E-2</v>
      </c>
      <c r="R238" s="57">
        <f t="shared" si="147"/>
        <v>-8.5979313440972399E-3</v>
      </c>
      <c r="S238" s="57">
        <f t="shared" si="148"/>
        <v>-0.1</v>
      </c>
      <c r="T238" s="57">
        <f t="shared" si="149"/>
        <v>0</v>
      </c>
      <c r="U238" s="57">
        <f t="shared" si="150"/>
        <v>0</v>
      </c>
      <c r="V238" s="58">
        <f t="shared" si="151"/>
        <v>0</v>
      </c>
    </row>
    <row r="239" spans="1:22">
      <c r="A239" s="135">
        <v>8</v>
      </c>
      <c r="B239" s="133" t="s">
        <v>269</v>
      </c>
      <c r="C239" s="134" t="s">
        <v>270</v>
      </c>
      <c r="D239" s="94">
        <v>62808301.810000002</v>
      </c>
      <c r="E239" s="95">
        <f t="shared" si="145"/>
        <v>4.739341744162455E-3</v>
      </c>
      <c r="F239" s="91">
        <v>17.940000000000001</v>
      </c>
      <c r="G239" s="91">
        <v>18.04</v>
      </c>
      <c r="H239" s="96">
        <v>84</v>
      </c>
      <c r="I239" s="52">
        <v>9.1700000000000004E-2</v>
      </c>
      <c r="J239" s="52">
        <v>0.1424</v>
      </c>
      <c r="K239" s="94">
        <v>62447259.399999999</v>
      </c>
      <c r="L239" s="95">
        <f t="shared" si="146"/>
        <v>4.686353907908487E-3</v>
      </c>
      <c r="M239" s="91">
        <v>17.829999999999998</v>
      </c>
      <c r="N239" s="91">
        <v>17.93</v>
      </c>
      <c r="O239" s="96">
        <v>84</v>
      </c>
      <c r="P239" s="52">
        <v>5.1000000000000004E-3</v>
      </c>
      <c r="Q239" s="52">
        <v>0.14829999999999999</v>
      </c>
      <c r="R239" s="57">
        <f t="shared" si="147"/>
        <v>-5.7483230655110728E-3</v>
      </c>
      <c r="S239" s="57">
        <f t="shared" si="148"/>
        <v>-6.0975609756097251E-3</v>
      </c>
      <c r="T239" s="57">
        <f t="shared" si="149"/>
        <v>0</v>
      </c>
      <c r="U239" s="57">
        <f t="shared" si="150"/>
        <v>-8.660000000000001E-2</v>
      </c>
      <c r="V239" s="58">
        <f t="shared" si="151"/>
        <v>5.8999999999999886E-3</v>
      </c>
    </row>
    <row r="240" spans="1:22">
      <c r="A240" s="135">
        <v>9</v>
      </c>
      <c r="B240" s="133" t="s">
        <v>271</v>
      </c>
      <c r="C240" s="134" t="s">
        <v>270</v>
      </c>
      <c r="D240" s="97">
        <v>703380914.38</v>
      </c>
      <c r="E240" s="95">
        <f t="shared" si="145"/>
        <v>5.3075189640576136E-2</v>
      </c>
      <c r="F240" s="91">
        <v>11.57</v>
      </c>
      <c r="G240" s="91">
        <v>11.67</v>
      </c>
      <c r="H240" s="96">
        <v>127</v>
      </c>
      <c r="I240" s="52">
        <v>0</v>
      </c>
      <c r="J240" s="52">
        <v>0.1651</v>
      </c>
      <c r="K240" s="97">
        <v>689127169.70000005</v>
      </c>
      <c r="L240" s="95">
        <f t="shared" si="146"/>
        <v>5.1715541014911381E-2</v>
      </c>
      <c r="M240" s="91">
        <v>11.32</v>
      </c>
      <c r="N240" s="91">
        <v>11.42</v>
      </c>
      <c r="O240" s="96">
        <v>127</v>
      </c>
      <c r="P240" s="52">
        <v>-8.0000000000000004E-4</v>
      </c>
      <c r="Q240" s="52">
        <v>0.16420000000000001</v>
      </c>
      <c r="R240" s="57">
        <f t="shared" si="147"/>
        <v>-2.0264616779606552E-2</v>
      </c>
      <c r="S240" s="57">
        <f t="shared" si="148"/>
        <v>-2.1422450728363324E-2</v>
      </c>
      <c r="T240" s="57">
        <f t="shared" si="149"/>
        <v>0</v>
      </c>
      <c r="U240" s="57">
        <f t="shared" si="150"/>
        <v>-8.0000000000000004E-4</v>
      </c>
      <c r="V240" s="58">
        <f t="shared" si="151"/>
        <v>-8.9999999999998415E-4</v>
      </c>
    </row>
    <row r="241" spans="1:26" ht="15" customHeight="1">
      <c r="A241" s="135">
        <v>10</v>
      </c>
      <c r="B241" s="133" t="s">
        <v>272</v>
      </c>
      <c r="C241" s="134" t="s">
        <v>270</v>
      </c>
      <c r="D241" s="94">
        <v>97627863.299999997</v>
      </c>
      <c r="E241" s="95">
        <f t="shared" si="145"/>
        <v>7.3667301072834991E-3</v>
      </c>
      <c r="F241" s="91">
        <v>133.46</v>
      </c>
      <c r="G241" s="91">
        <v>135.46</v>
      </c>
      <c r="H241" s="96">
        <v>304</v>
      </c>
      <c r="I241" s="52">
        <v>-0.23519999999999999</v>
      </c>
      <c r="J241" s="52">
        <v>-6.7299999999999999E-2</v>
      </c>
      <c r="K241" s="94">
        <v>97591094.689999998</v>
      </c>
      <c r="L241" s="95">
        <f t="shared" si="146"/>
        <v>7.3237226480678619E-3</v>
      </c>
      <c r="M241" s="91">
        <v>133.41</v>
      </c>
      <c r="N241" s="91">
        <v>135.41</v>
      </c>
      <c r="O241" s="96">
        <v>304</v>
      </c>
      <c r="P241" s="52">
        <v>3.5499999999999997E-2</v>
      </c>
      <c r="Q241" s="52">
        <v>-3.4099999999999998E-2</v>
      </c>
      <c r="R241" s="57">
        <f t="shared" si="147"/>
        <v>-3.7662004224156163E-4</v>
      </c>
      <c r="S241" s="57">
        <f t="shared" si="148"/>
        <v>-3.6911265318183495E-4</v>
      </c>
      <c r="T241" s="57">
        <f t="shared" si="149"/>
        <v>0</v>
      </c>
      <c r="U241" s="57">
        <f t="shared" si="150"/>
        <v>0.2707</v>
      </c>
      <c r="V241" s="58">
        <f t="shared" si="151"/>
        <v>3.32E-2</v>
      </c>
    </row>
    <row r="242" spans="1:26">
      <c r="A242" s="135">
        <v>11</v>
      </c>
      <c r="B242" s="133" t="s">
        <v>273</v>
      </c>
      <c r="C242" s="134" t="s">
        <v>270</v>
      </c>
      <c r="D242" s="94">
        <v>5542375758.6400003</v>
      </c>
      <c r="E242" s="95">
        <f t="shared" si="145"/>
        <v>0.41821243430871557</v>
      </c>
      <c r="F242" s="91">
        <v>39.43</v>
      </c>
      <c r="G242" s="91">
        <v>39.630000000000003</v>
      </c>
      <c r="H242" s="96">
        <v>288</v>
      </c>
      <c r="I242" s="52">
        <v>6.3299999999999995E-2</v>
      </c>
      <c r="J242" s="52">
        <v>0.11700000000000001</v>
      </c>
      <c r="K242" s="94">
        <v>5487170609.4499998</v>
      </c>
      <c r="L242" s="95">
        <f t="shared" si="146"/>
        <v>0.41178465918324353</v>
      </c>
      <c r="M242" s="91">
        <v>39.04</v>
      </c>
      <c r="N242" s="91">
        <v>39.24</v>
      </c>
      <c r="O242" s="96">
        <v>288</v>
      </c>
      <c r="P242" s="52">
        <v>-4.2900000000000001E-2</v>
      </c>
      <c r="Q242" s="52">
        <v>6.9099999999999995E-2</v>
      </c>
      <c r="R242" s="57">
        <f t="shared" si="147"/>
        <v>-9.9605569153158411E-3</v>
      </c>
      <c r="S242" s="57">
        <f t="shared" si="148"/>
        <v>-9.8410295230885823E-3</v>
      </c>
      <c r="T242" s="57">
        <f t="shared" si="149"/>
        <v>0</v>
      </c>
      <c r="U242" s="57">
        <f t="shared" si="150"/>
        <v>-0.10619999999999999</v>
      </c>
      <c r="V242" s="58">
        <f t="shared" si="151"/>
        <v>-4.7900000000000012E-2</v>
      </c>
    </row>
    <row r="243" spans="1:26">
      <c r="A243" s="135">
        <v>12</v>
      </c>
      <c r="B243" s="133" t="s">
        <v>274</v>
      </c>
      <c r="C243" s="134" t="s">
        <v>270</v>
      </c>
      <c r="D243" s="97">
        <v>61227298.890000001</v>
      </c>
      <c r="E243" s="95">
        <f t="shared" si="145"/>
        <v>4.6200436112649058E-3</v>
      </c>
      <c r="F243" s="91">
        <v>34.72</v>
      </c>
      <c r="G243" s="91">
        <v>34.92</v>
      </c>
      <c r="H243" s="96">
        <v>73</v>
      </c>
      <c r="I243" s="52">
        <v>0</v>
      </c>
      <c r="J243" s="52">
        <v>-4.4200000000000003E-2</v>
      </c>
      <c r="K243" s="97">
        <v>60960024.259999998</v>
      </c>
      <c r="L243" s="95">
        <f t="shared" si="146"/>
        <v>4.5747443628734678E-3</v>
      </c>
      <c r="M243" s="91">
        <v>34.630000000000003</v>
      </c>
      <c r="N243" s="91">
        <v>34.83</v>
      </c>
      <c r="O243" s="96">
        <v>73</v>
      </c>
      <c r="P243" s="52">
        <v>0</v>
      </c>
      <c r="Q243" s="52">
        <v>-4.4200000000000003E-2</v>
      </c>
      <c r="R243" s="57">
        <f t="shared" si="147"/>
        <v>-4.3652853358790832E-3</v>
      </c>
      <c r="S243" s="57">
        <f t="shared" si="148"/>
        <v>-2.5773195876289635E-3</v>
      </c>
      <c r="T243" s="57">
        <f t="shared" si="149"/>
        <v>0</v>
      </c>
      <c r="U243" s="57">
        <f t="shared" si="150"/>
        <v>0</v>
      </c>
      <c r="V243" s="58">
        <f t="shared" si="151"/>
        <v>0</v>
      </c>
    </row>
    <row r="244" spans="1:26">
      <c r="A244" s="130"/>
      <c r="B244" s="130"/>
      <c r="C244" s="131" t="s">
        <v>275</v>
      </c>
      <c r="D244" s="90">
        <f>SUM(D232:D243)</f>
        <v>13252536997.856777</v>
      </c>
      <c r="E244" s="92"/>
      <c r="F244" s="92"/>
      <c r="G244" s="93"/>
      <c r="H244" s="90">
        <f>SUM(H232:H243)</f>
        <v>2976</v>
      </c>
      <c r="I244" s="113"/>
      <c r="J244" s="113"/>
      <c r="K244" s="90">
        <f>SUM(K232:K243)</f>
        <v>13325340046.259998</v>
      </c>
      <c r="L244" s="92"/>
      <c r="M244" s="92"/>
      <c r="N244" s="93"/>
      <c r="O244" s="90">
        <f>SUM(O232:O243)</f>
        <v>2986</v>
      </c>
      <c r="P244" s="113"/>
      <c r="Q244" s="113"/>
      <c r="R244" s="57">
        <f t="shared" si="147"/>
        <v>5.4935178385085784E-3</v>
      </c>
      <c r="S244" s="57" t="e">
        <f t="shared" si="148"/>
        <v>#DIV/0!</v>
      </c>
      <c r="T244" s="57">
        <f t="shared" si="149"/>
        <v>3.3602150537634409E-3</v>
      </c>
      <c r="U244" s="57">
        <f t="shared" si="150"/>
        <v>0</v>
      </c>
      <c r="V244" s="58">
        <f t="shared" si="151"/>
        <v>0</v>
      </c>
      <c r="Z244" s="65"/>
    </row>
    <row r="245" spans="1:26">
      <c r="A245" s="98"/>
      <c r="B245" s="98"/>
      <c r="C245" s="99" t="s">
        <v>276</v>
      </c>
      <c r="D245" s="100">
        <f>SUM(D219,D224,D229,D244)</f>
        <v>5080682093748.6221</v>
      </c>
      <c r="E245" s="101"/>
      <c r="F245" s="101"/>
      <c r="G245" s="102"/>
      <c r="H245" s="100">
        <f>SUM(H219,H224,H229,H244)</f>
        <v>863158</v>
      </c>
      <c r="I245" s="114"/>
      <c r="J245" s="114"/>
      <c r="K245" s="100">
        <f>SUM(K219,K224,K229,K244)</f>
        <v>5186940672418.7051</v>
      </c>
      <c r="L245" s="101"/>
      <c r="M245" s="101"/>
      <c r="N245" s="100"/>
      <c r="O245" s="100">
        <f>SUM(O219,O224,O229,O244)</f>
        <v>867706</v>
      </c>
      <c r="P245" s="115"/>
      <c r="Q245" s="100"/>
      <c r="R245" s="121"/>
      <c r="S245" s="122"/>
      <c r="T245" s="122"/>
      <c r="U245" s="123"/>
      <c r="V245" s="123"/>
      <c r="Z245" s="65"/>
    </row>
    <row r="246" spans="1:26">
      <c r="A246" s="103" t="s">
        <v>277</v>
      </c>
      <c r="B246" s="128" t="s">
        <v>313</v>
      </c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</row>
    <row r="247" spans="1:26">
      <c r="B247" s="127"/>
    </row>
    <row r="248" spans="1:26">
      <c r="B248" s="127"/>
      <c r="C248" s="105"/>
      <c r="D248" s="106"/>
      <c r="K248" s="106"/>
    </row>
    <row r="249" spans="1:26" ht="15">
      <c r="B249" s="107"/>
      <c r="C249" s="108"/>
      <c r="D249" s="109"/>
      <c r="F249" s="110"/>
      <c r="G249" s="110"/>
      <c r="I249" s="116"/>
      <c r="J249" s="117"/>
    </row>
    <row r="252" spans="1:26">
      <c r="B252" s="105"/>
    </row>
  </sheetData>
  <sheetProtection algorithmName="SHA-512" hashValue="T71Rfu2b/R8yMsacY18DNc84T2CdouYJArDm18VaOrAMrLwLa2sJ+DSg9p8DZTGVVjGzNiDOWevtg0rElRUfag==" saltValue="hztAU7sjjb+xXe9zZ8X4cQ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70:V70"/>
    <mergeCell ref="A71:V71"/>
    <mergeCell ref="B110:V110"/>
    <mergeCell ref="A111:V111"/>
    <mergeCell ref="A112:V112"/>
    <mergeCell ref="B130:V130"/>
    <mergeCell ref="A131:V131"/>
    <mergeCell ref="B149:V149"/>
    <mergeCell ref="A150:V150"/>
    <mergeCell ref="B157:V157"/>
    <mergeCell ref="A158:V158"/>
    <mergeCell ref="B188:V188"/>
    <mergeCell ref="A189:V189"/>
    <mergeCell ref="B194:V194"/>
    <mergeCell ref="A195:V195"/>
    <mergeCell ref="A196:V196"/>
    <mergeCell ref="A221:V221"/>
    <mergeCell ref="A226:V226"/>
    <mergeCell ref="B230:V230"/>
    <mergeCell ref="A231:V231"/>
    <mergeCell ref="B199:V199"/>
    <mergeCell ref="A200:V200"/>
    <mergeCell ref="B214:V214"/>
    <mergeCell ref="A215:V215"/>
    <mergeCell ref="B220:U220"/>
  </mergeCells>
  <pageMargins left="0.7" right="0.7" top="0.75" bottom="0.75" header="0.3" footer="0.3"/>
  <pageSetup paperSize="9" orientation="portrait" horizontalDpi="300" verticalDpi="300" r:id="rId1"/>
  <ignoredErrors>
    <ignoredError sqref="L95 E95 E76 L49 E49 L34 E34 L135 E135 F139" formula="1"/>
    <ignoredError sqref="S156 S25 T39 S69 S109 S148 S187 S193 S218 S244 T227:T228 R50:T50 R135 T166 R124:T124 R46:T46" evalError="1"/>
    <ignoredError sqref="P121:Q121 I1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E7" sqref="E7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50"/>
      <c r="B1" s="150"/>
      <c r="C1" s="150"/>
      <c r="D1" s="150"/>
      <c r="E1" s="19"/>
      <c r="F1" s="15"/>
    </row>
    <row r="2" spans="1:6" ht="27.6">
      <c r="A2" s="158" t="s">
        <v>278</v>
      </c>
      <c r="B2" s="159" t="s">
        <v>310</v>
      </c>
      <c r="C2" s="159" t="s">
        <v>318</v>
      </c>
      <c r="D2" s="160"/>
      <c r="E2" s="19"/>
      <c r="F2" s="15"/>
    </row>
    <row r="3" spans="1:6">
      <c r="A3" s="161" t="s">
        <v>17</v>
      </c>
      <c r="B3" s="162">
        <f t="shared" ref="B3:C10" si="0">B13</f>
        <v>37.097805539873704</v>
      </c>
      <c r="C3" s="162">
        <f t="shared" si="0"/>
        <v>36.611510201960002</v>
      </c>
      <c r="D3" s="160"/>
      <c r="E3" s="19"/>
      <c r="F3" s="15"/>
    </row>
    <row r="4" spans="1:6" ht="17.25" customHeight="1">
      <c r="A4" s="158" t="s">
        <v>54</v>
      </c>
      <c r="B4" s="163">
        <f t="shared" si="0"/>
        <v>2556.1306286649051</v>
      </c>
      <c r="C4" s="163">
        <f t="shared" si="0"/>
        <v>2628.9623770447274</v>
      </c>
      <c r="D4" s="160"/>
      <c r="E4" s="19"/>
      <c r="F4" s="15"/>
    </row>
    <row r="5" spans="1:6" ht="19.5" customHeight="1">
      <c r="A5" s="158" t="s">
        <v>279</v>
      </c>
      <c r="B5" s="162">
        <f t="shared" si="0"/>
        <v>200.66214858212146</v>
      </c>
      <c r="C5" s="162">
        <f t="shared" si="0"/>
        <v>208.69720878068358</v>
      </c>
      <c r="D5" s="160"/>
      <c r="E5" s="19"/>
      <c r="F5" s="15"/>
    </row>
    <row r="6" spans="1:6">
      <c r="A6" s="158" t="s">
        <v>157</v>
      </c>
      <c r="B6" s="163">
        <f t="shared" si="0"/>
        <v>1905.4364957549351</v>
      </c>
      <c r="C6" s="163">
        <f t="shared" si="0"/>
        <v>1931.2870687030197</v>
      </c>
      <c r="D6" s="160"/>
      <c r="E6" s="19"/>
      <c r="F6" s="15"/>
    </row>
    <row r="7" spans="1:6">
      <c r="A7" s="158" t="s">
        <v>280</v>
      </c>
      <c r="B7" s="162">
        <f t="shared" si="0"/>
        <v>101.41608429950922</v>
      </c>
      <c r="C7" s="162">
        <f t="shared" si="0"/>
        <v>101.44890023100531</v>
      </c>
      <c r="D7" s="160"/>
      <c r="E7" s="19"/>
      <c r="F7" s="15"/>
    </row>
    <row r="8" spans="1:6">
      <c r="A8" s="158" t="s">
        <v>194</v>
      </c>
      <c r="B8" s="164">
        <f t="shared" si="0"/>
        <v>57.167466185858181</v>
      </c>
      <c r="C8" s="164">
        <f t="shared" si="0"/>
        <v>57.12527213611007</v>
      </c>
      <c r="D8" s="160"/>
      <c r="E8" s="19"/>
      <c r="F8" s="15"/>
    </row>
    <row r="9" spans="1:6">
      <c r="A9" s="158" t="s">
        <v>225</v>
      </c>
      <c r="B9" s="162">
        <f t="shared" si="0"/>
        <v>6.8089861126900004</v>
      </c>
      <c r="C9" s="162">
        <f t="shared" si="0"/>
        <v>6.7892931999500004</v>
      </c>
      <c r="D9" s="160"/>
      <c r="E9" s="19"/>
      <c r="F9" s="15"/>
    </row>
    <row r="10" spans="1:6">
      <c r="A10" s="158" t="s">
        <v>281</v>
      </c>
      <c r="B10" s="162">
        <f t="shared" si="0"/>
        <v>56.258713652725334</v>
      </c>
      <c r="C10" s="162">
        <f t="shared" si="0"/>
        <v>56.384304267594231</v>
      </c>
      <c r="D10" s="160"/>
      <c r="E10" s="19"/>
      <c r="F10" s="15"/>
    </row>
    <row r="11" spans="1:6">
      <c r="A11" s="158"/>
      <c r="B11" s="162"/>
      <c r="C11" s="162"/>
      <c r="D11" s="160"/>
      <c r="E11" s="19"/>
      <c r="F11" s="15"/>
    </row>
    <row r="12" spans="1:6">
      <c r="A12" s="150"/>
      <c r="B12" s="150"/>
      <c r="C12" s="150"/>
      <c r="D12" s="150"/>
      <c r="E12" s="19"/>
      <c r="F12" s="15"/>
    </row>
    <row r="13" spans="1:6">
      <c r="A13" s="165" t="s">
        <v>17</v>
      </c>
      <c r="B13" s="166">
        <f>'Weekly Valuation'!D25/1000000000</f>
        <v>37.097805539873704</v>
      </c>
      <c r="C13" s="167">
        <f>'Weekly Valuation'!K25/1000000000</f>
        <v>36.611510201960002</v>
      </c>
      <c r="D13" s="150"/>
      <c r="E13" s="19"/>
      <c r="F13" s="15"/>
    </row>
    <row r="14" spans="1:6">
      <c r="A14" s="168" t="s">
        <v>54</v>
      </c>
      <c r="B14" s="166">
        <f>'Weekly Valuation'!D69/1000000000</f>
        <v>2556.1306286649051</v>
      </c>
      <c r="C14" s="169">
        <f>'Weekly Valuation'!K69/1000000000</f>
        <v>2628.9623770447274</v>
      </c>
      <c r="D14" s="150"/>
      <c r="E14" s="19"/>
      <c r="F14" s="15"/>
    </row>
    <row r="15" spans="1:6">
      <c r="A15" s="168" t="s">
        <v>279</v>
      </c>
      <c r="B15" s="166">
        <f>'Weekly Valuation'!D109/1000000000</f>
        <v>200.66214858212146</v>
      </c>
      <c r="C15" s="167">
        <f>'Weekly Valuation'!K109/1000000000</f>
        <v>208.69720878068358</v>
      </c>
      <c r="D15" s="150"/>
      <c r="E15" s="19"/>
      <c r="F15" s="15"/>
    </row>
    <row r="16" spans="1:6">
      <c r="A16" s="168" t="s">
        <v>157</v>
      </c>
      <c r="B16" s="166">
        <f>'Weekly Valuation'!D148/1000000000</f>
        <v>1905.4364957549351</v>
      </c>
      <c r="C16" s="169">
        <f>'Weekly Valuation'!K148/1000000000</f>
        <v>1931.2870687030197</v>
      </c>
      <c r="D16" s="150"/>
      <c r="E16" s="19"/>
      <c r="F16" s="15"/>
    </row>
    <row r="17" spans="1:6">
      <c r="A17" s="168" t="s">
        <v>280</v>
      </c>
      <c r="B17" s="166">
        <f>'Weekly Valuation'!D156/1000000000</f>
        <v>101.41608429950922</v>
      </c>
      <c r="C17" s="167">
        <f>'Weekly Valuation'!K156/1000000000</f>
        <v>101.44890023100531</v>
      </c>
      <c r="D17" s="150"/>
      <c r="E17" s="19"/>
      <c r="F17" s="15"/>
    </row>
    <row r="18" spans="1:6">
      <c r="A18" s="168" t="s">
        <v>194</v>
      </c>
      <c r="B18" s="166">
        <f>'Weekly Valuation'!D187/1000000000</f>
        <v>57.167466185858181</v>
      </c>
      <c r="C18" s="170">
        <f>'Weekly Valuation'!K187/1000000000</f>
        <v>57.12527213611007</v>
      </c>
      <c r="D18" s="150"/>
      <c r="E18" s="19"/>
      <c r="F18" s="15"/>
    </row>
    <row r="19" spans="1:6">
      <c r="A19" s="168" t="s">
        <v>225</v>
      </c>
      <c r="B19" s="166">
        <f>'Weekly Valuation'!D193/1000000000</f>
        <v>6.8089861126900004</v>
      </c>
      <c r="C19" s="167">
        <f>'Weekly Valuation'!K193/1000000000</f>
        <v>6.7892931999500004</v>
      </c>
      <c r="D19" s="150"/>
      <c r="E19" s="19"/>
      <c r="F19" s="15"/>
    </row>
    <row r="20" spans="1:6">
      <c r="A20" s="168" t="s">
        <v>281</v>
      </c>
      <c r="B20" s="166">
        <f>'Weekly Valuation'!D218/1000000000</f>
        <v>56.258713652725334</v>
      </c>
      <c r="C20" s="167">
        <f>'Weekly Valuation'!K218/1000000000</f>
        <v>56.384304267594231</v>
      </c>
      <c r="D20" s="150"/>
      <c r="E20" s="19"/>
      <c r="F20" s="15"/>
    </row>
    <row r="21" spans="1:6">
      <c r="A21" s="146"/>
      <c r="B21" s="150"/>
      <c r="C21" s="149"/>
      <c r="D21" s="150"/>
      <c r="E21" s="19"/>
      <c r="F21" s="15"/>
    </row>
    <row r="22" spans="1:6">
      <c r="A22" s="146"/>
      <c r="B22" s="150"/>
      <c r="C22" s="147"/>
      <c r="D22" s="150"/>
      <c r="E22" s="19"/>
      <c r="F22" s="15"/>
    </row>
    <row r="23" spans="1:6">
      <c r="A23" s="171"/>
      <c r="B23" s="152"/>
      <c r="C23" s="148"/>
      <c r="D23" s="19"/>
      <c r="E23" s="19"/>
      <c r="F23" s="15"/>
    </row>
    <row r="24" spans="1:6">
      <c r="A24" s="171"/>
      <c r="B24" s="152"/>
      <c r="C24" s="152"/>
      <c r="D24" s="19"/>
      <c r="E24" s="19"/>
      <c r="F24" s="15"/>
    </row>
    <row r="25" spans="1:6">
      <c r="A25" s="171"/>
      <c r="B25" s="152"/>
      <c r="C25" s="152"/>
      <c r="D25" s="19"/>
      <c r="E25" s="19"/>
      <c r="F25" s="15"/>
    </row>
    <row r="26" spans="1:6">
      <c r="A26" s="21"/>
      <c r="B26" s="22"/>
      <c r="C26" s="22"/>
      <c r="D26" s="15"/>
      <c r="E26" s="15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+x+HIAJurnVTOMnZVd46wqnTOHDE3653dgQoxQbtQ1mGJKSBiQksIyTGlv5q+eYgCYryaEM/HfrVkN1/lupJ/Q==" saltValue="O3yt/EQDHIW9oE41qskkI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8" sqref="I8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44" t="s">
        <v>278</v>
      </c>
      <c r="B1" s="145">
        <v>45758</v>
      </c>
      <c r="C1" s="19"/>
      <c r="D1" s="19"/>
      <c r="E1" s="15"/>
      <c r="F1" s="15"/>
      <c r="G1" s="15"/>
      <c r="H1" s="143"/>
      <c r="I1" s="143"/>
      <c r="J1" s="143"/>
      <c r="K1" s="143"/>
      <c r="L1" s="143"/>
      <c r="M1" s="143"/>
      <c r="N1" s="143"/>
      <c r="O1" s="143"/>
      <c r="P1" s="143"/>
    </row>
    <row r="2" spans="1:16">
      <c r="A2" s="146" t="s">
        <v>225</v>
      </c>
      <c r="B2" s="147">
        <f>'Weekly Valuation'!K193</f>
        <v>6789293199.9500008</v>
      </c>
      <c r="C2" s="19"/>
      <c r="D2" s="19"/>
      <c r="E2" s="15"/>
      <c r="F2" s="15"/>
      <c r="G2" s="15"/>
      <c r="H2" s="143"/>
      <c r="I2" s="143"/>
      <c r="J2" s="143"/>
      <c r="K2" s="143"/>
      <c r="L2" s="143"/>
      <c r="M2" s="143"/>
      <c r="N2" s="143"/>
      <c r="O2" s="143"/>
      <c r="P2" s="143"/>
    </row>
    <row r="3" spans="1:16">
      <c r="A3" s="146" t="s">
        <v>17</v>
      </c>
      <c r="B3" s="147">
        <f>'Weekly Valuation'!K25</f>
        <v>36611510201.959999</v>
      </c>
      <c r="C3" s="19"/>
      <c r="D3" s="19"/>
      <c r="E3" s="15"/>
      <c r="F3" s="15"/>
      <c r="G3" s="15"/>
      <c r="H3" s="143"/>
      <c r="I3" s="143"/>
      <c r="J3" s="143"/>
      <c r="K3" s="143"/>
      <c r="L3" s="143"/>
      <c r="M3" s="143"/>
      <c r="N3" s="143"/>
      <c r="O3" s="143"/>
      <c r="P3" s="143"/>
    </row>
    <row r="4" spans="1:16">
      <c r="A4" s="146" t="s">
        <v>281</v>
      </c>
      <c r="B4" s="148">
        <f>'Weekly Valuation'!K218</f>
        <v>56384304267.594231</v>
      </c>
      <c r="C4" s="19"/>
      <c r="D4" s="19"/>
      <c r="E4" s="15"/>
      <c r="F4" s="15"/>
      <c r="G4" s="15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6" t="s">
        <v>194</v>
      </c>
      <c r="B5" s="147">
        <f>'Weekly Valuation'!K187</f>
        <v>57125272136.110069</v>
      </c>
      <c r="C5" s="19"/>
      <c r="D5" s="19"/>
      <c r="E5" s="15"/>
      <c r="F5" s="15"/>
      <c r="G5" s="15"/>
      <c r="H5" s="143"/>
      <c r="I5" s="143"/>
      <c r="J5" s="143"/>
      <c r="K5" s="143"/>
      <c r="L5" s="143"/>
      <c r="M5" s="143"/>
      <c r="N5" s="143"/>
      <c r="O5" s="143"/>
      <c r="P5" s="143"/>
    </row>
    <row r="6" spans="1:16">
      <c r="A6" s="146" t="s">
        <v>280</v>
      </c>
      <c r="B6" s="147">
        <f>'Weekly Valuation'!K156</f>
        <v>101448900231.00531</v>
      </c>
      <c r="C6" s="19"/>
      <c r="D6" s="19"/>
      <c r="E6" s="15"/>
      <c r="F6" s="15"/>
      <c r="G6" s="15"/>
      <c r="H6" s="143"/>
      <c r="I6" s="143"/>
      <c r="J6" s="143"/>
      <c r="K6" s="143"/>
      <c r="L6" s="143"/>
      <c r="M6" s="143"/>
      <c r="N6" s="143"/>
      <c r="O6" s="143"/>
      <c r="P6" s="143"/>
    </row>
    <row r="7" spans="1:16">
      <c r="A7" s="146" t="s">
        <v>279</v>
      </c>
      <c r="B7" s="147">
        <f>'Weekly Valuation'!K109</f>
        <v>208697208780.68359</v>
      </c>
      <c r="C7" s="19"/>
      <c r="D7" s="19"/>
      <c r="E7" s="15"/>
      <c r="F7" s="15"/>
      <c r="G7" s="15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A8" s="146" t="s">
        <v>157</v>
      </c>
      <c r="B8" s="149">
        <f>'Weekly Valuation'!K148</f>
        <v>1931287068703.0198</v>
      </c>
      <c r="C8" s="19"/>
      <c r="D8" s="19"/>
      <c r="E8" s="15"/>
      <c r="F8" s="15"/>
      <c r="G8" s="15"/>
      <c r="H8" s="143"/>
      <c r="I8" s="143"/>
      <c r="J8" s="143"/>
      <c r="K8" s="143"/>
      <c r="L8" s="143"/>
      <c r="M8" s="143"/>
      <c r="N8" s="143"/>
      <c r="O8" s="143"/>
      <c r="P8" s="143"/>
    </row>
    <row r="9" spans="1:16">
      <c r="A9" s="146" t="s">
        <v>54</v>
      </c>
      <c r="B9" s="149">
        <f>'Weekly Valuation'!K69</f>
        <v>2628962377044.7275</v>
      </c>
      <c r="C9" s="19"/>
      <c r="D9" s="19"/>
      <c r="E9" s="15"/>
      <c r="F9" s="15"/>
      <c r="G9" s="15"/>
      <c r="H9" s="143"/>
      <c r="I9" s="143"/>
      <c r="J9" s="143"/>
      <c r="K9" s="143"/>
      <c r="L9" s="143"/>
      <c r="M9" s="143"/>
      <c r="N9" s="143"/>
      <c r="O9" s="143"/>
      <c r="P9" s="143"/>
    </row>
    <row r="10" spans="1:16">
      <c r="A10" s="150"/>
      <c r="B10" s="150"/>
      <c r="C10" s="19"/>
      <c r="D10" s="19"/>
      <c r="E10" s="15"/>
      <c r="F10" s="15"/>
      <c r="G10" s="15"/>
      <c r="H10" s="143"/>
      <c r="I10" s="143"/>
      <c r="J10" s="143"/>
      <c r="K10" s="143"/>
      <c r="L10" s="143"/>
      <c r="M10" s="143"/>
      <c r="N10" s="143"/>
      <c r="O10" s="143"/>
      <c r="P10" s="143"/>
    </row>
    <row r="11" spans="1:16">
      <c r="A11" s="146"/>
      <c r="B11" s="151"/>
      <c r="C11" s="19"/>
      <c r="D11" s="19"/>
      <c r="E11" s="15"/>
      <c r="F11" s="15"/>
      <c r="G11" s="15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6">
      <c r="A12" s="146"/>
      <c r="B12" s="19"/>
      <c r="C12" s="19"/>
      <c r="D12" s="19"/>
      <c r="E12" s="15"/>
      <c r="F12" s="15"/>
      <c r="G12" s="15"/>
      <c r="H12" s="143"/>
      <c r="I12" s="143"/>
      <c r="J12" s="143"/>
      <c r="K12" s="143"/>
      <c r="L12" s="143"/>
      <c r="M12" s="143"/>
      <c r="N12" s="143"/>
      <c r="O12" s="143"/>
      <c r="P12" s="143"/>
    </row>
    <row r="13" spans="1:16">
      <c r="A13" s="152"/>
      <c r="B13" s="152"/>
      <c r="C13" s="19"/>
      <c r="D13" s="19"/>
      <c r="E13" s="15"/>
      <c r="F13" s="15"/>
      <c r="G13" s="15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>
      <c r="A14" s="152"/>
      <c r="B14" s="152"/>
      <c r="C14" s="19"/>
      <c r="D14" s="19"/>
      <c r="E14" s="15"/>
      <c r="F14" s="15"/>
      <c r="G14" s="15"/>
      <c r="H14" s="143"/>
      <c r="I14" s="143"/>
      <c r="J14" s="143"/>
      <c r="K14" s="143"/>
      <c r="L14" s="143"/>
      <c r="M14" s="143"/>
      <c r="N14" s="143"/>
      <c r="O14" s="143"/>
      <c r="P14" s="143"/>
    </row>
    <row r="15" spans="1:16" ht="16.5" customHeight="1">
      <c r="A15" s="146"/>
      <c r="B15" s="148"/>
      <c r="C15" s="19"/>
      <c r="D15" s="19"/>
      <c r="E15" s="15"/>
      <c r="F15" s="15"/>
      <c r="G15" s="15"/>
      <c r="H15" s="143"/>
      <c r="I15" s="143"/>
      <c r="J15" s="143"/>
      <c r="K15" s="143"/>
      <c r="L15" s="143"/>
      <c r="M15" s="143"/>
      <c r="N15" s="143"/>
      <c r="O15" s="143"/>
      <c r="P15" s="143"/>
    </row>
    <row r="16" spans="1:16">
      <c r="A16" s="152"/>
      <c r="B16" s="152"/>
      <c r="C16" s="19"/>
      <c r="D16" s="19"/>
      <c r="E16" s="15"/>
      <c r="F16" s="15"/>
      <c r="G16" s="15"/>
      <c r="H16" s="143"/>
      <c r="I16" s="143"/>
      <c r="J16" s="143"/>
      <c r="K16" s="143"/>
      <c r="L16" s="143"/>
      <c r="M16" s="143"/>
      <c r="N16" s="143"/>
      <c r="O16" s="143"/>
      <c r="P16" s="143"/>
    </row>
    <row r="17" spans="1:17">
      <c r="A17" s="22"/>
      <c r="B17" s="22"/>
      <c r="C17" s="15"/>
      <c r="D17" s="15"/>
      <c r="E17" s="15"/>
      <c r="F17" s="15"/>
      <c r="G17" s="15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7">
      <c r="A18" s="125"/>
      <c r="B18" s="22"/>
      <c r="C18" s="15"/>
      <c r="D18" s="15"/>
      <c r="E18" s="15"/>
      <c r="F18" s="15"/>
      <c r="G18" s="15"/>
      <c r="H18" s="143"/>
      <c r="I18" s="143"/>
      <c r="J18" s="143"/>
      <c r="K18" s="143"/>
      <c r="L18" s="143"/>
      <c r="M18" s="143"/>
      <c r="N18" s="143"/>
      <c r="O18" s="143"/>
      <c r="P18" s="143"/>
    </row>
    <row r="19" spans="1:17">
      <c r="A19" s="125"/>
      <c r="B19" s="125"/>
      <c r="C19" s="15"/>
      <c r="D19" s="15"/>
      <c r="E19" s="15"/>
      <c r="F19" s="15"/>
      <c r="G19" s="15"/>
      <c r="H19" s="143"/>
      <c r="I19" s="143"/>
      <c r="J19" s="143"/>
      <c r="K19" s="143"/>
      <c r="L19" s="143"/>
      <c r="M19" s="143"/>
      <c r="N19" s="143"/>
      <c r="O19" s="143"/>
      <c r="P19" s="143"/>
    </row>
    <row r="20" spans="1:17">
      <c r="A20" s="125"/>
      <c r="B20" s="125"/>
      <c r="C20" s="15"/>
      <c r="D20" s="15"/>
      <c r="E20" s="15"/>
      <c r="F20" s="15"/>
      <c r="G20" s="15"/>
      <c r="H20" s="143"/>
      <c r="I20" s="143"/>
      <c r="J20" s="143"/>
      <c r="K20" s="143"/>
      <c r="L20" s="143"/>
      <c r="M20" s="143"/>
      <c r="N20" s="143"/>
      <c r="O20" s="143"/>
      <c r="P20" s="143"/>
    </row>
    <row r="21" spans="1:17">
      <c r="A21" s="21"/>
      <c r="B21" s="125"/>
      <c r="C21" s="15"/>
      <c r="D21" s="15"/>
      <c r="E21" s="15"/>
      <c r="F21" s="15"/>
      <c r="G21" s="15"/>
      <c r="H21" s="143"/>
      <c r="I21" s="143"/>
      <c r="J21" s="143"/>
      <c r="K21" s="143"/>
      <c r="L21" s="143"/>
      <c r="M21" s="143"/>
      <c r="N21" s="143"/>
      <c r="O21" s="143"/>
      <c r="P21" s="143"/>
    </row>
    <row r="22" spans="1:17">
      <c r="A22" s="15"/>
      <c r="B22" s="125"/>
      <c r="C22" s="15"/>
      <c r="D22" s="15"/>
      <c r="E22" s="15"/>
      <c r="F22" s="15"/>
      <c r="G22" s="15"/>
      <c r="H22" s="143"/>
      <c r="I22" s="143"/>
      <c r="J22" s="143"/>
      <c r="K22" s="143"/>
      <c r="L22" s="143"/>
      <c r="M22" s="143"/>
      <c r="N22" s="143"/>
      <c r="O22" s="143"/>
      <c r="P22" s="143"/>
    </row>
    <row r="23" spans="1:17">
      <c r="A23" s="15"/>
      <c r="B23" s="15"/>
      <c r="C23" s="15"/>
      <c r="D23" s="15"/>
      <c r="E23" s="15"/>
      <c r="F23" s="15"/>
      <c r="G23" s="15"/>
      <c r="H23" s="143"/>
      <c r="I23" s="143"/>
      <c r="J23" s="143"/>
      <c r="K23" s="143"/>
      <c r="L23" s="143"/>
      <c r="M23" s="143"/>
      <c r="N23" s="143"/>
      <c r="O23" s="143"/>
      <c r="P23" s="143"/>
    </row>
    <row r="24" spans="1:17">
      <c r="A24" s="15"/>
      <c r="B24" s="15"/>
      <c r="C24" s="15"/>
      <c r="D24" s="15"/>
      <c r="E24" s="15"/>
      <c r="F24" s="15"/>
      <c r="G24" s="15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7">
      <c r="A25" s="15"/>
      <c r="B25" s="15"/>
      <c r="C25" s="15"/>
      <c r="D25" s="15"/>
      <c r="E25" s="15"/>
      <c r="F25" s="15"/>
      <c r="G25" s="15"/>
      <c r="H25" s="143"/>
      <c r="I25" s="143"/>
      <c r="J25" s="143"/>
      <c r="K25" s="143"/>
      <c r="L25" s="143"/>
      <c r="M25" s="143"/>
      <c r="N25" s="143"/>
      <c r="O25" s="143"/>
      <c r="P25" s="143"/>
    </row>
    <row r="26" spans="1:17">
      <c r="A26" s="15"/>
      <c r="B26" s="15"/>
      <c r="C26" s="15"/>
      <c r="D26" s="15"/>
      <c r="E26" s="15"/>
      <c r="F26" s="15"/>
      <c r="G26" s="15"/>
      <c r="H26" s="143"/>
      <c r="I26" s="143"/>
      <c r="J26" s="143"/>
      <c r="K26" s="143"/>
      <c r="L26" s="143"/>
      <c r="M26" s="143"/>
      <c r="N26" s="143"/>
      <c r="O26" s="143"/>
      <c r="P26" s="143"/>
    </row>
    <row r="27" spans="1:17">
      <c r="A27" s="15"/>
      <c r="B27" s="15"/>
      <c r="C27" s="15"/>
      <c r="D27" s="15"/>
      <c r="E27" s="15"/>
      <c r="F27" s="15"/>
      <c r="G27" s="15"/>
      <c r="H27" s="143"/>
      <c r="I27" s="143"/>
      <c r="J27" s="143"/>
      <c r="K27" s="143"/>
      <c r="L27" s="143"/>
      <c r="M27" s="143"/>
      <c r="N27" s="143"/>
      <c r="O27" s="143"/>
      <c r="P27" s="143"/>
    </row>
    <row r="28" spans="1:17">
      <c r="A28" s="15"/>
      <c r="B28" s="15"/>
      <c r="C28" s="15"/>
      <c r="D28" s="15"/>
      <c r="E28" s="15"/>
      <c r="F28" s="15"/>
      <c r="G28" s="15"/>
      <c r="H28" s="143"/>
      <c r="I28" s="143"/>
      <c r="J28" s="143"/>
      <c r="K28" s="143"/>
      <c r="L28" s="143"/>
      <c r="M28" s="143"/>
      <c r="N28" s="143"/>
      <c r="O28" s="143"/>
      <c r="P28" s="143"/>
    </row>
    <row r="29" spans="1:17">
      <c r="A29" s="15"/>
      <c r="B29" s="15"/>
      <c r="C29" s="15"/>
      <c r="D29" s="15"/>
      <c r="E29" s="15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pans="1:17">
      <c r="A30" s="15"/>
      <c r="B30" s="15"/>
      <c r="C30" s="15"/>
      <c r="D30" s="15"/>
      <c r="E30" s="15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</row>
    <row r="31" spans="1:17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</row>
    <row r="32" spans="1:17" ht="16.5" customHeight="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20"/>
    </row>
    <row r="33" spans="1:17" ht="15" customHeight="1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20"/>
    </row>
  </sheetData>
  <sheetProtection algorithmName="SHA-512" hashValue="opxi/2XfBgtBtmVTZ/+BuIss8ouXcuOKUONmvzYoPbOcYIlGcj0SfwXDeEpTTdV72yL1t8fkDVNCCDI3hqlvxQ==" saltValue="mZcl1NNshsysrYLDOk4u+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4"/>
  <sheetViews>
    <sheetView zoomScale="110" zoomScaleNormal="110" workbookViewId="0">
      <selection activeCell="D7" sqref="D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53" t="s">
        <v>282</v>
      </c>
      <c r="B2" s="154">
        <v>45709</v>
      </c>
      <c r="C2" s="154">
        <v>45716</v>
      </c>
      <c r="D2" s="154">
        <v>45723</v>
      </c>
      <c r="E2" s="154">
        <v>45730</v>
      </c>
      <c r="F2" s="154">
        <v>45737</v>
      </c>
      <c r="G2" s="154">
        <v>45744</v>
      </c>
      <c r="H2" s="154">
        <v>45751</v>
      </c>
      <c r="I2" s="154">
        <v>45758</v>
      </c>
      <c r="J2" s="19"/>
      <c r="K2" s="15"/>
      <c r="L2" s="15"/>
      <c r="M2" s="15"/>
    </row>
    <row r="3" spans="1:13">
      <c r="A3" s="153" t="s">
        <v>283</v>
      </c>
      <c r="B3" s="155">
        <f t="shared" ref="B3:I3" si="0">B4</f>
        <v>4304.4471471275037</v>
      </c>
      <c r="C3" s="155">
        <f t="shared" si="0"/>
        <v>4378.8424481915499</v>
      </c>
      <c r="D3" s="155">
        <f t="shared" si="0"/>
        <v>4472.6943933207594</v>
      </c>
      <c r="E3" s="155">
        <f t="shared" si="0"/>
        <v>4607.4792017079635</v>
      </c>
      <c r="F3" s="155">
        <f t="shared" si="0"/>
        <v>4719.0196974991832</v>
      </c>
      <c r="G3" s="155">
        <f t="shared" si="0"/>
        <v>4783.453626583896</v>
      </c>
      <c r="H3" s="155">
        <f t="shared" si="0"/>
        <v>4920.9783287926193</v>
      </c>
      <c r="I3" s="155">
        <f t="shared" si="0"/>
        <v>5027.3059345650499</v>
      </c>
      <c r="J3" s="19"/>
      <c r="K3" s="15"/>
      <c r="L3" s="15"/>
      <c r="M3" s="15"/>
    </row>
    <row r="4" spans="1:13">
      <c r="A4" s="19"/>
      <c r="B4" s="156">
        <f>'NAV Trend'!C10/1000000000</f>
        <v>4304.4471471275037</v>
      </c>
      <c r="C4" s="156">
        <f>'NAV Trend'!D10/1000000000</f>
        <v>4378.8424481915499</v>
      </c>
      <c r="D4" s="156">
        <f>'NAV Trend'!E10/1000000000</f>
        <v>4472.6943933207594</v>
      </c>
      <c r="E4" s="156">
        <f>'NAV Trend'!F10/1000000000</f>
        <v>4607.4792017079635</v>
      </c>
      <c r="F4" s="156">
        <f>'NAV Trend'!G10/1000000000</f>
        <v>4719.0196974991832</v>
      </c>
      <c r="G4" s="156">
        <f>'NAV Trend'!H10/1000000000</f>
        <v>4783.453626583896</v>
      </c>
      <c r="H4" s="157">
        <f>'NAV Trend'!I10/1000000000</f>
        <v>4920.9783287926193</v>
      </c>
      <c r="I4" s="157">
        <f>'NAV Trend'!J10/1000000000</f>
        <v>5027.3059345650499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</sheetData>
  <sheetProtection algorithmName="SHA-512" hashValue="W35H6rZ99Mh4XIU0ifYr5xIVhqx70JtUtY/mFo4uhfgCaXCa71U2WUIHoUxX8IuGts0aB4TPHCsfBQczn+HWhA==" saltValue="igXgUKdqDiZnwnFafEbTi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M14"/>
  <sheetViews>
    <sheetView workbookViewId="0">
      <selection activeCell="D7" sqref="D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53" t="s">
        <v>282</v>
      </c>
      <c r="B2" s="154">
        <v>45709</v>
      </c>
      <c r="C2" s="154">
        <v>45716</v>
      </c>
      <c r="D2" s="154">
        <v>45723</v>
      </c>
      <c r="E2" s="154">
        <v>45730</v>
      </c>
      <c r="F2" s="154">
        <v>45737</v>
      </c>
      <c r="G2" s="154">
        <v>45744</v>
      </c>
      <c r="H2" s="154">
        <v>45751</v>
      </c>
      <c r="I2" s="154">
        <v>45758</v>
      </c>
      <c r="J2" s="19"/>
      <c r="K2" s="19"/>
      <c r="L2" s="15"/>
      <c r="M2" s="15"/>
    </row>
    <row r="3" spans="1:13">
      <c r="A3" s="153" t="s">
        <v>284</v>
      </c>
      <c r="B3" s="155">
        <f t="shared" ref="B3:I3" si="0">B4</f>
        <v>13.757028670379999</v>
      </c>
      <c r="C3" s="155">
        <f t="shared" si="0"/>
        <v>13.569005930702859</v>
      </c>
      <c r="D3" s="155">
        <f t="shared" si="0"/>
        <v>13.40889556580691</v>
      </c>
      <c r="E3" s="155">
        <f t="shared" si="0"/>
        <v>13.225205337489792</v>
      </c>
      <c r="F3" s="155">
        <f t="shared" si="0"/>
        <v>13.115951569109791</v>
      </c>
      <c r="G3" s="155">
        <f t="shared" si="0"/>
        <v>13.246875880158331</v>
      </c>
      <c r="H3" s="155">
        <f t="shared" si="0"/>
        <v>13.252536997856778</v>
      </c>
      <c r="I3" s="155">
        <f t="shared" si="0"/>
        <v>13.325340046259999</v>
      </c>
      <c r="J3" s="19"/>
      <c r="K3" s="19"/>
      <c r="L3" s="15"/>
      <c r="M3" s="15"/>
    </row>
    <row r="4" spans="1:13">
      <c r="A4" s="19"/>
      <c r="B4" s="156">
        <f>'NAV Trend'!C16/1000000000</f>
        <v>13.757028670379999</v>
      </c>
      <c r="C4" s="156">
        <f>'NAV Trend'!D16/1000000000</f>
        <v>13.569005930702859</v>
      </c>
      <c r="D4" s="156">
        <f>'NAV Trend'!E16/1000000000</f>
        <v>13.40889556580691</v>
      </c>
      <c r="E4" s="156">
        <f>'NAV Trend'!F16/1000000000</f>
        <v>13.225205337489792</v>
      </c>
      <c r="F4" s="156">
        <f>'NAV Trend'!G16/1000000000</f>
        <v>13.115951569109791</v>
      </c>
      <c r="G4" s="156">
        <f>'NAV Trend'!H16/1000000000</f>
        <v>13.246875880158331</v>
      </c>
      <c r="H4" s="156">
        <f>'NAV Trend'!I16/1000000000</f>
        <v>13.252536997856778</v>
      </c>
      <c r="I4" s="157">
        <f>'NAV Trend'!J16/1000000000</f>
        <v>13.325340046259999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</row>
    <row r="8" spans="1:1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5"/>
      <c r="M8" s="15"/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5"/>
      <c r="M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sheetProtection algorithmName="SHA-512" hashValue="co1ZrtbpRbtHcwRc1zuo3O8p1KhU8bnhxt3+MTHe7qAucKuCofyO6xkiyYiPo5DNfHCbaj8sDj4vqrMONToQGQ==" saltValue="guTqOjolv2u8cf6WOYV4z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278</v>
      </c>
      <c r="B1" s="2">
        <v>45702</v>
      </c>
      <c r="C1" s="2">
        <v>45709</v>
      </c>
      <c r="D1" s="2">
        <v>45716</v>
      </c>
      <c r="E1" s="2">
        <v>45723</v>
      </c>
      <c r="F1" s="2">
        <v>45730</v>
      </c>
      <c r="G1" s="2">
        <v>45737</v>
      </c>
      <c r="H1" s="2">
        <v>45744</v>
      </c>
      <c r="I1" s="2">
        <v>45751</v>
      </c>
      <c r="J1" s="2">
        <v>45758</v>
      </c>
    </row>
    <row r="2" spans="1:11">
      <c r="A2" s="3" t="s">
        <v>17</v>
      </c>
      <c r="B2" s="4">
        <v>38501630325.360001</v>
      </c>
      <c r="C2" s="4">
        <v>38542552735.119995</v>
      </c>
      <c r="D2" s="4">
        <v>38249076563.470001</v>
      </c>
      <c r="E2" s="4">
        <v>37421289714.760002</v>
      </c>
      <c r="F2" s="4">
        <v>37398821266.276306</v>
      </c>
      <c r="G2" s="4">
        <v>36993931889.602303</v>
      </c>
      <c r="H2" s="4">
        <v>37656201173.972603</v>
      </c>
      <c r="I2" s="4">
        <v>37097805539.873703</v>
      </c>
      <c r="J2" s="4">
        <v>36611510201.959999</v>
      </c>
    </row>
    <row r="3" spans="1:11">
      <c r="A3" s="3" t="s">
        <v>54</v>
      </c>
      <c r="B3" s="4">
        <v>2038200432744.7246</v>
      </c>
      <c r="C3" s="4">
        <v>2072298319201.4285</v>
      </c>
      <c r="D3" s="4">
        <v>2134730862264.1289</v>
      </c>
      <c r="E3" s="4">
        <v>2212690003394.8403</v>
      </c>
      <c r="F3" s="4">
        <v>2332451611056.791</v>
      </c>
      <c r="G3" s="4">
        <v>2419975361780.4546</v>
      </c>
      <c r="H3" s="4">
        <v>2481105692224.7939</v>
      </c>
      <c r="I3" s="4">
        <v>2556130628664.9053</v>
      </c>
      <c r="J3" s="4">
        <v>2628962377044.7275</v>
      </c>
    </row>
    <row r="4" spans="1:11">
      <c r="A4" s="3" t="s">
        <v>279</v>
      </c>
      <c r="B4" s="5">
        <v>193170423716.56946</v>
      </c>
      <c r="C4" s="5">
        <v>192875996875.99237</v>
      </c>
      <c r="D4" s="5">
        <v>192425332553.69519</v>
      </c>
      <c r="E4" s="5">
        <v>192651675169.49469</v>
      </c>
      <c r="F4" s="5">
        <v>195446236973.35144</v>
      </c>
      <c r="G4" s="5">
        <v>198728860225.19843</v>
      </c>
      <c r="H4" s="5">
        <v>198334798103.43573</v>
      </c>
      <c r="I4" s="5">
        <v>200662148582.12146</v>
      </c>
      <c r="J4" s="5">
        <v>208697208780.68359</v>
      </c>
    </row>
    <row r="5" spans="1:11">
      <c r="A5" s="3" t="s">
        <v>157</v>
      </c>
      <c r="B5" s="4">
        <v>1779191321733.2319</v>
      </c>
      <c r="C5" s="4">
        <v>1780596293589.6721</v>
      </c>
      <c r="D5" s="4">
        <v>1793326811823.8843</v>
      </c>
      <c r="E5" s="4">
        <v>1809741056607.6074</v>
      </c>
      <c r="F5" s="4">
        <v>1822153380010.8662</v>
      </c>
      <c r="G5" s="4">
        <v>1842785877653.4534</v>
      </c>
      <c r="H5" s="4">
        <v>1844962894751.3052</v>
      </c>
      <c r="I5" s="4">
        <v>1905436495754.9351</v>
      </c>
      <c r="J5" s="4">
        <v>1931287068703.0198</v>
      </c>
    </row>
    <row r="6" spans="1:11">
      <c r="A6" s="3" t="s">
        <v>280</v>
      </c>
      <c r="B6" s="6">
        <v>101014000313.43393</v>
      </c>
      <c r="C6" s="6">
        <v>101070214650.21515</v>
      </c>
      <c r="D6" s="6">
        <v>101128099964.18001</v>
      </c>
      <c r="E6" s="6">
        <v>101180384926.77501</v>
      </c>
      <c r="F6" s="6">
        <v>101227556666.0634</v>
      </c>
      <c r="G6" s="6">
        <v>101283752942.61555</v>
      </c>
      <c r="H6" s="6">
        <v>101362794513.52859</v>
      </c>
      <c r="I6" s="6">
        <v>101416084299.50922</v>
      </c>
      <c r="J6" s="6">
        <v>101448900231.00531</v>
      </c>
    </row>
    <row r="7" spans="1:11">
      <c r="A7" s="3" t="s">
        <v>194</v>
      </c>
      <c r="B7" s="7">
        <v>58252652887.652779</v>
      </c>
      <c r="C7" s="7">
        <v>58059986733.763725</v>
      </c>
      <c r="D7" s="7">
        <v>57798914251.53302</v>
      </c>
      <c r="E7" s="7">
        <v>57327361079.561821</v>
      </c>
      <c r="F7" s="7">
        <v>57195873585.465897</v>
      </c>
      <c r="G7" s="7">
        <v>56948936665.773132</v>
      </c>
      <c r="H7" s="7">
        <v>57062758533.043762</v>
      </c>
      <c r="I7" s="7">
        <v>57167466185.858185</v>
      </c>
      <c r="J7" s="7">
        <v>57125272136.110069</v>
      </c>
    </row>
    <row r="8" spans="1:11">
      <c r="A8" s="3" t="s">
        <v>225</v>
      </c>
      <c r="B8" s="6">
        <v>6738837889.1400003</v>
      </c>
      <c r="C8" s="6">
        <v>6681271892.7000008</v>
      </c>
      <c r="D8" s="6">
        <v>6710470953.1500006</v>
      </c>
      <c r="E8" s="6">
        <v>6663538612.0999994</v>
      </c>
      <c r="F8" s="6">
        <v>6647856625.3699999</v>
      </c>
      <c r="G8" s="6">
        <v>6567080938.7299995</v>
      </c>
      <c r="H8" s="6">
        <v>6677158300.1700001</v>
      </c>
      <c r="I8" s="6">
        <v>6808986112.6900005</v>
      </c>
      <c r="J8" s="6">
        <v>6789293199.9500008</v>
      </c>
    </row>
    <row r="9" spans="1:11">
      <c r="A9" s="3" t="s">
        <v>281</v>
      </c>
      <c r="B9" s="6">
        <v>54482402721.736488</v>
      </c>
      <c r="C9" s="6">
        <v>54322511448.611656</v>
      </c>
      <c r="D9" s="6">
        <v>54472879817.508156</v>
      </c>
      <c r="E9" s="6">
        <v>55019083815.621017</v>
      </c>
      <c r="F9" s="6">
        <v>54957865523.779152</v>
      </c>
      <c r="G9" s="6">
        <v>55735895403.355507</v>
      </c>
      <c r="H9" s="6">
        <v>56291328983.646774</v>
      </c>
      <c r="I9" s="6">
        <v>56258713652.725334</v>
      </c>
      <c r="J9" s="6">
        <v>56384304267.594231</v>
      </c>
    </row>
    <row r="10" spans="1:11" ht="15.6">
      <c r="A10" s="8" t="s">
        <v>285</v>
      </c>
      <c r="B10" s="9">
        <f t="shared" ref="B10:J10" si="0">SUM(B2:B9)</f>
        <v>4269551702331.8496</v>
      </c>
      <c r="C10" s="9">
        <f t="shared" si="0"/>
        <v>4304447147127.5039</v>
      </c>
      <c r="D10" s="9">
        <f t="shared" si="0"/>
        <v>4378842448191.5498</v>
      </c>
      <c r="E10" s="9">
        <f t="shared" si="0"/>
        <v>4472694393320.7598</v>
      </c>
      <c r="F10" s="9">
        <f t="shared" si="0"/>
        <v>4607479201707.9639</v>
      </c>
      <c r="G10" s="9">
        <f t="shared" si="0"/>
        <v>4719019697499.1836</v>
      </c>
      <c r="H10" s="9">
        <f t="shared" si="0"/>
        <v>4783453626583.8965</v>
      </c>
      <c r="I10" s="9">
        <f t="shared" si="0"/>
        <v>4920978328792.6191</v>
      </c>
      <c r="J10" s="9">
        <f t="shared" si="0"/>
        <v>5027305934565.0498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286</v>
      </c>
      <c r="B12" s="124" t="s">
        <v>287</v>
      </c>
      <c r="C12" s="13">
        <f>(B10+C10)/2</f>
        <v>4286999424729.6768</v>
      </c>
      <c r="D12" s="14">
        <f t="shared" ref="D12:J12" si="1">(C10+D10)/2</f>
        <v>4341644797659.5269</v>
      </c>
      <c r="E12" s="14">
        <f t="shared" si="1"/>
        <v>4425768420756.1543</v>
      </c>
      <c r="F12" s="14">
        <f t="shared" si="1"/>
        <v>4540086797514.3613</v>
      </c>
      <c r="G12" s="14">
        <f t="shared" si="1"/>
        <v>4663249449603.5742</v>
      </c>
      <c r="H12" s="14">
        <f t="shared" si="1"/>
        <v>4751236662041.54</v>
      </c>
      <c r="I12" s="14">
        <f t="shared" si="1"/>
        <v>4852215977688.2578</v>
      </c>
      <c r="J12" s="14">
        <f t="shared" si="1"/>
        <v>4974142131678.834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45702</v>
      </c>
      <c r="C15" s="2">
        <v>45709</v>
      </c>
      <c r="D15" s="2">
        <v>45716</v>
      </c>
      <c r="E15" s="2">
        <v>45723</v>
      </c>
      <c r="F15" s="2">
        <v>45730</v>
      </c>
      <c r="G15" s="2">
        <v>45737</v>
      </c>
      <c r="H15" s="2">
        <v>45744</v>
      </c>
      <c r="I15" s="2">
        <v>45751</v>
      </c>
      <c r="J15" s="2">
        <v>45758</v>
      </c>
      <c r="K15" s="15"/>
    </row>
    <row r="16" spans="1:11">
      <c r="A16" s="16" t="s">
        <v>288</v>
      </c>
      <c r="B16" s="17">
        <v>13762029268.867212</v>
      </c>
      <c r="C16" s="17">
        <v>13757028670.379999</v>
      </c>
      <c r="D16" s="17">
        <v>13569005930.70286</v>
      </c>
      <c r="E16" s="17">
        <v>13408895565.80691</v>
      </c>
      <c r="F16" s="17">
        <v>13225205337.489792</v>
      </c>
      <c r="G16" s="17">
        <v>13115951569.109791</v>
      </c>
      <c r="H16" s="17">
        <v>13246875880.158331</v>
      </c>
      <c r="I16" s="17">
        <v>13252536997.856777</v>
      </c>
      <c r="J16" s="17">
        <v>13325340046.259998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eN7Od5lJUnkyKAeWzEQT1HT/w+U8Hz8cFARa70C1HkMwwG/Lc/MzjwWqtQ61IUE3V6pQOkJonKQEqo6PMvayxA==" saltValue="lFRIc3UW63ZfbfIEJZIY4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2025-04-17T10:48:18Z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