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V226" i="1" l="1"/>
  <c r="N117" i="1" l="1"/>
  <c r="M117" i="1"/>
  <c r="K117" i="1"/>
  <c r="N118" i="1" l="1"/>
  <c r="M118" i="1"/>
  <c r="K118" i="1"/>
  <c r="N137" i="1" l="1"/>
  <c r="M137" i="1"/>
  <c r="K137" i="1"/>
  <c r="N140" i="1" l="1"/>
  <c r="M140" i="1"/>
  <c r="K140" i="1"/>
  <c r="N116" i="1"/>
  <c r="M116" i="1"/>
  <c r="K116" i="1"/>
  <c r="N142" i="1" l="1"/>
  <c r="M142" i="1"/>
  <c r="K142" i="1"/>
  <c r="N138" i="1" l="1"/>
  <c r="M138" i="1"/>
  <c r="K138" i="1"/>
  <c r="N127" i="1" l="1"/>
  <c r="M127" i="1"/>
  <c r="K127" i="1"/>
  <c r="N132" i="1" l="1"/>
  <c r="M132" i="1"/>
  <c r="K132" i="1"/>
  <c r="N134" i="1"/>
  <c r="M134" i="1"/>
  <c r="K134" i="1"/>
  <c r="N136" i="1"/>
  <c r="M136" i="1"/>
  <c r="N113" i="1"/>
  <c r="M113" i="1"/>
  <c r="K113" i="1"/>
  <c r="N126" i="1"/>
  <c r="M126" i="1"/>
  <c r="K126" i="1"/>
  <c r="N119" i="1"/>
  <c r="M119" i="1"/>
  <c r="K119" i="1"/>
  <c r="N112" i="1"/>
  <c r="M112" i="1"/>
  <c r="K112" i="1"/>
  <c r="N115" i="1" l="1"/>
  <c r="M115" i="1"/>
  <c r="K115" i="1"/>
  <c r="N114" i="1"/>
  <c r="M114" i="1"/>
  <c r="K114" i="1"/>
  <c r="N131" i="1"/>
  <c r="M131" i="1"/>
  <c r="K131" i="1"/>
  <c r="N125" i="1" l="1"/>
  <c r="M125" i="1"/>
  <c r="K125" i="1"/>
  <c r="N143" i="1"/>
  <c r="M143" i="1"/>
  <c r="K143" i="1"/>
  <c r="N128" i="1"/>
  <c r="M128" i="1"/>
  <c r="K128" i="1"/>
  <c r="N139" i="1" l="1"/>
  <c r="M139" i="1"/>
  <c r="K123" i="1" l="1"/>
  <c r="N145" i="1" l="1"/>
  <c r="M145" i="1"/>
  <c r="K145" i="1"/>
  <c r="N124" i="1"/>
  <c r="M124" i="1"/>
  <c r="K124" i="1"/>
  <c r="G145" i="1"/>
  <c r="F145" i="1"/>
  <c r="G143" i="1"/>
  <c r="F143" i="1"/>
  <c r="G142" i="1"/>
  <c r="F142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D145" i="1"/>
  <c r="D143" i="1"/>
  <c r="D142" i="1"/>
  <c r="D140" i="1"/>
  <c r="D138" i="1"/>
  <c r="D137" i="1"/>
  <c r="D134" i="1"/>
  <c r="D132" i="1"/>
  <c r="D131" i="1"/>
  <c r="G128" i="1"/>
  <c r="F128" i="1"/>
  <c r="G127" i="1"/>
  <c r="F127" i="1"/>
  <c r="G126" i="1"/>
  <c r="F126" i="1"/>
  <c r="G125" i="1"/>
  <c r="F125" i="1"/>
  <c r="G124" i="1"/>
  <c r="F124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D128" i="1"/>
  <c r="D127" i="1"/>
  <c r="D126" i="1"/>
  <c r="D125" i="1"/>
  <c r="D124" i="1"/>
  <c r="D123" i="1"/>
  <c r="D119" i="1"/>
  <c r="D118" i="1"/>
  <c r="D117" i="1"/>
  <c r="D116" i="1"/>
  <c r="D115" i="1"/>
  <c r="D114" i="1"/>
  <c r="D113" i="1"/>
  <c r="D112" i="1"/>
  <c r="R32" i="1" l="1"/>
  <c r="V32" i="1"/>
  <c r="U32" i="1"/>
  <c r="T32" i="1"/>
  <c r="S32" i="1"/>
  <c r="R123" i="1" l="1"/>
  <c r="S123" i="1"/>
  <c r="T135" i="1" l="1"/>
  <c r="V123" i="1" l="1"/>
  <c r="U123" i="1"/>
  <c r="T123" i="1"/>
  <c r="R46" i="1"/>
  <c r="S46" i="1"/>
  <c r="T46" i="1"/>
  <c r="U46" i="1"/>
  <c r="V46" i="1"/>
  <c r="O222" i="1" l="1"/>
  <c r="K222" i="1"/>
  <c r="L220" i="1" s="1"/>
  <c r="H222" i="1"/>
  <c r="D222" i="1"/>
  <c r="V220" i="1"/>
  <c r="U220" i="1"/>
  <c r="T220" i="1"/>
  <c r="S220" i="1"/>
  <c r="R220" i="1"/>
  <c r="R134" i="1" l="1"/>
  <c r="V134" i="1"/>
  <c r="U134" i="1"/>
  <c r="T134" i="1"/>
  <c r="S134" i="1"/>
  <c r="V81" i="1"/>
  <c r="U81" i="1"/>
  <c r="T81" i="1"/>
  <c r="S81" i="1"/>
  <c r="R81" i="1"/>
  <c r="R166" i="1" l="1"/>
  <c r="V23" i="1" l="1"/>
  <c r="U23" i="1"/>
  <c r="T23" i="1"/>
  <c r="S23" i="1"/>
  <c r="R23" i="1"/>
  <c r="O216" i="1"/>
  <c r="K216" i="1"/>
  <c r="L215" i="1" s="1"/>
  <c r="H216" i="1"/>
  <c r="D216" i="1"/>
  <c r="V215" i="1"/>
  <c r="U215" i="1"/>
  <c r="T215" i="1"/>
  <c r="S215" i="1"/>
  <c r="R215" i="1"/>
  <c r="E215" i="1" l="1"/>
  <c r="E220" i="1"/>
  <c r="R31" i="1"/>
  <c r="K146" i="1" l="1"/>
  <c r="L133" i="1" l="1"/>
  <c r="L123" i="1"/>
  <c r="R115" i="1"/>
  <c r="S115" i="1"/>
  <c r="T115" i="1"/>
  <c r="U115" i="1"/>
  <c r="V115" i="1"/>
  <c r="R53" i="1" l="1"/>
  <c r="R208" i="1" l="1"/>
  <c r="V200" i="1" l="1"/>
  <c r="U200" i="1"/>
  <c r="T200" i="1"/>
  <c r="S200" i="1"/>
  <c r="R200" i="1"/>
  <c r="R142" i="1"/>
  <c r="S142" i="1"/>
  <c r="T142" i="1"/>
  <c r="U142" i="1"/>
  <c r="V142" i="1"/>
  <c r="R6" i="1" l="1"/>
  <c r="V184" i="1" l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R93" i="1" l="1"/>
  <c r="V34" i="1" l="1"/>
  <c r="U34" i="1"/>
  <c r="T34" i="1"/>
  <c r="S34" i="1"/>
  <c r="R34" i="1"/>
  <c r="V75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2" i="1"/>
  <c r="U242" i="1"/>
  <c r="S242" i="1"/>
  <c r="O242" i="1"/>
  <c r="K242" i="1"/>
  <c r="H242" i="1"/>
  <c r="D242" i="1"/>
  <c r="E240" i="1" s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O227" i="1"/>
  <c r="K227" i="1"/>
  <c r="L226" i="1" s="1"/>
  <c r="H227" i="1"/>
  <c r="D227" i="1"/>
  <c r="E226" i="1" s="1"/>
  <c r="U226" i="1"/>
  <c r="T226" i="1"/>
  <c r="S226" i="1"/>
  <c r="R226" i="1"/>
  <c r="V225" i="1"/>
  <c r="U225" i="1"/>
  <c r="T225" i="1"/>
  <c r="S225" i="1"/>
  <c r="R225" i="1"/>
  <c r="L221" i="1"/>
  <c r="V221" i="1"/>
  <c r="U221" i="1"/>
  <c r="T221" i="1"/>
  <c r="S221" i="1"/>
  <c r="R221" i="1"/>
  <c r="V216" i="1"/>
  <c r="U216" i="1"/>
  <c r="S216" i="1"/>
  <c r="V214" i="1"/>
  <c r="U214" i="1"/>
  <c r="T214" i="1"/>
  <c r="S214" i="1"/>
  <c r="R214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199" i="1"/>
  <c r="U199" i="1"/>
  <c r="T199" i="1"/>
  <c r="S199" i="1"/>
  <c r="R199" i="1"/>
  <c r="V196" i="1"/>
  <c r="U196" i="1"/>
  <c r="T196" i="1"/>
  <c r="S196" i="1"/>
  <c r="R196" i="1"/>
  <c r="V195" i="1"/>
  <c r="U195" i="1"/>
  <c r="T195" i="1"/>
  <c r="S195" i="1"/>
  <c r="R195" i="1"/>
  <c r="V191" i="1"/>
  <c r="U191" i="1"/>
  <c r="S191" i="1"/>
  <c r="O191" i="1"/>
  <c r="K191" i="1"/>
  <c r="H191" i="1"/>
  <c r="D191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5" i="1"/>
  <c r="U185" i="1"/>
  <c r="S185" i="1"/>
  <c r="O185" i="1"/>
  <c r="K185" i="1"/>
  <c r="L163" i="1" s="1"/>
  <c r="H185" i="1"/>
  <c r="D185" i="1"/>
  <c r="V154" i="1"/>
  <c r="U154" i="1"/>
  <c r="S154" i="1"/>
  <c r="O154" i="1"/>
  <c r="K154" i="1"/>
  <c r="B6" i="3" s="1"/>
  <c r="H154" i="1"/>
  <c r="D154" i="1"/>
  <c r="E152" i="1" s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H146" i="1"/>
  <c r="V145" i="1"/>
  <c r="U145" i="1"/>
  <c r="T145" i="1"/>
  <c r="R145" i="1"/>
  <c r="V144" i="1"/>
  <c r="U144" i="1"/>
  <c r="T144" i="1"/>
  <c r="S144" i="1"/>
  <c r="R144" i="1"/>
  <c r="V143" i="1"/>
  <c r="U143" i="1"/>
  <c r="T143" i="1"/>
  <c r="S143" i="1"/>
  <c r="V141" i="1"/>
  <c r="U141" i="1"/>
  <c r="T141" i="1"/>
  <c r="S141" i="1"/>
  <c r="R141" i="1"/>
  <c r="V140" i="1"/>
  <c r="U140" i="1"/>
  <c r="T140" i="1"/>
  <c r="S140" i="1"/>
  <c r="V139" i="1"/>
  <c r="U139" i="1"/>
  <c r="T139" i="1"/>
  <c r="R139" i="1"/>
  <c r="S139" i="1"/>
  <c r="V138" i="1"/>
  <c r="U138" i="1"/>
  <c r="T138" i="1"/>
  <c r="S138" i="1"/>
  <c r="V137" i="1"/>
  <c r="U137" i="1"/>
  <c r="T137" i="1"/>
  <c r="S137" i="1"/>
  <c r="R137" i="1"/>
  <c r="V136" i="1"/>
  <c r="U136" i="1"/>
  <c r="T136" i="1"/>
  <c r="R136" i="1"/>
  <c r="V135" i="1"/>
  <c r="U135" i="1"/>
  <c r="S135" i="1"/>
  <c r="R135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S131" i="1"/>
  <c r="R131" i="1"/>
  <c r="V128" i="1"/>
  <c r="U128" i="1"/>
  <c r="T128" i="1"/>
  <c r="S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V116" i="1"/>
  <c r="U116" i="1"/>
  <c r="T116" i="1"/>
  <c r="S116" i="1"/>
  <c r="R116" i="1"/>
  <c r="V114" i="1"/>
  <c r="U114" i="1"/>
  <c r="T114" i="1"/>
  <c r="S114" i="1"/>
  <c r="V113" i="1"/>
  <c r="U113" i="1"/>
  <c r="T113" i="1"/>
  <c r="S113" i="1"/>
  <c r="V112" i="1"/>
  <c r="U112" i="1"/>
  <c r="T112" i="1"/>
  <c r="R112" i="1"/>
  <c r="S112" i="1"/>
  <c r="V108" i="1"/>
  <c r="U108" i="1"/>
  <c r="S108" i="1"/>
  <c r="O108" i="1"/>
  <c r="K108" i="1"/>
  <c r="H108" i="1"/>
  <c r="D108" i="1"/>
  <c r="E134" i="1" s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68" i="1"/>
  <c r="U68" i="1"/>
  <c r="S68" i="1"/>
  <c r="O68" i="1"/>
  <c r="K68" i="1"/>
  <c r="L45" i="1" s="1"/>
  <c r="H68" i="1"/>
  <c r="D68" i="1"/>
  <c r="B14" i="2" s="1"/>
  <c r="B4" i="2" s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32" i="1" l="1"/>
  <c r="L77" i="1"/>
  <c r="L91" i="1"/>
  <c r="E12" i="4"/>
  <c r="E46" i="1"/>
  <c r="E32" i="1"/>
  <c r="L102" i="1"/>
  <c r="L35" i="1"/>
  <c r="L46" i="1"/>
  <c r="C12" i="4"/>
  <c r="L96" i="1"/>
  <c r="L79" i="1"/>
  <c r="L23" i="1"/>
  <c r="L15" i="1"/>
  <c r="L81" i="1"/>
  <c r="L134" i="1"/>
  <c r="F12" i="4"/>
  <c r="B15" i="2"/>
  <c r="B5" i="2" s="1"/>
  <c r="E81" i="1"/>
  <c r="L36" i="1"/>
  <c r="L44" i="1"/>
  <c r="L86" i="1"/>
  <c r="L88" i="1"/>
  <c r="L60" i="1"/>
  <c r="B8" i="3"/>
  <c r="B20" i="2"/>
  <c r="B10" i="2" s="1"/>
  <c r="E200" i="1"/>
  <c r="L204" i="1"/>
  <c r="L200" i="1"/>
  <c r="E184" i="1"/>
  <c r="E172" i="1"/>
  <c r="E160" i="1"/>
  <c r="E182" i="1"/>
  <c r="E170" i="1"/>
  <c r="E158" i="1"/>
  <c r="E177" i="1"/>
  <c r="E165" i="1"/>
  <c r="E175" i="1"/>
  <c r="E180" i="1"/>
  <c r="E168" i="1"/>
  <c r="E159" i="1"/>
  <c r="E167" i="1"/>
  <c r="E173" i="1"/>
  <c r="E161" i="1"/>
  <c r="E179" i="1"/>
  <c r="E178" i="1"/>
  <c r="E166" i="1"/>
  <c r="E163" i="1"/>
  <c r="E183" i="1"/>
  <c r="E171" i="1"/>
  <c r="E176" i="1"/>
  <c r="E164" i="1"/>
  <c r="E174" i="1"/>
  <c r="E162" i="1"/>
  <c r="E181" i="1"/>
  <c r="E169" i="1"/>
  <c r="E157" i="1"/>
  <c r="L177" i="1"/>
  <c r="L165" i="1"/>
  <c r="L175" i="1"/>
  <c r="L182" i="1"/>
  <c r="L170" i="1"/>
  <c r="L158" i="1"/>
  <c r="L180" i="1"/>
  <c r="L173" i="1"/>
  <c r="L161" i="1"/>
  <c r="L167" i="1"/>
  <c r="L168" i="1"/>
  <c r="L178" i="1"/>
  <c r="L166" i="1"/>
  <c r="L164" i="1"/>
  <c r="L183" i="1"/>
  <c r="L171" i="1"/>
  <c r="L159" i="1"/>
  <c r="L179" i="1"/>
  <c r="L172" i="1"/>
  <c r="L176" i="1"/>
  <c r="L160" i="1"/>
  <c r="L181" i="1"/>
  <c r="L169" i="1"/>
  <c r="L157" i="1"/>
  <c r="L174" i="1"/>
  <c r="L162" i="1"/>
  <c r="B2" i="3"/>
  <c r="L189" i="1"/>
  <c r="L34" i="1"/>
  <c r="L12" i="1"/>
  <c r="L104" i="1"/>
  <c r="L72" i="1"/>
  <c r="E14" i="1"/>
  <c r="E34" i="1"/>
  <c r="E50" i="1"/>
  <c r="L50" i="1"/>
  <c r="R222" i="1"/>
  <c r="B5" i="3"/>
  <c r="L21" i="1"/>
  <c r="L7" i="1"/>
  <c r="D4" i="5"/>
  <c r="D3" i="5" s="1"/>
  <c r="B4" i="3"/>
  <c r="L202" i="1"/>
  <c r="R242" i="1"/>
  <c r="E238" i="1"/>
  <c r="E236" i="1"/>
  <c r="E234" i="1"/>
  <c r="E8" i="1"/>
  <c r="L211" i="1"/>
  <c r="E196" i="1"/>
  <c r="T242" i="1"/>
  <c r="J12" i="4"/>
  <c r="E12" i="1"/>
  <c r="E10" i="1"/>
  <c r="E6" i="1"/>
  <c r="E18" i="1"/>
  <c r="E201" i="1"/>
  <c r="E225" i="1"/>
  <c r="E232" i="1"/>
  <c r="E86" i="1"/>
  <c r="E22" i="1"/>
  <c r="E49" i="1"/>
  <c r="E20" i="1"/>
  <c r="E16" i="1"/>
  <c r="E74" i="1"/>
  <c r="E106" i="1"/>
  <c r="E102" i="1"/>
  <c r="E77" i="1"/>
  <c r="E100" i="1"/>
  <c r="S145" i="1"/>
  <c r="E230" i="1"/>
  <c r="E241" i="1"/>
  <c r="E98" i="1"/>
  <c r="E96" i="1"/>
  <c r="E79" i="1"/>
  <c r="E71" i="1"/>
  <c r="E73" i="1"/>
  <c r="E150" i="1"/>
  <c r="T191" i="1"/>
  <c r="E92" i="1"/>
  <c r="E84" i="1"/>
  <c r="E104" i="1"/>
  <c r="E90" i="1"/>
  <c r="E72" i="1"/>
  <c r="E82" i="1"/>
  <c r="E88" i="1"/>
  <c r="L24" i="1"/>
  <c r="E95" i="1"/>
  <c r="E97" i="1"/>
  <c r="E99" i="1"/>
  <c r="E101" i="1"/>
  <c r="E103" i="1"/>
  <c r="E105" i="1"/>
  <c r="E107" i="1"/>
  <c r="E231" i="1"/>
  <c r="E233" i="1"/>
  <c r="E235" i="1"/>
  <c r="E237" i="1"/>
  <c r="E239" i="1"/>
  <c r="L19" i="1"/>
  <c r="E76" i="1"/>
  <c r="E78" i="1"/>
  <c r="E80" i="1"/>
  <c r="E83" i="1"/>
  <c r="E85" i="1"/>
  <c r="E87" i="1"/>
  <c r="E89" i="1"/>
  <c r="E91" i="1"/>
  <c r="E93" i="1"/>
  <c r="T146" i="1"/>
  <c r="L11" i="1"/>
  <c r="L149" i="1"/>
  <c r="L153" i="1"/>
  <c r="L241" i="1"/>
  <c r="T68" i="1"/>
  <c r="L188" i="1"/>
  <c r="L190" i="1"/>
  <c r="E204" i="1"/>
  <c r="E206" i="1"/>
  <c r="E208" i="1"/>
  <c r="E210" i="1"/>
  <c r="T216" i="1"/>
  <c r="L6" i="1"/>
  <c r="L10" i="1"/>
  <c r="L14" i="1"/>
  <c r="L18" i="1"/>
  <c r="L22" i="1"/>
  <c r="E195" i="1"/>
  <c r="E199" i="1"/>
  <c r="E202" i="1"/>
  <c r="E214" i="1"/>
  <c r="H217" i="1"/>
  <c r="H243" i="1" s="1"/>
  <c r="R227" i="1"/>
  <c r="D146" i="1"/>
  <c r="T108" i="1"/>
  <c r="L152" i="1"/>
  <c r="T154" i="1"/>
  <c r="T185" i="1"/>
  <c r="E205" i="1"/>
  <c r="E207" i="1"/>
  <c r="E209" i="1"/>
  <c r="E211" i="1"/>
  <c r="C4" i="5"/>
  <c r="C3" i="5" s="1"/>
  <c r="D12" i="4"/>
  <c r="G12" i="4"/>
  <c r="H4" i="5"/>
  <c r="H3" i="5" s="1"/>
  <c r="I12" i="4"/>
  <c r="E94" i="1"/>
  <c r="L66" i="1"/>
  <c r="L82" i="1"/>
  <c r="L106" i="1"/>
  <c r="L62" i="1"/>
  <c r="L58" i="1"/>
  <c r="L56" i="1"/>
  <c r="L64" i="1"/>
  <c r="L54" i="1"/>
  <c r="L52" i="1"/>
  <c r="E57" i="1"/>
  <c r="E59" i="1"/>
  <c r="E61" i="1"/>
  <c r="E63" i="1"/>
  <c r="E65" i="1"/>
  <c r="E67" i="1"/>
  <c r="E55" i="1"/>
  <c r="E53" i="1"/>
  <c r="E51" i="1"/>
  <c r="L199" i="1"/>
  <c r="L205" i="1"/>
  <c r="L195" i="1"/>
  <c r="L203" i="1"/>
  <c r="L207" i="1"/>
  <c r="L233" i="1"/>
  <c r="L237" i="1"/>
  <c r="L231" i="1"/>
  <c r="L235" i="1"/>
  <c r="L239" i="1"/>
  <c r="L230" i="1"/>
  <c r="L232" i="1"/>
  <c r="L234" i="1"/>
  <c r="L236" i="1"/>
  <c r="L238" i="1"/>
  <c r="L240" i="1"/>
  <c r="L90" i="1"/>
  <c r="L98" i="1"/>
  <c r="L209" i="1"/>
  <c r="L74" i="1"/>
  <c r="E75" i="1"/>
  <c r="L49" i="1"/>
  <c r="L84" i="1"/>
  <c r="L92" i="1"/>
  <c r="L100" i="1"/>
  <c r="R154" i="1"/>
  <c r="L150" i="1"/>
  <c r="L151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5" i="1"/>
  <c r="B7" i="3"/>
  <c r="C15" i="2"/>
  <c r="C5" i="2" s="1"/>
  <c r="R114" i="1"/>
  <c r="R117" i="1"/>
  <c r="R118" i="1"/>
  <c r="R125" i="1"/>
  <c r="E7" i="1"/>
  <c r="E9" i="1"/>
  <c r="E11" i="1"/>
  <c r="E13" i="1"/>
  <c r="E15" i="1"/>
  <c r="E17" i="1"/>
  <c r="E19" i="1"/>
  <c r="E21" i="1"/>
  <c r="E24" i="1"/>
  <c r="B3" i="3"/>
  <c r="C13" i="2"/>
  <c r="C3" i="2" s="1"/>
  <c r="O217" i="1"/>
  <c r="O243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E66" i="1"/>
  <c r="L67" i="1"/>
  <c r="R68" i="1"/>
  <c r="L71" i="1"/>
  <c r="L73" i="1"/>
  <c r="L75" i="1"/>
  <c r="L76" i="1"/>
  <c r="L78" i="1"/>
  <c r="L80" i="1"/>
  <c r="L83" i="1"/>
  <c r="L85" i="1"/>
  <c r="L87" i="1"/>
  <c r="L89" i="1"/>
  <c r="L93" i="1"/>
  <c r="L95" i="1"/>
  <c r="L97" i="1"/>
  <c r="L99" i="1"/>
  <c r="L101" i="1"/>
  <c r="L103" i="1"/>
  <c r="L105" i="1"/>
  <c r="L107" i="1"/>
  <c r="R108" i="1"/>
  <c r="R113" i="1"/>
  <c r="R128" i="1"/>
  <c r="R132" i="1"/>
  <c r="S136" i="1"/>
  <c r="B19" i="2"/>
  <c r="B9" i="2" s="1"/>
  <c r="E190" i="1"/>
  <c r="E188" i="1"/>
  <c r="B13" i="2"/>
  <c r="B3" i="2" s="1"/>
  <c r="R25" i="1"/>
  <c r="T25" i="1"/>
  <c r="C14" i="2"/>
  <c r="C4" i="2" s="1"/>
  <c r="L94" i="1"/>
  <c r="R138" i="1"/>
  <c r="R140" i="1"/>
  <c r="R143" i="1"/>
  <c r="B17" i="2"/>
  <c r="B7" i="2" s="1"/>
  <c r="E153" i="1"/>
  <c r="E151" i="1"/>
  <c r="E149" i="1"/>
  <c r="B18" i="2"/>
  <c r="B8" i="2" s="1"/>
  <c r="E189" i="1"/>
  <c r="R191" i="1"/>
  <c r="L196" i="1"/>
  <c r="L201" i="1"/>
  <c r="L206" i="1"/>
  <c r="L208" i="1"/>
  <c r="L210" i="1"/>
  <c r="L214" i="1"/>
  <c r="R216" i="1"/>
  <c r="E221" i="1"/>
  <c r="L225" i="1"/>
  <c r="C17" i="2"/>
  <c r="C7" i="2" s="1"/>
  <c r="C18" i="2"/>
  <c r="C8" i="2" s="1"/>
  <c r="C19" i="2"/>
  <c r="C9" i="2" s="1"/>
  <c r="C20" i="2"/>
  <c r="C10" i="2" s="1"/>
  <c r="E115" i="1" l="1"/>
  <c r="E123" i="1"/>
  <c r="L115" i="1"/>
  <c r="B9" i="3"/>
  <c r="E128" i="1"/>
  <c r="E142" i="1"/>
  <c r="L125" i="1"/>
  <c r="L142" i="1"/>
  <c r="E131" i="1"/>
  <c r="E136" i="1"/>
  <c r="E137" i="1"/>
  <c r="E127" i="1"/>
  <c r="E112" i="1"/>
  <c r="E117" i="1"/>
  <c r="E132" i="1"/>
  <c r="D217" i="1"/>
  <c r="E68" i="1" s="1"/>
  <c r="E125" i="1"/>
  <c r="E143" i="1"/>
  <c r="E133" i="1"/>
  <c r="E114" i="1"/>
  <c r="E116" i="1"/>
  <c r="E145" i="1"/>
  <c r="E140" i="1"/>
  <c r="E119" i="1"/>
  <c r="E135" i="1"/>
  <c r="E120" i="1"/>
  <c r="E139" i="1"/>
  <c r="E138" i="1"/>
  <c r="E122" i="1"/>
  <c r="E141" i="1"/>
  <c r="E124" i="1"/>
  <c r="B16" i="2"/>
  <c r="B6" i="2" s="1"/>
  <c r="E126" i="1"/>
  <c r="E121" i="1"/>
  <c r="E113" i="1"/>
  <c r="L140" i="1"/>
  <c r="K217" i="1"/>
  <c r="L146" i="1" s="1"/>
  <c r="L132" i="1"/>
  <c r="L114" i="1"/>
  <c r="C16" i="2"/>
  <c r="C6" i="2" s="1"/>
  <c r="L144" i="1"/>
  <c r="L136" i="1"/>
  <c r="L145" i="1"/>
  <c r="L141" i="1"/>
  <c r="L139" i="1"/>
  <c r="R146" i="1"/>
  <c r="L137" i="1"/>
  <c r="L135" i="1"/>
  <c r="L131" i="1"/>
  <c r="L127" i="1"/>
  <c r="L122" i="1"/>
  <c r="L120" i="1"/>
  <c r="L112" i="1"/>
  <c r="L126" i="1"/>
  <c r="L124" i="1"/>
  <c r="L121" i="1"/>
  <c r="L119" i="1"/>
  <c r="L116" i="1"/>
  <c r="L113" i="1"/>
  <c r="L143" i="1"/>
  <c r="L138" i="1"/>
  <c r="L128" i="1"/>
  <c r="L117" i="1"/>
  <c r="L118" i="1"/>
  <c r="E191" i="1" l="1"/>
  <c r="E108" i="1"/>
  <c r="E185" i="1"/>
  <c r="E154" i="1"/>
  <c r="E216" i="1"/>
  <c r="D243" i="1"/>
  <c r="E25" i="1"/>
  <c r="E146" i="1"/>
  <c r="K243" i="1"/>
  <c r="R217" i="1"/>
  <c r="L191" i="1"/>
  <c r="L25" i="1"/>
  <c r="L185" i="1"/>
  <c r="L154" i="1"/>
  <c r="L68" i="1"/>
  <c r="L108" i="1"/>
  <c r="L216" i="1"/>
</calcChain>
</file>

<file path=xl/sharedStrings.xml><?xml version="1.0" encoding="utf-8"?>
<sst xmlns="http://schemas.openxmlformats.org/spreadsheetml/2006/main" count="499" uniqueCount="316">
  <si>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</si>
  <si>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</si>
  <si>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</si>
  <si>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</si>
  <si>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</si>
  <si>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</si>
  <si>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</si>
  <si>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</si>
  <si>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</si>
  <si>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</si>
  <si>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</si>
  <si>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</si>
  <si>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</si>
  <si>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</si>
  <si>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</si>
  <si>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</si>
  <si>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</si>
  <si>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</si>
  <si>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</si>
  <si>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</si>
  <si>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</si>
  <si>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</si>
  <si>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</si>
  <si>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</si>
  <si>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</si>
  <si>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</si>
  <si>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</si>
  <si>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</si>
  <si>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</si>
  <si>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</si>
  <si>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</si>
  <si>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</si>
  <si>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</si>
  <si>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</si>
  <si>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</si>
  <si>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</si>
  <si>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</si>
  <si>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</si>
  <si>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</si>
  <si>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</si>
  <si>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</si>
  <si>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</si>
  <si>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</si>
  <si>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</si>
  <si>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</si>
  <si>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</si>
  <si>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</si>
  <si>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</si>
  <si>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</si>
  <si>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</si>
  <si>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</si>
  <si>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</si>
  <si>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</si>
  <si>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</si>
  <si>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</si>
  <si>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</si>
  <si>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</si>
  <si>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</si>
  <si>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</si>
  <si>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</si>
  <si>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</si>
  <si>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</si>
  <si>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</si>
  <si>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</si>
  <si>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</si>
  <si>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</si>
  <si>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</si>
  <si>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</si>
  <si>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</si>
  <si>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</si>
  <si>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</si>
  <si>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</si>
  <si>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</si>
  <si>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</si>
  <si>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</si>
  <si>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</si>
  <si>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</si>
  <si>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</si>
  <si>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</si>
  <si>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</si>
  <si>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</si>
  <si>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</si>
  <si>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</si>
  <si>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</si>
  <si>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</si>
  <si>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</si>
  <si>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</si>
  <si>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</si>
  <si>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</si>
  <si>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</si>
  <si>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</si>
  <si>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</si>
  <si>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</si>
  <si>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</si>
  <si>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</si>
  <si>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</si>
  <si>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</si>
  <si>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</si>
  <si>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</si>
  <si>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</si>
  <si>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</si>
  <si>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</si>
  <si>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</si>
  <si>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</si>
  <si>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</si>
  <si>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</si>
  <si>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</si>
  <si>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</si>
  <si>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</si>
  <si>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</si>
  <si>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</si>
  <si>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</si>
  <si>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</si>
  <si>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</si>
  <si>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</si>
  <si>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</si>
  <si>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</si>
  <si>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</si>
  <si>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</si>
  <si>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</si>
  <si>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</si>
  <si>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</si>
  <si>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</si>
  <si>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</si>
  <si>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</si>
  <si>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</si>
  <si>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</si>
  <si>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</si>
  <si>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</si>
  <si>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</si>
  <si>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</si>
  <si>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</si>
  <si>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</si>
  <si>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</si>
  <si>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</si>
  <si>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</si>
  <si>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</si>
  <si>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</si>
  <si>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</si>
  <si>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</si>
  <si>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</si>
  <si>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</si>
  <si>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</si>
  <si>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</si>
  <si>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</si>
  <si>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</si>
  <si>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</si>
  <si>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</si>
  <si>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</si>
  <si>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</si>
  <si>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</si>
  <si>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</si>
  <si>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</si>
  <si>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</si>
  <si>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</si>
  <si>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</si>
  <si>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</si>
  <si>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</si>
  <si>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</si>
  <si>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</si>
  <si>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</si>
  <si>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</si>
  <si>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</si>
  <si>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</si>
  <si>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</si>
  <si>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</si>
  <si>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</si>
  <si>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</si>
  <si>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</si>
  <si>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</si>
  <si>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</si>
  <si>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</si>
  <si>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</si>
  <si>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</si>
  <si>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</si>
  <si>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</si>
  <si>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</si>
  <si>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</si>
  <si>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</si>
  <si>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</si>
  <si>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</si>
  <si>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</si>
  <si>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</si>
  <si>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</si>
  <si>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</si>
  <si>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</si>
  <si>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</si>
  <si>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</si>
  <si>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</si>
  <si>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</si>
  <si>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</si>
  <si>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</si>
  <si>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</si>
  <si>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</si>
  <si>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</si>
  <si>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</si>
  <si>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</si>
  <si>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</si>
  <si>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</si>
  <si>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</si>
  <si>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</si>
  <si>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</si>
  <si>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</si>
  <si>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</si>
  <si>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</si>
  <si>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</si>
  <si>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</si>
  <si>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</si>
  <si>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</si>
  <si>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</si>
  <si>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</si>
  <si>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</si>
  <si>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</si>
  <si>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</si>
  <si>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</si>
  <si>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</si>
  <si>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</si>
  <si>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</si>
  <si>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</si>
  <si>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</si>
  <si>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</si>
  <si>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</si>
  <si>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</si>
  <si>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</si>
  <si>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</si>
  <si>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</si>
  <si>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</si>
  <si>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</si>
  <si>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</si>
  <si>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</si>
  <si>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</si>
  <si>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</si>
  <si>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</si>
  <si>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</si>
  <si>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</si>
  <si>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</si>
  <si>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</si>
  <si>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</si>
  <si>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</si>
  <si>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</si>
  <si>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</si>
  <si>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</si>
  <si>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</si>
  <si>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</si>
  <si>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</si>
  <si>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</si>
  <si>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</si>
  <si>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</si>
  <si>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</si>
  <si>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</si>
  <si>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</si>
  <si>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</si>
  <si>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</si>
  <si>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</si>
  <si>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</si>
  <si>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</si>
  <si>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</si>
  <si>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</si>
  <si>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</si>
  <si>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</si>
  <si>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</si>
  <si>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</si>
  <si>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</si>
  <si>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</si>
  <si>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</si>
  <si>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</si>
  <si>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</si>
  <si>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</si>
  <si>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</si>
  <si>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</si>
  <si>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</si>
  <si>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</si>
  <si>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</si>
  <si>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</si>
  <si>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</si>
  <si>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</si>
  <si>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</si>
  <si>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</si>
  <si>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</si>
  <si>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</si>
  <si>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</si>
  <si>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</si>
  <si>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</si>
  <si>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</si>
  <si>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</si>
  <si>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</si>
  <si>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</si>
  <si>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</si>
  <si>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</si>
  <si>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</si>
  <si>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</si>
  <si>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</si>
  <si>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</si>
  <si>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</si>
  <si>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</si>
  <si>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</si>
  <si>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</si>
  <si>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</si>
  <si>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</si>
  <si>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</si>
  <si>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</si>
  <si>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</si>
  <si>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</si>
  <si>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</si>
  <si>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</si>
  <si>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</si>
  <si>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NAV, Unit Price and Yield as at Week Ended March 14, 2025</t>
  </si>
  <si>
    <t>0.19%</t>
  </si>
  <si>
    <t>AVA GAM Money Market Fund</t>
  </si>
  <si>
    <t>Week Ended March 14, 2025</t>
  </si>
  <si>
    <t>Guaranty Trust Dollar Fund</t>
  </si>
  <si>
    <t>WEEKLY VALUATION REPORT OF COLLECTIVE INVESTMENT SCHEMES AS AT WEEK ENDED FRIDAY, MARCH 21, 2025</t>
  </si>
  <si>
    <t>NAV, Unit Price and Yield as at Week Ended March 21, 2025</t>
  </si>
  <si>
    <t>NFEM RATE NG₦/US$ as at 21st March, 2025 = N1,536.89</t>
  </si>
  <si>
    <t>0.09%</t>
  </si>
  <si>
    <t>Week Ended 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</si>
</sst>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4" fillId="8" borderId="1" xfId="0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4" fontId="18" fillId="2" borderId="1" xfId="10" applyFont="1" applyFill="1" applyBorder="1"/>
    <xf numFmtId="10" fontId="18" fillId="8" borderId="1" xfId="2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/>
    </xf>
    <xf numFmtId="4" fontId="18" fillId="2" borderId="1" xfId="0" applyNumberFormat="1" applyFont="1" applyFill="1" applyBorder="1"/>
    <xf numFmtId="164" fontId="16" fillId="10" borderId="1" xfId="1" applyFont="1" applyFill="1" applyBorder="1" applyAlignment="1">
      <alignment horizontal="center"/>
    </xf>
    <xf numFmtId="164" fontId="18" fillId="2" borderId="1" xfId="1" applyFont="1" applyFill="1" applyBorder="1"/>
    <xf numFmtId="0" fontId="16" fillId="0" borderId="1" xfId="0" applyFont="1" applyBorder="1"/>
    <xf numFmtId="0" fontId="16" fillId="2" borderId="1" xfId="0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8" fillId="2" borderId="1" xfId="2" applyNumberFormat="1" applyFont="1" applyFill="1" applyBorder="1" applyAlignment="1">
      <alignment horizontal="center" vertical="top" wrapText="1"/>
    </xf>
    <xf numFmtId="4" fontId="18" fillId="2" borderId="1" xfId="1" applyNumberFormat="1" applyFont="1" applyFill="1" applyBorder="1" applyAlignment="1">
      <alignment vertical="top" wrapText="1"/>
    </xf>
    <xf numFmtId="164" fontId="15" fillId="10" borderId="1" xfId="1" applyFont="1" applyFill="1" applyBorder="1" applyAlignment="1">
      <alignment horizontal="center"/>
    </xf>
    <xf numFmtId="164" fontId="18" fillId="2" borderId="1" xfId="10" applyFont="1" applyFill="1" applyBorder="1" applyAlignment="1">
      <alignment horizontal="right"/>
    </xf>
    <xf numFmtId="4" fontId="18" fillId="2" borderId="1" xfId="1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 wrapText="1"/>
    </xf>
    <xf numFmtId="164" fontId="18" fillId="2" borderId="1" xfId="10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right"/>
    </xf>
    <xf numFmtId="164" fontId="14" fillId="3" borderId="1" xfId="1" applyFont="1" applyFill="1" applyBorder="1" applyAlignment="1">
      <alignment horizontal="center" vertical="top"/>
    </xf>
    <xf numFmtId="10" fontId="18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/>
    </xf>
    <xf numFmtId="10" fontId="18" fillId="10" borderId="1" xfId="2" applyNumberFormat="1" applyFont="1" applyFill="1" applyBorder="1" applyAlignment="1">
      <alignment horizontal="center" vertical="top" wrapText="1"/>
    </xf>
    <xf numFmtId="10" fontId="18" fillId="10" borderId="1" xfId="2" applyNumberFormat="1" applyFont="1" applyFill="1" applyBorder="1" applyAlignment="1">
      <alignment horizontal="center" wrapText="1"/>
    </xf>
    <xf numFmtId="10" fontId="18" fillId="8" borderId="1" xfId="2" applyNumberFormat="1" applyFont="1" applyFill="1" applyBorder="1" applyAlignment="1">
      <alignment horizontal="center" wrapText="1"/>
    </xf>
    <xf numFmtId="10" fontId="18" fillId="10" borderId="1" xfId="1" applyNumberFormat="1" applyFont="1" applyFill="1" applyBorder="1" applyAlignment="1">
      <alignment horizontal="center"/>
    </xf>
    <xf numFmtId="10" fontId="18" fillId="3" borderId="1" xfId="2" applyNumberFormat="1" applyFont="1" applyFill="1" applyBorder="1" applyAlignment="1">
      <alignment horizontal="center" vertical="top" wrapText="1"/>
    </xf>
    <xf numFmtId="10" fontId="16" fillId="3" borderId="1" xfId="2" applyNumberFormat="1" applyFont="1" applyFill="1" applyBorder="1" applyAlignment="1">
      <alignment horizontal="center" vertical="top" wrapText="1"/>
    </xf>
    <xf numFmtId="10" fontId="16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8" fillId="2" borderId="1" xfId="0" applyNumberFormat="1" applyFont="1" applyFill="1" applyBorder="1"/>
    <xf numFmtId="164" fontId="18" fillId="2" borderId="1" xfId="10" applyFont="1" applyFill="1" applyBorder="1" applyAlignment="1">
      <alignment wrapText="1"/>
    </xf>
    <xf numFmtId="164" fontId="18" fillId="12" borderId="1" xfId="1" applyFont="1" applyFill="1" applyBorder="1" applyAlignment="1">
      <alignment horizontal="center"/>
    </xf>
    <xf numFmtId="10" fontId="18" fillId="12" borderId="1" xfId="2" applyNumberFormat="1" applyFont="1" applyFill="1" applyBorder="1" applyAlignment="1">
      <alignment horizontal="center"/>
    </xf>
    <xf numFmtId="10" fontId="18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27" fillId="2" borderId="1" xfId="0" applyFont="1" applyFill="1" applyBorder="1"/>
    <xf numFmtId="4" fontId="18" fillId="2" borderId="1" xfId="1" applyNumberFormat="1" applyFont="1" applyFill="1" applyBorder="1" applyAlignment="1">
      <alignment horizontal="right" vertical="top" wrapText="1"/>
    </xf>
    <xf numFmtId="164" fontId="15" fillId="2" borderId="1" xfId="1" applyFont="1" applyFill="1" applyBorder="1"/>
    <xf numFmtId="43" fontId="18" fillId="2" borderId="1" xfId="0" applyNumberFormat="1" applyFont="1" applyFill="1" applyBorder="1"/>
    <xf numFmtId="4" fontId="18" fillId="2" borderId="1" xfId="1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 wrapText="1"/>
    </xf>
    <xf numFmtId="4" fontId="18" fillId="2" borderId="1" xfId="10" applyNumberFormat="1" applyFont="1" applyFill="1" applyBorder="1" applyAlignment="1">
      <alignment horizontal="right" wrapText="1"/>
    </xf>
    <xf numFmtId="4" fontId="18" fillId="10" borderId="1" xfId="1" applyNumberFormat="1" applyFont="1" applyFill="1" applyBorder="1" applyAlignment="1">
      <alignment horizontal="center"/>
    </xf>
    <xf numFmtId="4" fontId="18" fillId="10" borderId="1" xfId="1" applyNumberFormat="1" applyFont="1" applyFill="1" applyBorder="1" applyAlignment="1">
      <alignment horizontal="center" vertical="top" wrapText="1"/>
    </xf>
    <xf numFmtId="43" fontId="1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5" fillId="10" borderId="1" xfId="1" applyNumberFormat="1" applyFont="1" applyFill="1" applyBorder="1" applyAlignment="1">
      <alignment horizontal="right" vertical="top" wrapText="1"/>
    </xf>
    <xf numFmtId="0" fontId="18" fillId="15" borderId="1" xfId="0" applyFont="1" applyFill="1" applyBorder="1" applyAlignment="1">
      <alignment horizontal="right" vertical="center"/>
    </xf>
    <xf numFmtId="0" fontId="15" fillId="15" borderId="1" xfId="0" applyFont="1" applyFill="1" applyBorder="1" applyAlignment="1">
      <alignment horizontal="right" vertical="center"/>
    </xf>
    <xf numFmtId="164" fontId="15" fillId="15" borderId="1" xfId="1" applyFont="1" applyFill="1" applyBorder="1" applyAlignment="1">
      <alignment horizontal="right" vertical="center" wrapText="1"/>
    </xf>
    <xf numFmtId="10" fontId="18" fillId="15" borderId="1" xfId="1" applyNumberFormat="1" applyFont="1" applyFill="1" applyBorder="1" applyAlignment="1">
      <alignment horizontal="right" vertical="center" wrapText="1"/>
    </xf>
    <xf numFmtId="4" fontId="18" fillId="15" borderId="1" xfId="1" applyNumberFormat="1" applyFont="1" applyFill="1" applyBorder="1" applyAlignment="1">
      <alignment horizontal="right" vertical="center" wrapText="1"/>
    </xf>
    <xf numFmtId="164" fontId="15" fillId="15" borderId="1" xfId="1" applyFont="1" applyFill="1" applyBorder="1" applyAlignment="1">
      <alignment horizontal="right" vertical="top" wrapText="1"/>
    </xf>
    <xf numFmtId="4" fontId="18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8" fillId="15" borderId="1" xfId="1" applyNumberFormat="1" applyFont="1" applyFill="1" applyBorder="1" applyAlignment="1">
      <alignment horizontal="right" vertical="top" wrapText="1"/>
    </xf>
    <xf numFmtId="164" fontId="18" fillId="2" borderId="1" xfId="10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64" fontId="18" fillId="10" borderId="1" xfId="1" applyFont="1" applyFill="1" applyBorder="1" applyAlignment="1">
      <alignment horizontal="center" vertical="top" wrapText="1"/>
    </xf>
    <xf numFmtId="164" fontId="18" fillId="2" borderId="1" xfId="1" applyFont="1" applyFill="1" applyBorder="1" applyAlignment="1">
      <alignment horizontal="right" vertical="top" wrapText="1"/>
    </xf>
    <xf numFmtId="0" fontId="18" fillId="16" borderId="1" xfId="0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right" vertical="top" wrapText="1"/>
    </xf>
    <xf numFmtId="164" fontId="25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7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8" fillId="15" borderId="1" xfId="2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6" fillId="15" borderId="1" xfId="2" applyNumberFormat="1" applyFont="1" applyFill="1" applyBorder="1" applyAlignment="1">
      <alignment horizontal="center" vertical="top" wrapText="1"/>
    </xf>
    <xf numFmtId="166" fontId="16" fillId="15" borderId="1" xfId="2" applyNumberFormat="1" applyFont="1" applyFill="1" applyBorder="1" applyAlignment="1">
      <alignment horizontal="center" vertical="top" wrapText="1"/>
    </xf>
    <xf numFmtId="10" fontId="16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8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30" fillId="6" borderId="1" xfId="0" applyFont="1" applyFill="1" applyBorder="1" applyAlignment="1">
      <alignment horizontal="left" vertical="center"/>
    </xf>
    <xf numFmtId="4" fontId="22" fillId="0" borderId="0" xfId="0" applyNumberFormat="1" applyFont="1"/>
    <xf numFmtId="0" fontId="18" fillId="15" borderId="1" xfId="0" applyFont="1" applyFill="1" applyBorder="1" applyAlignment="1">
      <alignment horizontal="right"/>
    </xf>
    <xf numFmtId="0" fontId="15" fillId="15" borderId="1" xfId="0" applyFont="1" applyFill="1" applyBorder="1" applyAlignment="1">
      <alignment horizontal="right"/>
    </xf>
    <xf numFmtId="43" fontId="8" fillId="0" borderId="0" xfId="0" applyNumberFormat="1" applyFont="1"/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8" fillId="2" borderId="1" xfId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8" fillId="2" borderId="1" xfId="0" applyFont="1" applyFill="1" applyBorder="1" applyAlignment="1">
      <alignment horizontal="left" wrapText="1"/>
    </xf>
    <xf numFmtId="0" fontId="45" fillId="0" borderId="0" xfId="0" applyFont="1"/>
    <xf numFmtId="0" fontId="10" fillId="0" borderId="0" xfId="0" applyFont="1" applyBorder="1"/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 applyAlignment="1">
      <alignment horizontal="right"/>
    </xf>
    <xf numFmtId="0" fontId="52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164" fontId="10" fillId="0" borderId="0" xfId="1" applyFont="1" applyBorder="1"/>
    <xf numFmtId="0" fontId="46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" fontId="18" fillId="0" borderId="1" xfId="0" applyNumberFormat="1" applyFont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Border="1" applyAlignment="1">
      <alignment wrapText="1"/>
    </xf>
    <xf numFmtId="0" fontId="13" fillId="6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1" fillId="13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4" fontId="44" fillId="2" borderId="0" xfId="0" applyNumberFormat="1" applyFont="1" applyFill="1" applyAlignment="1">
      <alignment horizontal="right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14,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37.398821266276308</c:v>
                </c:pt>
                <c:pt idx="1">
                  <c:v>2332.4516110567911</c:v>
                </c:pt>
                <c:pt idx="2">
                  <c:v>195.44623697335143</c:v>
                </c:pt>
                <c:pt idx="3">
                  <c:v>1822.1533800108662</c:v>
                </c:pt>
                <c:pt idx="4">
                  <c:v>101.22755666606341</c:v>
                </c:pt>
                <c:pt idx="5" formatCode="_-* #,##0.00_-;\-* #,##0.00_-;_-* &quot;-&quot;??_-;_-@_-">
                  <c:v>57.195873585465897</c:v>
                </c:pt>
                <c:pt idx="6">
                  <c:v>6.6478566253700002</c:v>
                </c:pt>
                <c:pt idx="7">
                  <c:v>54.957865523779155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21,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36.993931889602301</c:v>
                </c:pt>
                <c:pt idx="1">
                  <c:v>2419.9753617804545</c:v>
                </c:pt>
                <c:pt idx="2">
                  <c:v>198.72886022519842</c:v>
                </c:pt>
                <c:pt idx="3">
                  <c:v>1842.7858776534533</c:v>
                </c:pt>
                <c:pt idx="4">
                  <c:v>101.28375294261555</c:v>
                </c:pt>
                <c:pt idx="5" formatCode="_-* #,##0.00_-;\-* #,##0.00_-;_-* &quot;-&quot;??_-;_-@_-">
                  <c:v>56.948936665773132</c:v>
                </c:pt>
                <c:pt idx="6">
                  <c:v>6.5670809387299993</c:v>
                </c:pt>
                <c:pt idx="7">
                  <c:v>55.735895403355507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21ST MARCH,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21-Mar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6567080938.7299995</c:v>
                </c:pt>
                <c:pt idx="1">
                  <c:v>36993931889.602303</c:v>
                </c:pt>
                <c:pt idx="2" formatCode="_-* #,##0.00_-;\-* #,##0.00_-;_-* &quot;-&quot;??_-;_-@_-">
                  <c:v>55735895403.355507</c:v>
                </c:pt>
                <c:pt idx="3">
                  <c:v>56948936665.773132</c:v>
                </c:pt>
                <c:pt idx="4">
                  <c:v>101283752942.61555</c:v>
                </c:pt>
                <c:pt idx="5">
                  <c:v>198728860225.19843</c:v>
                </c:pt>
                <c:pt idx="6">
                  <c:v>2419975361780.4546</c:v>
                </c:pt>
                <c:pt idx="7">
                  <c:v>1842785877653.4534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45688</c:v>
                </c:pt>
                <c:pt idx="1">
                  <c:v>45695</c:v>
                </c:pt>
                <c:pt idx="2">
                  <c:v>45702</c:v>
                </c:pt>
                <c:pt idx="3">
                  <c:v>45709</c:v>
                </c:pt>
                <c:pt idx="4">
                  <c:v>45716</c:v>
                </c:pt>
                <c:pt idx="5">
                  <c:v>45723</c:v>
                </c:pt>
                <c:pt idx="6">
                  <c:v>45730</c:v>
                </c:pt>
                <c:pt idx="7">
                  <c:v>45737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4111.8204981719919</c:v>
                </c:pt>
                <c:pt idx="1">
                  <c:v>4191.3962694654292</c:v>
                </c:pt>
                <c:pt idx="2">
                  <c:v>4269.5517023318498</c:v>
                </c:pt>
                <c:pt idx="3">
                  <c:v>4304.4471471275037</c:v>
                </c:pt>
                <c:pt idx="4">
                  <c:v>4378.8424481915499</c:v>
                </c:pt>
                <c:pt idx="5">
                  <c:v>4472.6943933207594</c:v>
                </c:pt>
                <c:pt idx="6">
                  <c:v>4607.4792017079635</c:v>
                </c:pt>
                <c:pt idx="7">
                  <c:v>4719.0196974991832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45688</c:v>
                </c:pt>
                <c:pt idx="1">
                  <c:v>45695</c:v>
                </c:pt>
                <c:pt idx="2">
                  <c:v>45702</c:v>
                </c:pt>
                <c:pt idx="3">
                  <c:v>45709</c:v>
                </c:pt>
                <c:pt idx="4">
                  <c:v>45716</c:v>
                </c:pt>
                <c:pt idx="5">
                  <c:v>45723</c:v>
                </c:pt>
                <c:pt idx="6">
                  <c:v>45730</c:v>
                </c:pt>
                <c:pt idx="7">
                  <c:v>45737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13.139930136069998</c:v>
                </c:pt>
                <c:pt idx="1">
                  <c:v>13.518762702094183</c:v>
                </c:pt>
                <c:pt idx="2">
                  <c:v>13.762029268867213</c:v>
                </c:pt>
                <c:pt idx="3">
                  <c:v>13.757028670379999</c:v>
                </c:pt>
                <c:pt idx="4">
                  <c:v>13.569005930702859</c:v>
                </c:pt>
                <c:pt idx="5">
                  <c:v>13.40889556580691</c:v>
                </c:pt>
                <c:pt idx="6">
                  <c:v>13.225205337489792</c:v>
                </c:pt>
                <c:pt idx="7">
                  <c:v>13.115951569109791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0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5" t="s">
        <v>311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5" ht="15" customHeight="1">
      <c r="A2" s="142"/>
      <c r="B2" s="23"/>
      <c r="C2" s="126"/>
      <c r="D2" s="176" t="s">
        <v>306</v>
      </c>
      <c r="E2" s="176"/>
      <c r="F2" s="176"/>
      <c r="G2" s="176"/>
      <c r="H2" s="176"/>
      <c r="I2" s="176"/>
      <c r="J2" s="176"/>
      <c r="K2" s="176" t="s">
        <v>312</v>
      </c>
      <c r="L2" s="176"/>
      <c r="M2" s="176"/>
      <c r="N2" s="176"/>
      <c r="O2" s="176"/>
      <c r="P2" s="176"/>
      <c r="Q2" s="176"/>
      <c r="R2" s="176" t="s">
        <v>0</v>
      </c>
      <c r="S2" s="176"/>
      <c r="T2" s="176"/>
      <c r="U2" s="176" t="s">
        <v>1</v>
      </c>
      <c r="V2" s="176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43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5" ht="15" customHeight="1">
      <c r="A5" s="178" t="s">
        <v>17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1:25">
      <c r="A6" s="137">
        <v>1</v>
      </c>
      <c r="B6" s="135" t="s">
        <v>18</v>
      </c>
      <c r="C6" s="136" t="s">
        <v>19</v>
      </c>
      <c r="D6" s="29">
        <v>1612625735.1099999</v>
      </c>
      <c r="E6" s="30">
        <f t="shared" ref="E6:E22" si="0">(D6/$D$25)</f>
        <v>4.3119694164376117E-2</v>
      </c>
      <c r="F6" s="31">
        <v>418.4264</v>
      </c>
      <c r="G6" s="31">
        <v>421.05840000000001</v>
      </c>
      <c r="H6" s="32">
        <v>1816</v>
      </c>
      <c r="I6" s="50">
        <v>-6.7999999999999996E-3</v>
      </c>
      <c r="J6" s="50">
        <v>5.2600000000000001E-2</v>
      </c>
      <c r="K6" s="29">
        <v>1602366315.76</v>
      </c>
      <c r="L6" s="30">
        <f t="shared" ref="L6:L22" si="1">(K6/$K$25)</f>
        <v>4.3314301397910315E-2</v>
      </c>
      <c r="M6" s="31">
        <v>414.91809999999998</v>
      </c>
      <c r="N6" s="31">
        <v>417.71949999999998</v>
      </c>
      <c r="O6" s="32">
        <v>1816</v>
      </c>
      <c r="P6" s="50">
        <v>-8.3999999999999995E-3</v>
      </c>
      <c r="Q6" s="50">
        <v>4.3799999999999999E-2</v>
      </c>
      <c r="R6" s="56">
        <f>((K6-D6)/D6)</f>
        <v>-6.3619345311391132E-3</v>
      </c>
      <c r="S6" s="56">
        <f>((N6-G6)/G6)</f>
        <v>-7.9297788620296458E-3</v>
      </c>
      <c r="T6" s="56">
        <f>((O6-H6)/H6)</f>
        <v>0</v>
      </c>
      <c r="U6" s="57">
        <f>P6-I6</f>
        <v>-1.5999999999999999E-3</v>
      </c>
      <c r="V6" s="58">
        <f>Q6-J6</f>
        <v>-8.8000000000000023E-3</v>
      </c>
    </row>
    <row r="7" spans="1:25">
      <c r="A7" s="137">
        <v>2</v>
      </c>
      <c r="B7" s="135" t="s">
        <v>20</v>
      </c>
      <c r="C7" s="136" t="s">
        <v>21</v>
      </c>
      <c r="D7" s="33">
        <v>654525732.14999998</v>
      </c>
      <c r="E7" s="30">
        <f t="shared" si="0"/>
        <v>1.7501239610998285E-2</v>
      </c>
      <c r="F7" s="33">
        <v>273.7645</v>
      </c>
      <c r="G7" s="33">
        <v>277.06549999999999</v>
      </c>
      <c r="H7" s="32">
        <v>465</v>
      </c>
      <c r="I7" s="50">
        <v>-4.156E-3</v>
      </c>
      <c r="J7" s="50">
        <v>6.3100000000000003E-2</v>
      </c>
      <c r="K7" s="33">
        <v>649400269.71000004</v>
      </c>
      <c r="L7" s="30">
        <f t="shared" si="1"/>
        <v>1.7554237588152225E-2</v>
      </c>
      <c r="M7" s="33">
        <v>271.62529999999998</v>
      </c>
      <c r="N7" s="33">
        <v>274.8929</v>
      </c>
      <c r="O7" s="32">
        <v>465</v>
      </c>
      <c r="P7" s="50">
        <v>1.8799999999999999E-3</v>
      </c>
      <c r="Q7" s="50">
        <v>5.4800000000000001E-2</v>
      </c>
      <c r="R7" s="56">
        <f t="shared" ref="R7:R25" si="2">((K7-D7)/D7)</f>
        <v>-7.8308035700349176E-3</v>
      </c>
      <c r="S7" s="56">
        <f t="shared" ref="S7:S25" si="3">((N7-G7)/G7)</f>
        <v>-7.8414670899119108E-3</v>
      </c>
      <c r="T7" s="56">
        <f t="shared" ref="T7:T25" si="4">((O7-H7)/H7)</f>
        <v>0</v>
      </c>
      <c r="U7" s="57">
        <f t="shared" ref="U7:U25" si="5">P7-I7</f>
        <v>6.0359999999999997E-3</v>
      </c>
      <c r="V7" s="58">
        <f t="shared" ref="V7:V25" si="6">Q7-J7</f>
        <v>-8.3000000000000018E-3</v>
      </c>
    </row>
    <row r="8" spans="1:25">
      <c r="A8" s="137">
        <v>3</v>
      </c>
      <c r="B8" s="135" t="s">
        <v>22</v>
      </c>
      <c r="C8" s="136" t="s">
        <v>23</v>
      </c>
      <c r="D8" s="33">
        <v>4006471765.1199999</v>
      </c>
      <c r="E8" s="30">
        <f t="shared" si="0"/>
        <v>0.10712828986224658</v>
      </c>
      <c r="F8" s="33">
        <v>36.379300000000001</v>
      </c>
      <c r="G8" s="33">
        <v>37.476199999999999</v>
      </c>
      <c r="H8" s="34">
        <v>6661</v>
      </c>
      <c r="I8" s="51">
        <v>-0.23230000000000001</v>
      </c>
      <c r="J8" s="51">
        <v>0.1303</v>
      </c>
      <c r="K8" s="33">
        <v>3952853130.4699998</v>
      </c>
      <c r="L8" s="30">
        <f t="shared" si="1"/>
        <v>0.10685139233823934</v>
      </c>
      <c r="M8" s="33">
        <v>35.873800000000003</v>
      </c>
      <c r="N8" s="33">
        <v>36.955500000000001</v>
      </c>
      <c r="O8" s="34">
        <v>6662</v>
      </c>
      <c r="P8" s="51">
        <v>-0.72450000000000003</v>
      </c>
      <c r="Q8" s="51">
        <v>5.3900000000000003E-2</v>
      </c>
      <c r="R8" s="56">
        <f t="shared" si="2"/>
        <v>-1.3383005745054624E-2</v>
      </c>
      <c r="S8" s="56">
        <f t="shared" si="3"/>
        <v>-1.3894151488144421E-2</v>
      </c>
      <c r="T8" s="56">
        <f t="shared" si="4"/>
        <v>1.5012760846719713E-4</v>
      </c>
      <c r="U8" s="57">
        <f t="shared" si="5"/>
        <v>-0.49220000000000003</v>
      </c>
      <c r="V8" s="58">
        <f t="shared" si="6"/>
        <v>-7.6399999999999996E-2</v>
      </c>
      <c r="X8" s="59"/>
      <c r="Y8" s="59"/>
    </row>
    <row r="9" spans="1:25">
      <c r="A9" s="137">
        <v>4</v>
      </c>
      <c r="B9" s="135" t="s">
        <v>24</v>
      </c>
      <c r="C9" s="136" t="s">
        <v>25</v>
      </c>
      <c r="D9" s="33">
        <v>597473006.52999997</v>
      </c>
      <c r="E9" s="30">
        <f t="shared" si="0"/>
        <v>1.5975717584146433E-2</v>
      </c>
      <c r="F9" s="33">
        <v>223.74199999999999</v>
      </c>
      <c r="G9" s="33">
        <v>223.74199999999999</v>
      </c>
      <c r="H9" s="32">
        <v>1925</v>
      </c>
      <c r="I9" s="50">
        <v>-2.5999999999999999E-3</v>
      </c>
      <c r="J9" s="50">
        <v>2.18E-2</v>
      </c>
      <c r="K9" s="33">
        <v>572777118.21000004</v>
      </c>
      <c r="L9" s="30">
        <f t="shared" si="1"/>
        <v>1.5483001912834997E-2</v>
      </c>
      <c r="M9" s="33">
        <v>220.84889999999999</v>
      </c>
      <c r="N9" s="33">
        <v>220.84889999999999</v>
      </c>
      <c r="O9" s="32">
        <v>1927</v>
      </c>
      <c r="P9" s="50">
        <v>-1.29E-2</v>
      </c>
      <c r="Q9" s="50">
        <v>8.6E-3</v>
      </c>
      <c r="R9" s="56">
        <f t="shared" si="2"/>
        <v>-4.1333898017298823E-2</v>
      </c>
      <c r="S9" s="56">
        <f t="shared" si="3"/>
        <v>-1.2930518186125109E-2</v>
      </c>
      <c r="T9" s="56">
        <f t="shared" si="4"/>
        <v>1.038961038961039E-3</v>
      </c>
      <c r="U9" s="57">
        <f t="shared" si="5"/>
        <v>-1.03E-2</v>
      </c>
      <c r="V9" s="58">
        <f t="shared" si="6"/>
        <v>-1.32E-2</v>
      </c>
    </row>
    <row r="10" spans="1:25">
      <c r="A10" s="137">
        <v>5</v>
      </c>
      <c r="B10" s="135" t="s">
        <v>26</v>
      </c>
      <c r="C10" s="136" t="s">
        <v>27</v>
      </c>
      <c r="D10" s="33">
        <v>1001851935.46</v>
      </c>
      <c r="E10" s="30">
        <f t="shared" si="0"/>
        <v>2.678832919163154E-2</v>
      </c>
      <c r="F10" s="33">
        <v>1.3260000000000001</v>
      </c>
      <c r="G10" s="33">
        <v>1.3439000000000001</v>
      </c>
      <c r="H10" s="32">
        <v>502</v>
      </c>
      <c r="I10" s="50">
        <v>-1.2999999999999999E-3</v>
      </c>
      <c r="J10" s="50">
        <v>7.0900000000000005E-2</v>
      </c>
      <c r="K10" s="33">
        <v>1012771735.26</v>
      </c>
      <c r="L10" s="30">
        <f t="shared" si="1"/>
        <v>2.7376698921388633E-2</v>
      </c>
      <c r="M10" s="33">
        <v>1.3064</v>
      </c>
      <c r="N10" s="33">
        <v>1.3237000000000001</v>
      </c>
      <c r="O10" s="32">
        <v>507</v>
      </c>
      <c r="P10" s="50">
        <v>-1.49E-2</v>
      </c>
      <c r="Q10" s="50">
        <v>5.4899999999999997E-2</v>
      </c>
      <c r="R10" s="56">
        <f t="shared" si="2"/>
        <v>1.0899614417559746E-2</v>
      </c>
      <c r="S10" s="56">
        <f t="shared" si="3"/>
        <v>-1.5030880273829894E-2</v>
      </c>
      <c r="T10" s="56">
        <f t="shared" si="4"/>
        <v>9.9601593625498006E-3</v>
      </c>
      <c r="U10" s="57">
        <f t="shared" si="5"/>
        <v>-1.3600000000000001E-2</v>
      </c>
      <c r="V10" s="58">
        <f t="shared" si="6"/>
        <v>-1.6000000000000007E-2</v>
      </c>
    </row>
    <row r="11" spans="1:25">
      <c r="A11" s="137">
        <v>6</v>
      </c>
      <c r="B11" s="135" t="s">
        <v>28</v>
      </c>
      <c r="C11" s="136" t="s">
        <v>29</v>
      </c>
      <c r="D11" s="35">
        <v>101329770.42</v>
      </c>
      <c r="E11" s="30">
        <f t="shared" si="0"/>
        <v>2.709437543460019E-3</v>
      </c>
      <c r="F11" s="33">
        <v>180.8313</v>
      </c>
      <c r="G11" s="33">
        <v>181.74770000000001</v>
      </c>
      <c r="H11" s="34">
        <v>68</v>
      </c>
      <c r="I11" s="51">
        <v>-3.967E-3</v>
      </c>
      <c r="J11" s="51">
        <v>5.21E-2</v>
      </c>
      <c r="K11" s="35">
        <v>100846423.20999999</v>
      </c>
      <c r="L11" s="30">
        <f t="shared" si="1"/>
        <v>2.7260260820868407E-3</v>
      </c>
      <c r="M11" s="33">
        <v>179.99289999999999</v>
      </c>
      <c r="N11" s="33">
        <v>180.90199999999999</v>
      </c>
      <c r="O11" s="34">
        <v>68</v>
      </c>
      <c r="P11" s="51">
        <v>-4.0899999999999999E-3</v>
      </c>
      <c r="Q11" s="51">
        <v>4.7199999999999999E-2</v>
      </c>
      <c r="R11" s="56">
        <f t="shared" si="2"/>
        <v>-4.7700414991230207E-3</v>
      </c>
      <c r="S11" s="56">
        <f t="shared" si="3"/>
        <v>-4.6531537950687801E-3</v>
      </c>
      <c r="T11" s="56">
        <f t="shared" si="4"/>
        <v>0</v>
      </c>
      <c r="U11" s="57">
        <f t="shared" si="5"/>
        <v>-1.2299999999999985E-4</v>
      </c>
      <c r="V11" s="58">
        <f t="shared" si="6"/>
        <v>-4.9000000000000016E-3</v>
      </c>
    </row>
    <row r="12" spans="1:25">
      <c r="A12" s="137">
        <v>7</v>
      </c>
      <c r="B12" s="135" t="s">
        <v>30</v>
      </c>
      <c r="C12" s="136" t="s">
        <v>31</v>
      </c>
      <c r="D12" s="33">
        <v>1449579423.51</v>
      </c>
      <c r="E12" s="30">
        <f t="shared" si="0"/>
        <v>3.8760029712945294E-2</v>
      </c>
      <c r="F12" s="33">
        <v>352.18</v>
      </c>
      <c r="G12" s="33">
        <v>356.65</v>
      </c>
      <c r="H12" s="34">
        <v>1672</v>
      </c>
      <c r="I12" s="51">
        <v>-2.3999999999999998E-3</v>
      </c>
      <c r="J12" s="51">
        <v>8.7599999999999997E-2</v>
      </c>
      <c r="K12" s="33">
        <v>1442614406.02</v>
      </c>
      <c r="L12" s="30">
        <f t="shared" si="1"/>
        <v>3.8995973997169746E-2</v>
      </c>
      <c r="M12" s="33">
        <v>349.38</v>
      </c>
      <c r="N12" s="33">
        <v>353.95</v>
      </c>
      <c r="O12" s="34">
        <v>1675</v>
      </c>
      <c r="P12" s="51">
        <v>-7.7999999999999996E-3</v>
      </c>
      <c r="Q12" s="51">
        <v>7.8899999999999998E-2</v>
      </c>
      <c r="R12" s="56">
        <f t="shared" si="2"/>
        <v>-4.8048539990550995E-3</v>
      </c>
      <c r="S12" s="56">
        <f t="shared" si="3"/>
        <v>-7.5704472171596489E-3</v>
      </c>
      <c r="T12" s="56">
        <f t="shared" si="4"/>
        <v>1.7942583732057417E-3</v>
      </c>
      <c r="U12" s="57">
        <f t="shared" si="5"/>
        <v>-5.4000000000000003E-3</v>
      </c>
      <c r="V12" s="58">
        <f t="shared" si="6"/>
        <v>-8.6999999999999994E-3</v>
      </c>
    </row>
    <row r="13" spans="1:25">
      <c r="A13" s="137">
        <v>8</v>
      </c>
      <c r="B13" s="135" t="s">
        <v>32</v>
      </c>
      <c r="C13" s="136" t="s">
        <v>33</v>
      </c>
      <c r="D13" s="29">
        <v>431466435.54000002</v>
      </c>
      <c r="E13" s="30">
        <f t="shared" si="0"/>
        <v>1.1536899317440973E-2</v>
      </c>
      <c r="F13" s="33">
        <v>216.29</v>
      </c>
      <c r="G13" s="33">
        <v>225.66</v>
      </c>
      <c r="H13" s="32">
        <v>2468</v>
      </c>
      <c r="I13" s="50">
        <v>-1.1299999999999999E-2</v>
      </c>
      <c r="J13" s="50">
        <v>0.72053999999999996</v>
      </c>
      <c r="K13" s="29">
        <v>429134926.06</v>
      </c>
      <c r="L13" s="30">
        <f t="shared" si="1"/>
        <v>1.1600143703043762E-2</v>
      </c>
      <c r="M13" s="33">
        <v>214.07</v>
      </c>
      <c r="N13" s="33">
        <v>223.22</v>
      </c>
      <c r="O13" s="32">
        <v>2468</v>
      </c>
      <c r="P13" s="50">
        <v>-9.2999999999999992E-3</v>
      </c>
      <c r="Q13" s="50">
        <v>0.70289999999999997</v>
      </c>
      <c r="R13" s="56">
        <f t="shared" si="2"/>
        <v>-5.4036867945058764E-3</v>
      </c>
      <c r="S13" s="56">
        <f t="shared" si="3"/>
        <v>-1.0812727111583788E-2</v>
      </c>
      <c r="T13" s="56">
        <f t="shared" si="4"/>
        <v>0</v>
      </c>
      <c r="U13" s="57">
        <f t="shared" si="5"/>
        <v>2E-3</v>
      </c>
      <c r="V13" s="58">
        <f t="shared" si="6"/>
        <v>-1.7639999999999989E-2</v>
      </c>
    </row>
    <row r="14" spans="1:25">
      <c r="A14" s="137">
        <v>9</v>
      </c>
      <c r="B14" s="135" t="s">
        <v>34</v>
      </c>
      <c r="C14" s="136" t="s">
        <v>35</v>
      </c>
      <c r="D14" s="35">
        <v>64863850.986299999</v>
      </c>
      <c r="E14" s="30">
        <f t="shared" si="0"/>
        <v>1.7343822289070318E-3</v>
      </c>
      <c r="F14" s="33">
        <v>227.20650000000001</v>
      </c>
      <c r="G14" s="33">
        <v>234.40270000000001</v>
      </c>
      <c r="H14" s="32">
        <v>18</v>
      </c>
      <c r="I14" s="50">
        <v>-1.03E-2</v>
      </c>
      <c r="J14" s="50">
        <v>2.8400000000000002E-2</v>
      </c>
      <c r="K14" s="35">
        <v>64671075.9723</v>
      </c>
      <c r="L14" s="30">
        <f t="shared" si="1"/>
        <v>1.7481536205800491E-3</v>
      </c>
      <c r="M14" s="33">
        <v>226.5386</v>
      </c>
      <c r="N14" s="33">
        <v>233.69980000000001</v>
      </c>
      <c r="O14" s="32">
        <v>18</v>
      </c>
      <c r="P14" s="50">
        <v>-3.0000000000000001E-3</v>
      </c>
      <c r="Q14" s="50">
        <v>2.53E-2</v>
      </c>
      <c r="R14" s="56">
        <f t="shared" si="2"/>
        <v>-2.9719945866414081E-3</v>
      </c>
      <c r="S14" s="56">
        <f t="shared" si="3"/>
        <v>-2.9986855953451031E-3</v>
      </c>
      <c r="T14" s="56">
        <f t="shared" si="4"/>
        <v>0</v>
      </c>
      <c r="U14" s="57">
        <f t="shared" si="5"/>
        <v>7.3000000000000001E-3</v>
      </c>
      <c r="V14" s="58">
        <f t="shared" si="6"/>
        <v>-3.1000000000000021E-3</v>
      </c>
    </row>
    <row r="15" spans="1:25" ht="14.25" customHeight="1">
      <c r="A15" s="137">
        <v>10</v>
      </c>
      <c r="B15" s="135" t="s">
        <v>36</v>
      </c>
      <c r="C15" s="136" t="s">
        <v>37</v>
      </c>
      <c r="D15" s="29">
        <v>743298641.69000006</v>
      </c>
      <c r="E15" s="30">
        <f t="shared" si="0"/>
        <v>1.9874921629154548E-2</v>
      </c>
      <c r="F15" s="33">
        <v>2.51858</v>
      </c>
      <c r="G15" s="33">
        <v>2.5432350000000001</v>
      </c>
      <c r="H15" s="32">
        <v>479</v>
      </c>
      <c r="I15" s="50">
        <v>-5.4863347066939072E-3</v>
      </c>
      <c r="J15" s="50">
        <v>0.20237727524231786</v>
      </c>
      <c r="K15" s="29">
        <v>743758660.44000006</v>
      </c>
      <c r="L15" s="30">
        <f t="shared" si="1"/>
        <v>2.0104882678043869E-2</v>
      </c>
      <c r="M15" s="33">
        <v>2.5198480000000001</v>
      </c>
      <c r="N15" s="33">
        <v>2.5457100000000001</v>
      </c>
      <c r="O15" s="32">
        <v>481</v>
      </c>
      <c r="P15" s="50">
        <v>5.0345829792974861E-4</v>
      </c>
      <c r="Q15" s="50">
        <v>0.20298262205878093</v>
      </c>
      <c r="R15" s="56">
        <f t="shared" si="2"/>
        <v>6.1888818867484935E-4</v>
      </c>
      <c r="S15" s="56">
        <f t="shared" si="3"/>
        <v>9.7316999805366193E-4</v>
      </c>
      <c r="T15" s="56">
        <f t="shared" si="4"/>
        <v>4.1753653444676405E-3</v>
      </c>
      <c r="U15" s="57">
        <f t="shared" si="5"/>
        <v>5.9897930046236558E-3</v>
      </c>
      <c r="V15" s="58">
        <f t="shared" si="6"/>
        <v>6.0534681646307043E-4</v>
      </c>
    </row>
    <row r="16" spans="1:25" ht="14.25" customHeight="1">
      <c r="A16" s="137">
        <v>11</v>
      </c>
      <c r="B16" s="135" t="s">
        <v>38</v>
      </c>
      <c r="C16" s="136" t="s">
        <v>39</v>
      </c>
      <c r="D16" s="29">
        <v>38138560.560000002</v>
      </c>
      <c r="E16" s="30">
        <f t="shared" si="0"/>
        <v>1.0197797488978816E-3</v>
      </c>
      <c r="F16" s="33">
        <v>15.77</v>
      </c>
      <c r="G16" s="33">
        <v>16.23</v>
      </c>
      <c r="H16" s="32">
        <v>29</v>
      </c>
      <c r="I16" s="50">
        <v>2.0000000000000002E-5</v>
      </c>
      <c r="J16" s="50">
        <v>4.4999999999999997E-3</v>
      </c>
      <c r="K16" s="29">
        <v>38542856.32</v>
      </c>
      <c r="L16" s="30">
        <f t="shared" si="1"/>
        <v>1.0418696891971368E-3</v>
      </c>
      <c r="M16" s="33">
        <v>19.899999999999999</v>
      </c>
      <c r="N16" s="33">
        <v>16.37</v>
      </c>
      <c r="O16" s="32">
        <v>29</v>
      </c>
      <c r="P16" s="50">
        <v>8.0000000000000007E-5</v>
      </c>
      <c r="Q16" s="50">
        <v>0.59</v>
      </c>
      <c r="R16" s="56">
        <f t="shared" ref="R16" si="7">((K16-D16)/D16)</f>
        <v>1.0600708418555949E-2</v>
      </c>
      <c r="S16" s="56">
        <f t="shared" ref="S16" si="8">((N16-G16)/G16)</f>
        <v>8.6260012322859243E-3</v>
      </c>
      <c r="T16" s="56">
        <f t="shared" ref="T16" si="9">((O16-H16)/H16)</f>
        <v>0</v>
      </c>
      <c r="U16" s="57">
        <f t="shared" ref="U16" si="10">P16-I16</f>
        <v>6.0000000000000008E-5</v>
      </c>
      <c r="V16" s="58">
        <f t="shared" ref="V16" si="11">Q16-J16</f>
        <v>0.58550000000000002</v>
      </c>
    </row>
    <row r="17" spans="1:22">
      <c r="A17" s="137">
        <v>12</v>
      </c>
      <c r="B17" s="135" t="s">
        <v>40</v>
      </c>
      <c r="C17" s="136" t="s">
        <v>41</v>
      </c>
      <c r="D17" s="129">
        <v>1874722554.98</v>
      </c>
      <c r="E17" s="30">
        <f t="shared" si="0"/>
        <v>5.0127851400239086E-2</v>
      </c>
      <c r="F17" s="33">
        <v>3.82</v>
      </c>
      <c r="G17" s="33">
        <v>3.9</v>
      </c>
      <c r="H17" s="32">
        <v>3650</v>
      </c>
      <c r="I17" s="50">
        <v>-2.0500000000000001E-2</v>
      </c>
      <c r="J17" s="50">
        <v>4.9500000000000002E-2</v>
      </c>
      <c r="K17" s="129">
        <v>1858275217.6500001</v>
      </c>
      <c r="L17" s="30">
        <f t="shared" si="1"/>
        <v>5.0231892711363725E-2</v>
      </c>
      <c r="M17" s="33">
        <v>3.79</v>
      </c>
      <c r="N17" s="33">
        <v>3.87</v>
      </c>
      <c r="O17" s="32">
        <v>3648</v>
      </c>
      <c r="P17" s="50">
        <v>-1.7000000000000001E-2</v>
      </c>
      <c r="Q17" s="50">
        <v>4.2599999999999999E-2</v>
      </c>
      <c r="R17" s="56">
        <f t="shared" si="2"/>
        <v>-8.7732114207029355E-3</v>
      </c>
      <c r="S17" s="56">
        <f t="shared" si="3"/>
        <v>-7.6923076923076424E-3</v>
      </c>
      <c r="T17" s="56">
        <f t="shared" si="4"/>
        <v>-5.4794520547945202E-4</v>
      </c>
      <c r="U17" s="57">
        <f t="shared" si="5"/>
        <v>3.4999999999999996E-3</v>
      </c>
      <c r="V17" s="58">
        <f t="shared" si="6"/>
        <v>-6.9000000000000034E-3</v>
      </c>
    </row>
    <row r="18" spans="1:22">
      <c r="A18" s="137">
        <v>13</v>
      </c>
      <c r="B18" s="135" t="s">
        <v>42</v>
      </c>
      <c r="C18" s="136" t="s">
        <v>43</v>
      </c>
      <c r="D18" s="33">
        <v>976047152.50999999</v>
      </c>
      <c r="E18" s="30">
        <f t="shared" si="0"/>
        <v>2.6098339986723923E-2</v>
      </c>
      <c r="F18" s="33">
        <v>25.671651000000001</v>
      </c>
      <c r="G18" s="33">
        <v>25.786995999999998</v>
      </c>
      <c r="H18" s="32">
        <v>460</v>
      </c>
      <c r="I18" s="50">
        <v>-2.8483996279974333E-3</v>
      </c>
      <c r="J18" s="50">
        <v>5.6777231854774568E-2</v>
      </c>
      <c r="K18" s="33">
        <v>955994455.98000002</v>
      </c>
      <c r="L18" s="30">
        <f t="shared" si="1"/>
        <v>2.5841926152453575E-2</v>
      </c>
      <c r="M18" s="33">
        <v>25.306515000000001</v>
      </c>
      <c r="N18" s="33">
        <v>25.431034</v>
      </c>
      <c r="O18" s="32">
        <v>465</v>
      </c>
      <c r="P18" s="50">
        <v>-1.4223315828031491E-2</v>
      </c>
      <c r="Q18" s="50">
        <v>4.1746355526231405E-2</v>
      </c>
      <c r="R18" s="56">
        <f t="shared" si="2"/>
        <v>-2.0544803064516417E-2</v>
      </c>
      <c r="S18" s="56">
        <f t="shared" si="3"/>
        <v>-1.3803934355129933E-2</v>
      </c>
      <c r="T18" s="56">
        <f t="shared" si="4"/>
        <v>1.0869565217391304E-2</v>
      </c>
      <c r="U18" s="57">
        <f t="shared" si="5"/>
        <v>-1.1374916200034058E-2</v>
      </c>
      <c r="V18" s="58">
        <f t="shared" si="6"/>
        <v>-1.5030876328543163E-2</v>
      </c>
    </row>
    <row r="19" spans="1:22">
      <c r="A19" s="137">
        <v>14</v>
      </c>
      <c r="B19" s="135" t="s">
        <v>44</v>
      </c>
      <c r="C19" s="136" t="s">
        <v>45</v>
      </c>
      <c r="D19" s="33">
        <v>135139862.93000001</v>
      </c>
      <c r="E19" s="30">
        <f t="shared" si="0"/>
        <v>3.6134792048074485E-3</v>
      </c>
      <c r="F19" s="33">
        <v>1.4521539999999999</v>
      </c>
      <c r="G19" s="33">
        <v>1.509072</v>
      </c>
      <c r="H19" s="32">
        <v>23</v>
      </c>
      <c r="I19" s="50">
        <v>1E-4</v>
      </c>
      <c r="J19" s="50">
        <v>4.2299999999999997E-2</v>
      </c>
      <c r="K19" s="33">
        <v>133759754.84999999</v>
      </c>
      <c r="L19" s="30">
        <f t="shared" si="1"/>
        <v>3.6157214985735315E-3</v>
      </c>
      <c r="M19" s="33">
        <v>1.437324</v>
      </c>
      <c r="N19" s="33">
        <v>1.4948809999999999</v>
      </c>
      <c r="O19" s="32">
        <v>23</v>
      </c>
      <c r="P19" s="50">
        <v>0.3659</v>
      </c>
      <c r="Q19" s="50">
        <v>-0.3246</v>
      </c>
      <c r="R19" s="56">
        <f t="shared" si="2"/>
        <v>-1.0212442502734252E-2</v>
      </c>
      <c r="S19" s="56">
        <f t="shared" si="3"/>
        <v>-9.4037925294486041E-3</v>
      </c>
      <c r="T19" s="56">
        <f t="shared" si="4"/>
        <v>0</v>
      </c>
      <c r="U19" s="57">
        <f t="shared" si="5"/>
        <v>0.36580000000000001</v>
      </c>
      <c r="V19" s="58">
        <f t="shared" si="6"/>
        <v>-0.3669</v>
      </c>
    </row>
    <row r="20" spans="1:22">
      <c r="A20" s="137">
        <v>15</v>
      </c>
      <c r="B20" s="135" t="s">
        <v>46</v>
      </c>
      <c r="C20" s="136" t="s">
        <v>47</v>
      </c>
      <c r="D20" s="29">
        <v>2526332272.8600001</v>
      </c>
      <c r="E20" s="30">
        <f t="shared" si="0"/>
        <v>6.7551120257848166E-2</v>
      </c>
      <c r="F20" s="33">
        <v>33.340000000000003</v>
      </c>
      <c r="G20" s="33">
        <v>33.53</v>
      </c>
      <c r="H20" s="32">
        <v>8944</v>
      </c>
      <c r="I20" s="50">
        <v>2.7000000000000001E-3</v>
      </c>
      <c r="J20" s="50">
        <v>5.9200000000000003E-2</v>
      </c>
      <c r="K20" s="29">
        <v>2476039673.0100002</v>
      </c>
      <c r="L20" s="30">
        <f t="shared" si="1"/>
        <v>6.6930968040894517E-2</v>
      </c>
      <c r="M20" s="33">
        <v>32.630000000000003</v>
      </c>
      <c r="N20" s="33">
        <v>32.83</v>
      </c>
      <c r="O20" s="32">
        <v>8944</v>
      </c>
      <c r="P20" s="50">
        <v>-2.0299999999999999E-2</v>
      </c>
      <c r="Q20" s="50">
        <v>4.0899999999999999E-2</v>
      </c>
      <c r="R20" s="56">
        <f t="shared" si="2"/>
        <v>-1.9907357551611712E-2</v>
      </c>
      <c r="S20" s="56">
        <f t="shared" si="3"/>
        <v>-2.0876826722338288E-2</v>
      </c>
      <c r="T20" s="56">
        <f t="shared" si="4"/>
        <v>0</v>
      </c>
      <c r="U20" s="57">
        <f t="shared" si="5"/>
        <v>-2.3E-2</v>
      </c>
      <c r="V20" s="58">
        <f t="shared" si="6"/>
        <v>-1.8300000000000004E-2</v>
      </c>
    </row>
    <row r="21" spans="1:22" ht="12.75" customHeight="1">
      <c r="A21" s="137">
        <v>16</v>
      </c>
      <c r="B21" s="135" t="s">
        <v>48</v>
      </c>
      <c r="C21" s="136" t="s">
        <v>49</v>
      </c>
      <c r="D21" s="33">
        <v>869013590.99000001</v>
      </c>
      <c r="E21" s="30">
        <f t="shared" si="0"/>
        <v>2.323638985311061E-2</v>
      </c>
      <c r="F21" s="33">
        <v>8598.6</v>
      </c>
      <c r="G21" s="33">
        <v>8714.3700000000008</v>
      </c>
      <c r="H21" s="32">
        <v>21</v>
      </c>
      <c r="I21" s="50">
        <v>-3.7000000000000002E-3</v>
      </c>
      <c r="J21" s="50">
        <v>7.4399999999999994E-2</v>
      </c>
      <c r="K21" s="33">
        <v>863361910.83000004</v>
      </c>
      <c r="L21" s="30">
        <f t="shared" si="1"/>
        <v>2.3337933188784965E-2</v>
      </c>
      <c r="M21" s="33">
        <v>8542.49</v>
      </c>
      <c r="N21" s="33">
        <v>8657.82</v>
      </c>
      <c r="O21" s="32">
        <v>21</v>
      </c>
      <c r="P21" s="50">
        <v>-6.4999999999999997E-3</v>
      </c>
      <c r="Q21" s="50">
        <v>6.7400000000000002E-2</v>
      </c>
      <c r="R21" s="56">
        <f t="shared" si="2"/>
        <v>-6.5035578483432516E-3</v>
      </c>
      <c r="S21" s="56">
        <f t="shared" si="3"/>
        <v>-6.4892814971135131E-3</v>
      </c>
      <c r="T21" s="56">
        <f t="shared" si="4"/>
        <v>0</v>
      </c>
      <c r="U21" s="57">
        <f t="shared" si="5"/>
        <v>-2.7999999999999995E-3</v>
      </c>
      <c r="V21" s="58">
        <f t="shared" si="6"/>
        <v>-6.9999999999999923E-3</v>
      </c>
    </row>
    <row r="22" spans="1:22">
      <c r="A22" s="137">
        <v>17</v>
      </c>
      <c r="B22" s="135" t="s">
        <v>50</v>
      </c>
      <c r="C22" s="136" t="s">
        <v>49</v>
      </c>
      <c r="D22" s="33">
        <v>14117024991.24</v>
      </c>
      <c r="E22" s="30">
        <f t="shared" si="0"/>
        <v>0.37747245804160584</v>
      </c>
      <c r="F22" s="33">
        <v>27015.4</v>
      </c>
      <c r="G22" s="33">
        <v>27403.51</v>
      </c>
      <c r="H22" s="32">
        <v>17605</v>
      </c>
      <c r="I22" s="50">
        <v>0</v>
      </c>
      <c r="J22" s="50">
        <v>6.6199999999999995E-2</v>
      </c>
      <c r="K22" s="33">
        <v>13963128887.540001</v>
      </c>
      <c r="L22" s="30">
        <f t="shared" si="1"/>
        <v>0.37744376372884403</v>
      </c>
      <c r="M22" s="33">
        <v>26831.83</v>
      </c>
      <c r="N22" s="33">
        <v>27218.44</v>
      </c>
      <c r="O22" s="32">
        <v>17610</v>
      </c>
      <c r="P22" s="50">
        <v>-6.7999999999999996E-3</v>
      </c>
      <c r="Q22" s="50">
        <v>5.8999999999999997E-2</v>
      </c>
      <c r="R22" s="56">
        <f t="shared" si="2"/>
        <v>-1.0901454364180527E-2</v>
      </c>
      <c r="S22" s="56">
        <f t="shared" si="3"/>
        <v>-6.7535144220576019E-3</v>
      </c>
      <c r="T22" s="56">
        <f t="shared" si="4"/>
        <v>2.8401022436807724E-4</v>
      </c>
      <c r="U22" s="57">
        <f t="shared" si="5"/>
        <v>-6.7999999999999996E-3</v>
      </c>
      <c r="V22" s="58">
        <f t="shared" si="6"/>
        <v>-7.1999999999999981E-3</v>
      </c>
    </row>
    <row r="23" spans="1:22">
      <c r="A23" s="137">
        <v>18</v>
      </c>
      <c r="B23" s="136" t="s">
        <v>51</v>
      </c>
      <c r="C23" s="136" t="s">
        <v>52</v>
      </c>
      <c r="D23" s="33">
        <v>4150610559.8200002</v>
      </c>
      <c r="E23" s="30">
        <f t="shared" ref="E23" si="12">(D23/$D$25)</f>
        <v>0.11098238979961479</v>
      </c>
      <c r="F23" s="33">
        <v>1.6205000000000001</v>
      </c>
      <c r="G23" s="31">
        <v>1.6366000000000001</v>
      </c>
      <c r="H23" s="32">
        <v>4751</v>
      </c>
      <c r="I23" s="50">
        <v>4.7000000000000002E-3</v>
      </c>
      <c r="J23" s="50">
        <v>8.6300000000000002E-2</v>
      </c>
      <c r="K23" s="33">
        <v>4107857531.3099999</v>
      </c>
      <c r="L23" s="30">
        <f t="shared" ref="L23" si="13">(K23/$K$25)</f>
        <v>0.11104138764078156</v>
      </c>
      <c r="M23" s="33">
        <v>1.6055999999999999</v>
      </c>
      <c r="N23" s="31">
        <v>1.6214</v>
      </c>
      <c r="O23" s="32">
        <v>4755</v>
      </c>
      <c r="P23" s="50">
        <v>-9.1999999999999998E-3</v>
      </c>
      <c r="Q23" s="50">
        <v>7.6300000000000007E-2</v>
      </c>
      <c r="R23" s="56">
        <f t="shared" ref="R23" si="14">((K23-D23)/D23)</f>
        <v>-1.0300419153719471E-2</v>
      </c>
      <c r="S23" s="56">
        <f t="shared" ref="S23" si="15">((N23-G23)/G23)</f>
        <v>-9.2875473542711126E-3</v>
      </c>
      <c r="T23" s="56">
        <f t="shared" ref="T23" si="16">((O23-H23)/H23)</f>
        <v>8.4192801515470424E-4</v>
      </c>
      <c r="U23" s="57">
        <f t="shared" ref="U23" si="17">P23-I23</f>
        <v>-1.3899999999999999E-2</v>
      </c>
      <c r="V23" s="58">
        <f t="shared" ref="V23" si="18">Q23-J23</f>
        <v>-9.999999999999995E-3</v>
      </c>
    </row>
    <row r="24" spans="1:22">
      <c r="A24" s="137">
        <v>19</v>
      </c>
      <c r="B24" s="136" t="s">
        <v>297</v>
      </c>
      <c r="C24" s="136" t="s">
        <v>298</v>
      </c>
      <c r="D24" s="33">
        <v>2048305423.8699999</v>
      </c>
      <c r="E24" s="30">
        <f>(D24/$D$25)</f>
        <v>5.4769250861845246E-2</v>
      </c>
      <c r="F24" s="33">
        <v>125.85</v>
      </c>
      <c r="G24" s="31">
        <v>130.31</v>
      </c>
      <c r="H24" s="32">
        <v>34</v>
      </c>
      <c r="I24" s="50">
        <v>-7.4999999999999997E-3</v>
      </c>
      <c r="J24" s="50">
        <v>4.5900000000000003E-2</v>
      </c>
      <c r="K24" s="33">
        <v>2025777541</v>
      </c>
      <c r="L24" s="30">
        <f>(K24/$K$25)</f>
        <v>5.4759725109657105E-2</v>
      </c>
      <c r="M24" s="33">
        <v>124</v>
      </c>
      <c r="N24" s="31">
        <v>129</v>
      </c>
      <c r="O24" s="32">
        <v>34</v>
      </c>
      <c r="P24" s="50">
        <v>-0.01</v>
      </c>
      <c r="Q24" s="50">
        <v>0.03</v>
      </c>
      <c r="R24" s="56">
        <f t="shared" si="2"/>
        <v>-1.0998302600515725E-2</v>
      </c>
      <c r="S24" s="56">
        <f t="shared" si="3"/>
        <v>-1.0052950656127713E-2</v>
      </c>
      <c r="T24" s="56">
        <f t="shared" si="4"/>
        <v>0</v>
      </c>
      <c r="U24" s="57">
        <f t="shared" si="5"/>
        <v>-2.5000000000000005E-3</v>
      </c>
      <c r="V24" s="58">
        <f t="shared" si="6"/>
        <v>-1.5900000000000004E-2</v>
      </c>
    </row>
    <row r="25" spans="1:22">
      <c r="A25" s="36"/>
      <c r="B25" s="37"/>
      <c r="C25" s="38" t="s">
        <v>53</v>
      </c>
      <c r="D25" s="39">
        <f>SUM(D6:D24)</f>
        <v>37398821266.276306</v>
      </c>
      <c r="E25" s="40">
        <f>(D25/$D$217)</f>
        <v>8.11698102780644E-3</v>
      </c>
      <c r="F25" s="41"/>
      <c r="G25" s="42"/>
      <c r="H25" s="43">
        <f>SUM(H6:H24)</f>
        <v>51591</v>
      </c>
      <c r="I25" s="52"/>
      <c r="J25" s="32">
        <v>0</v>
      </c>
      <c r="K25" s="39">
        <f>SUM(K6:K24)</f>
        <v>36993931889.602303</v>
      </c>
      <c r="L25" s="40">
        <f>(K25/$K$217)</f>
        <v>7.839325593238574E-3</v>
      </c>
      <c r="M25" s="41"/>
      <c r="N25" s="42"/>
      <c r="O25" s="43">
        <f>SUM(O6:O24)</f>
        <v>51616</v>
      </c>
      <c r="P25" s="52"/>
      <c r="Q25" s="43"/>
      <c r="R25" s="56">
        <f t="shared" si="2"/>
        <v>-1.0826260373053658E-2</v>
      </c>
      <c r="S25" s="56" t="e">
        <f t="shared" si="3"/>
        <v>#DIV/0!</v>
      </c>
      <c r="T25" s="56">
        <f t="shared" si="4"/>
        <v>4.8458064391075964E-4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 ht="15" customHeight="1">
      <c r="A27" s="178" t="s">
        <v>54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</row>
    <row r="28" spans="1:22">
      <c r="A28" s="138">
        <v>20</v>
      </c>
      <c r="B28" s="135" t="s">
        <v>55</v>
      </c>
      <c r="C28" s="136" t="s">
        <v>19</v>
      </c>
      <c r="D28" s="44">
        <v>2407172417.3800001</v>
      </c>
      <c r="E28" s="30">
        <f>(D28/$K$68)</f>
        <v>9.9470947324396103E-4</v>
      </c>
      <c r="F28" s="31">
        <v>100</v>
      </c>
      <c r="G28" s="31">
        <v>100</v>
      </c>
      <c r="H28" s="32">
        <v>1166</v>
      </c>
      <c r="I28" s="50">
        <v>0.19539999999999999</v>
      </c>
      <c r="J28" s="50">
        <v>0.19539999999999999</v>
      </c>
      <c r="K28" s="44">
        <v>2485209679.8200002</v>
      </c>
      <c r="L28" s="30">
        <f t="shared" ref="L28:L67" si="19">(K28/$K$68)</f>
        <v>1.0269566042158174E-3</v>
      </c>
      <c r="M28" s="31">
        <v>100</v>
      </c>
      <c r="N28" s="31">
        <v>100</v>
      </c>
      <c r="O28" s="32">
        <v>1166</v>
      </c>
      <c r="P28" s="50">
        <v>0.1885</v>
      </c>
      <c r="Q28" s="50">
        <v>0.1885</v>
      </c>
      <c r="R28" s="56">
        <f>((K28-D28)/D28)</f>
        <v>3.2418642668287506E-2</v>
      </c>
      <c r="S28" s="56">
        <f>((N28-G28)/G28)</f>
        <v>0</v>
      </c>
      <c r="T28" s="56">
        <f>((O28-H28)/H28)</f>
        <v>0</v>
      </c>
      <c r="U28" s="57">
        <f>P28-I28</f>
        <v>-6.8999999999999895E-3</v>
      </c>
      <c r="V28" s="58">
        <f>Q28-J28</f>
        <v>-6.8999999999999895E-3</v>
      </c>
    </row>
    <row r="29" spans="1:22">
      <c r="A29" s="138">
        <v>21</v>
      </c>
      <c r="B29" s="135" t="s">
        <v>56</v>
      </c>
      <c r="C29" s="136" t="s">
        <v>57</v>
      </c>
      <c r="D29" s="44">
        <v>15644978923.290001</v>
      </c>
      <c r="E29" s="30">
        <f t="shared" ref="E29:E67" si="20">(D29/$K$68)</f>
        <v>6.4649331436909679E-3</v>
      </c>
      <c r="F29" s="31">
        <v>100</v>
      </c>
      <c r="G29" s="31">
        <v>100</v>
      </c>
      <c r="H29" s="32">
        <v>2433</v>
      </c>
      <c r="I29" s="50">
        <v>0.23083000000000001</v>
      </c>
      <c r="J29" s="50">
        <v>0.23083000000000001</v>
      </c>
      <c r="K29" s="44">
        <v>16069196748.719999</v>
      </c>
      <c r="L29" s="30">
        <f t="shared" si="19"/>
        <v>6.6402315504970133E-3</v>
      </c>
      <c r="M29" s="31">
        <v>100</v>
      </c>
      <c r="N29" s="31">
        <v>100</v>
      </c>
      <c r="O29" s="32">
        <v>2481</v>
      </c>
      <c r="P29" s="50">
        <v>0.23679700000000001</v>
      </c>
      <c r="Q29" s="50">
        <v>0.23679700000000001</v>
      </c>
      <c r="R29" s="56">
        <f t="shared" ref="R29:R68" si="21">((K29-D29)/D29)</f>
        <v>2.7115269858144952E-2</v>
      </c>
      <c r="S29" s="56">
        <f t="shared" ref="S29:S68" si="22">((N29-G29)/G29)</f>
        <v>0</v>
      </c>
      <c r="T29" s="56">
        <f t="shared" ref="T29:T68" si="23">((O29-H29)/H29)</f>
        <v>1.9728729963008632E-2</v>
      </c>
      <c r="U29" s="57">
        <f t="shared" ref="U29:U68" si="24">P29-I29</f>
        <v>5.9670000000000001E-3</v>
      </c>
      <c r="V29" s="58">
        <f t="shared" ref="V29:V68" si="25">Q29-J29</f>
        <v>5.9670000000000001E-3</v>
      </c>
    </row>
    <row r="30" spans="1:22">
      <c r="A30" s="138">
        <v>22</v>
      </c>
      <c r="B30" s="135" t="s">
        <v>58</v>
      </c>
      <c r="C30" s="136" t="s">
        <v>21</v>
      </c>
      <c r="D30" s="44">
        <v>1593927798.95</v>
      </c>
      <c r="E30" s="30">
        <f t="shared" si="20"/>
        <v>6.5865455662213667E-4</v>
      </c>
      <c r="F30" s="31">
        <v>100</v>
      </c>
      <c r="G30" s="31">
        <v>100</v>
      </c>
      <c r="H30" s="32">
        <v>1905</v>
      </c>
      <c r="I30" s="50">
        <v>0.23449999999999999</v>
      </c>
      <c r="J30" s="50">
        <v>0.23449999999999999</v>
      </c>
      <c r="K30" s="44">
        <v>1631528701.29</v>
      </c>
      <c r="L30" s="30">
        <f t="shared" si="19"/>
        <v>6.7419227776336992E-4</v>
      </c>
      <c r="M30" s="31">
        <v>100</v>
      </c>
      <c r="N30" s="31">
        <v>100</v>
      </c>
      <c r="O30" s="32">
        <v>1919</v>
      </c>
      <c r="P30" s="50">
        <v>0.23180000000000001</v>
      </c>
      <c r="Q30" s="50">
        <v>0.23180000000000001</v>
      </c>
      <c r="R30" s="56">
        <f t="shared" si="21"/>
        <v>2.3590091323314338E-2</v>
      </c>
      <c r="S30" s="56">
        <f t="shared" si="22"/>
        <v>0</v>
      </c>
      <c r="T30" s="56">
        <f t="shared" si="23"/>
        <v>7.3490813648293962E-3</v>
      </c>
      <c r="U30" s="57">
        <f t="shared" si="24"/>
        <v>-2.6999999999999802E-3</v>
      </c>
      <c r="V30" s="58">
        <f t="shared" si="25"/>
        <v>-2.6999999999999802E-3</v>
      </c>
    </row>
    <row r="31" spans="1:22">
      <c r="A31" s="138">
        <v>23</v>
      </c>
      <c r="B31" s="135" t="s">
        <v>59</v>
      </c>
      <c r="C31" s="136" t="s">
        <v>23</v>
      </c>
      <c r="D31" s="44">
        <v>167248214166.42999</v>
      </c>
      <c r="E31" s="30">
        <f t="shared" si="20"/>
        <v>6.9111535930423712E-2</v>
      </c>
      <c r="F31" s="31">
        <v>1</v>
      </c>
      <c r="G31" s="31">
        <v>1</v>
      </c>
      <c r="H31" s="32">
        <v>67196</v>
      </c>
      <c r="I31" s="50">
        <v>0.2248</v>
      </c>
      <c r="J31" s="50">
        <v>0.2248</v>
      </c>
      <c r="K31" s="44">
        <v>179012793744.57001</v>
      </c>
      <c r="L31" s="30">
        <f t="shared" si="19"/>
        <v>7.3972981945099006E-2</v>
      </c>
      <c r="M31" s="31">
        <v>1</v>
      </c>
      <c r="N31" s="31">
        <v>1</v>
      </c>
      <c r="O31" s="32">
        <v>67432</v>
      </c>
      <c r="P31" s="50">
        <v>0.2248</v>
      </c>
      <c r="Q31" s="50">
        <v>0.2248</v>
      </c>
      <c r="R31" s="56">
        <f t="shared" si="21"/>
        <v>7.0342034064608844E-2</v>
      </c>
      <c r="S31" s="56">
        <f t="shared" si="22"/>
        <v>0</v>
      </c>
      <c r="T31" s="56">
        <f t="shared" si="23"/>
        <v>3.5121138162985894E-3</v>
      </c>
      <c r="U31" s="57">
        <f t="shared" si="24"/>
        <v>0</v>
      </c>
      <c r="V31" s="58">
        <f t="shared" si="25"/>
        <v>0</v>
      </c>
    </row>
    <row r="32" spans="1:22">
      <c r="A32" s="138">
        <v>24</v>
      </c>
      <c r="B32" s="135" t="s">
        <v>308</v>
      </c>
      <c r="C32" s="136" t="s">
        <v>118</v>
      </c>
      <c r="D32" s="44">
        <v>339701532.76999998</v>
      </c>
      <c r="E32" s="30">
        <f t="shared" si="20"/>
        <v>1.4037396336137511E-4</v>
      </c>
      <c r="F32" s="31">
        <v>1</v>
      </c>
      <c r="G32" s="31">
        <v>1</v>
      </c>
      <c r="H32" s="32">
        <v>189</v>
      </c>
      <c r="I32" s="50">
        <v>0.21360000000000001</v>
      </c>
      <c r="J32" s="50">
        <v>0.21360000000000001</v>
      </c>
      <c r="K32" s="44">
        <v>361970121.68000001</v>
      </c>
      <c r="L32" s="30">
        <f t="shared" si="19"/>
        <v>1.49575953291395E-4</v>
      </c>
      <c r="M32" s="31">
        <v>1</v>
      </c>
      <c r="N32" s="31">
        <v>1</v>
      </c>
      <c r="O32" s="32">
        <v>202</v>
      </c>
      <c r="P32" s="50">
        <v>0.2109</v>
      </c>
      <c r="Q32" s="50">
        <v>0.2109</v>
      </c>
      <c r="R32" s="56">
        <f t="shared" si="21"/>
        <v>6.5553395442219886E-2</v>
      </c>
      <c r="S32" s="56">
        <f t="shared" si="22"/>
        <v>0</v>
      </c>
      <c r="T32" s="56">
        <f t="shared" si="23"/>
        <v>6.8783068783068779E-2</v>
      </c>
      <c r="U32" s="57">
        <f t="shared" si="24"/>
        <v>-2.7000000000000079E-3</v>
      </c>
      <c r="V32" s="58">
        <f t="shared" si="25"/>
        <v>-2.7000000000000079E-3</v>
      </c>
    </row>
    <row r="33" spans="1:22">
      <c r="A33" s="138">
        <v>25</v>
      </c>
      <c r="B33" s="135" t="s">
        <v>60</v>
      </c>
      <c r="C33" s="136" t="s">
        <v>25</v>
      </c>
      <c r="D33" s="44">
        <v>103611942761.12</v>
      </c>
      <c r="E33" s="30">
        <f t="shared" si="20"/>
        <v>4.2815288286608556E-2</v>
      </c>
      <c r="F33" s="31">
        <v>1</v>
      </c>
      <c r="G33" s="31">
        <v>1</v>
      </c>
      <c r="H33" s="32">
        <v>32181</v>
      </c>
      <c r="I33" s="50">
        <v>0.20280000000000001</v>
      </c>
      <c r="J33" s="50">
        <v>0.20280000000000001</v>
      </c>
      <c r="K33" s="44">
        <v>104749937911.83</v>
      </c>
      <c r="L33" s="30">
        <f t="shared" si="19"/>
        <v>4.3285539004315345E-2</v>
      </c>
      <c r="M33" s="31">
        <v>1</v>
      </c>
      <c r="N33" s="31">
        <v>1</v>
      </c>
      <c r="O33" s="32">
        <v>32260</v>
      </c>
      <c r="P33" s="50">
        <v>0.20899999999999999</v>
      </c>
      <c r="Q33" s="50">
        <v>0.20899999999999999</v>
      </c>
      <c r="R33" s="56">
        <f t="shared" si="21"/>
        <v>1.0983243054651372E-2</v>
      </c>
      <c r="S33" s="56">
        <f t="shared" si="22"/>
        <v>0</v>
      </c>
      <c r="T33" s="56">
        <f t="shared" si="23"/>
        <v>2.4548646717006931E-3</v>
      </c>
      <c r="U33" s="57">
        <f t="shared" si="24"/>
        <v>6.1999999999999833E-3</v>
      </c>
      <c r="V33" s="58">
        <f t="shared" si="25"/>
        <v>6.1999999999999833E-3</v>
      </c>
    </row>
    <row r="34" spans="1:22">
      <c r="A34" s="138">
        <v>26</v>
      </c>
      <c r="B34" s="135" t="s">
        <v>291</v>
      </c>
      <c r="C34" s="136" t="s">
        <v>27</v>
      </c>
      <c r="D34" s="33">
        <v>4906529113.3599997</v>
      </c>
      <c r="E34" s="30">
        <f t="shared" ref="E34" si="26">(D34/$D$25)</f>
        <v>0.13119475286202059</v>
      </c>
      <c r="F34" s="33">
        <v>1</v>
      </c>
      <c r="G34" s="33">
        <v>1</v>
      </c>
      <c r="H34" s="32">
        <v>614</v>
      </c>
      <c r="I34" s="50">
        <v>0.1973</v>
      </c>
      <c r="J34" s="50">
        <v>0.1973</v>
      </c>
      <c r="K34" s="33">
        <v>4844378658.3599997</v>
      </c>
      <c r="L34" s="30">
        <f t="shared" ref="L34" si="27">(K34/$K$25)</f>
        <v>0.13095062922256134</v>
      </c>
      <c r="M34" s="33">
        <v>1</v>
      </c>
      <c r="N34" s="33">
        <v>1</v>
      </c>
      <c r="O34" s="32">
        <v>622</v>
      </c>
      <c r="P34" s="50">
        <v>0.20039999999999999</v>
      </c>
      <c r="Q34" s="50">
        <v>0.20039999999999999</v>
      </c>
      <c r="R34" s="56">
        <f t="shared" si="21"/>
        <v>-1.2666888051427308E-2</v>
      </c>
      <c r="S34" s="56">
        <f t="shared" si="22"/>
        <v>0</v>
      </c>
      <c r="T34" s="56">
        <f t="shared" si="23"/>
        <v>1.3029315960912053E-2</v>
      </c>
      <c r="U34" s="57">
        <f t="shared" si="24"/>
        <v>3.0999999999999917E-3</v>
      </c>
      <c r="V34" s="58">
        <f t="shared" si="25"/>
        <v>3.0999999999999917E-3</v>
      </c>
    </row>
    <row r="35" spans="1:22" ht="15" customHeight="1">
      <c r="A35" s="138">
        <v>27</v>
      </c>
      <c r="B35" s="135" t="s">
        <v>61</v>
      </c>
      <c r="C35" s="136" t="s">
        <v>47</v>
      </c>
      <c r="D35" s="44">
        <v>18976101000.490002</v>
      </c>
      <c r="E35" s="30">
        <f t="shared" si="20"/>
        <v>7.8414438841760224E-3</v>
      </c>
      <c r="F35" s="31">
        <v>100</v>
      </c>
      <c r="G35" s="31">
        <v>100</v>
      </c>
      <c r="H35" s="32">
        <v>2083</v>
      </c>
      <c r="I35" s="50">
        <v>0.21190000000000001</v>
      </c>
      <c r="J35" s="50">
        <v>0.21190000000000001</v>
      </c>
      <c r="K35" s="44">
        <v>19390534373.610001</v>
      </c>
      <c r="L35" s="30">
        <f t="shared" si="19"/>
        <v>8.0126990877063126E-3</v>
      </c>
      <c r="M35" s="31">
        <v>100</v>
      </c>
      <c r="N35" s="31">
        <v>100</v>
      </c>
      <c r="O35" s="32">
        <v>2083</v>
      </c>
      <c r="P35" s="50">
        <v>0.224</v>
      </c>
      <c r="Q35" s="50">
        <v>0.224</v>
      </c>
      <c r="R35" s="56">
        <f t="shared" si="21"/>
        <v>2.1839753757070403E-2</v>
      </c>
      <c r="S35" s="56">
        <f t="shared" si="22"/>
        <v>0</v>
      </c>
      <c r="T35" s="56">
        <f t="shared" si="23"/>
        <v>0</v>
      </c>
      <c r="U35" s="57">
        <f t="shared" si="24"/>
        <v>1.21E-2</v>
      </c>
      <c r="V35" s="58">
        <f t="shared" si="25"/>
        <v>1.21E-2</v>
      </c>
    </row>
    <row r="36" spans="1:22" ht="15" customHeight="1">
      <c r="A36" s="138">
        <v>28</v>
      </c>
      <c r="B36" s="135" t="s">
        <v>62</v>
      </c>
      <c r="C36" s="136" t="s">
        <v>63</v>
      </c>
      <c r="D36" s="44">
        <v>636198213.49000001</v>
      </c>
      <c r="E36" s="30">
        <f t="shared" si="20"/>
        <v>2.6289450030678342E-4</v>
      </c>
      <c r="F36" s="31">
        <v>1</v>
      </c>
      <c r="G36" s="31">
        <v>1</v>
      </c>
      <c r="H36" s="32">
        <v>370</v>
      </c>
      <c r="I36" s="50">
        <v>0.20499999999999999</v>
      </c>
      <c r="J36" s="50">
        <v>0.20499999999999999</v>
      </c>
      <c r="K36" s="44">
        <v>666538692.57000005</v>
      </c>
      <c r="L36" s="30">
        <f t="shared" si="19"/>
        <v>2.7543201600185131E-4</v>
      </c>
      <c r="M36" s="31">
        <v>1</v>
      </c>
      <c r="N36" s="31">
        <v>1</v>
      </c>
      <c r="O36" s="32">
        <v>376</v>
      </c>
      <c r="P36" s="50">
        <v>0.20899999999999999</v>
      </c>
      <c r="Q36" s="50">
        <v>0.20899999999999999</v>
      </c>
      <c r="R36" s="56">
        <f t="shared" si="21"/>
        <v>4.7690292799724983E-2</v>
      </c>
      <c r="S36" s="56">
        <f t="shared" si="22"/>
        <v>0</v>
      </c>
      <c r="T36" s="56">
        <f t="shared" si="23"/>
        <v>1.6216216216216217E-2</v>
      </c>
      <c r="U36" s="57">
        <f t="shared" si="24"/>
        <v>4.0000000000000036E-3</v>
      </c>
      <c r="V36" s="58">
        <f t="shared" si="25"/>
        <v>4.0000000000000036E-3</v>
      </c>
    </row>
    <row r="37" spans="1:22">
      <c r="A37" s="138">
        <v>29</v>
      </c>
      <c r="B37" s="135" t="s">
        <v>64</v>
      </c>
      <c r="C37" s="136" t="s">
        <v>65</v>
      </c>
      <c r="D37" s="44">
        <v>44015331220.300003</v>
      </c>
      <c r="E37" s="30">
        <f t="shared" si="20"/>
        <v>1.8188338573792956E-2</v>
      </c>
      <c r="F37" s="31">
        <v>100</v>
      </c>
      <c r="G37" s="31">
        <v>100</v>
      </c>
      <c r="H37" s="32">
        <v>3852</v>
      </c>
      <c r="I37" s="50">
        <v>0.22425102010636599</v>
      </c>
      <c r="J37" s="50">
        <v>0.22425102010636599</v>
      </c>
      <c r="K37" s="44">
        <v>44399687789.639999</v>
      </c>
      <c r="L37" s="30">
        <f t="shared" si="19"/>
        <v>1.8347165219473022E-2</v>
      </c>
      <c r="M37" s="31">
        <v>100</v>
      </c>
      <c r="N37" s="31">
        <v>100</v>
      </c>
      <c r="O37" s="32">
        <v>3898</v>
      </c>
      <c r="P37" s="50">
        <v>0.22329050396580899</v>
      </c>
      <c r="Q37" s="50">
        <v>0.22329050396580899</v>
      </c>
      <c r="R37" s="56">
        <f t="shared" si="21"/>
        <v>8.7323339092068436E-3</v>
      </c>
      <c r="S37" s="56">
        <f t="shared" si="22"/>
        <v>0</v>
      </c>
      <c r="T37" s="56">
        <f t="shared" si="23"/>
        <v>1.1941848390446522E-2</v>
      </c>
      <c r="U37" s="57">
        <f t="shared" si="24"/>
        <v>-9.6051614055700507E-4</v>
      </c>
      <c r="V37" s="58">
        <f t="shared" si="25"/>
        <v>-9.6051614055700507E-4</v>
      </c>
    </row>
    <row r="38" spans="1:22">
      <c r="A38" s="138">
        <v>30</v>
      </c>
      <c r="B38" s="135" t="s">
        <v>66</v>
      </c>
      <c r="C38" s="136" t="s">
        <v>67</v>
      </c>
      <c r="D38" s="44">
        <v>19248299091.389999</v>
      </c>
      <c r="E38" s="30">
        <f t="shared" si="20"/>
        <v>7.9539235792997487E-3</v>
      </c>
      <c r="F38" s="31">
        <v>100</v>
      </c>
      <c r="G38" s="31">
        <v>100</v>
      </c>
      <c r="H38" s="32">
        <v>6753</v>
      </c>
      <c r="I38" s="50">
        <v>0.21629999999999999</v>
      </c>
      <c r="J38" s="50">
        <v>0.21629999999999999</v>
      </c>
      <c r="K38" s="44">
        <v>19302184396.740002</v>
      </c>
      <c r="L38" s="30">
        <f t="shared" si="19"/>
        <v>7.9761904611040154E-3</v>
      </c>
      <c r="M38" s="31">
        <v>100</v>
      </c>
      <c r="N38" s="31">
        <v>100</v>
      </c>
      <c r="O38" s="32">
        <v>6769</v>
      </c>
      <c r="P38" s="50">
        <v>0.22339999999999999</v>
      </c>
      <c r="Q38" s="50">
        <v>0.22339999999999999</v>
      </c>
      <c r="R38" s="56">
        <f t="shared" si="21"/>
        <v>2.7994840008541766E-3</v>
      </c>
      <c r="S38" s="56">
        <f t="shared" si="22"/>
        <v>0</v>
      </c>
      <c r="T38" s="56">
        <f t="shared" si="23"/>
        <v>2.3693173404412855E-3</v>
      </c>
      <c r="U38" s="57">
        <f t="shared" si="24"/>
        <v>7.0999999999999952E-3</v>
      </c>
      <c r="V38" s="58">
        <f t="shared" si="25"/>
        <v>7.0999999999999952E-3</v>
      </c>
    </row>
    <row r="39" spans="1:22">
      <c r="A39" s="138">
        <v>31</v>
      </c>
      <c r="B39" s="135" t="s">
        <v>68</v>
      </c>
      <c r="C39" s="136" t="s">
        <v>69</v>
      </c>
      <c r="D39" s="44">
        <v>44514190.369999997</v>
      </c>
      <c r="E39" s="30">
        <f t="shared" si="20"/>
        <v>1.8394480817048262E-5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1.8394480817048262E-5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8">
        <v>32</v>
      </c>
      <c r="B40" s="135" t="s">
        <v>70</v>
      </c>
      <c r="C40" s="136" t="s">
        <v>301</v>
      </c>
      <c r="D40" s="44">
        <v>18504099011.75</v>
      </c>
      <c r="E40" s="30">
        <f t="shared" si="20"/>
        <v>7.6463997543082139E-3</v>
      </c>
      <c r="F40" s="31">
        <v>1</v>
      </c>
      <c r="G40" s="31">
        <v>1</v>
      </c>
      <c r="H40" s="32">
        <v>4869</v>
      </c>
      <c r="I40" s="50">
        <v>0.21940000000000001</v>
      </c>
      <c r="J40" s="50">
        <v>0.21940000000000001</v>
      </c>
      <c r="K40" s="44">
        <v>19314718293.939999</v>
      </c>
      <c r="L40" s="30">
        <f t="shared" si="19"/>
        <v>7.9813698101990314E-3</v>
      </c>
      <c r="M40" s="31">
        <v>1</v>
      </c>
      <c r="N40" s="31">
        <v>1</v>
      </c>
      <c r="O40" s="32">
        <v>5003</v>
      </c>
      <c r="P40" s="50">
        <v>0.23019999999999999</v>
      </c>
      <c r="Q40" s="50">
        <v>0.23019999999999999</v>
      </c>
      <c r="R40" s="56">
        <f t="shared" si="21"/>
        <v>4.3807552136165065E-2</v>
      </c>
      <c r="S40" s="56">
        <f t="shared" si="22"/>
        <v>0</v>
      </c>
      <c r="T40" s="56">
        <f t="shared" si="23"/>
        <v>2.752105155062641E-2</v>
      </c>
      <c r="U40" s="57">
        <f t="shared" si="24"/>
        <v>1.0799999999999976E-2</v>
      </c>
      <c r="V40" s="58">
        <f t="shared" si="25"/>
        <v>1.0799999999999976E-2</v>
      </c>
    </row>
    <row r="41" spans="1:22">
      <c r="A41" s="138">
        <v>33</v>
      </c>
      <c r="B41" s="135" t="s">
        <v>71</v>
      </c>
      <c r="C41" s="136" t="s">
        <v>72</v>
      </c>
      <c r="D41" s="44">
        <v>39904260255.669998</v>
      </c>
      <c r="E41" s="30">
        <f t="shared" si="20"/>
        <v>1.6489531623293526E-2</v>
      </c>
      <c r="F41" s="45">
        <v>100</v>
      </c>
      <c r="G41" s="45">
        <v>100</v>
      </c>
      <c r="H41" s="32">
        <v>3192</v>
      </c>
      <c r="I41" s="50">
        <v>0.2152</v>
      </c>
      <c r="J41" s="50">
        <v>0.2152</v>
      </c>
      <c r="K41" s="44">
        <v>41575574187.18</v>
      </c>
      <c r="L41" s="30">
        <f t="shared" si="19"/>
        <v>1.7180164246214265E-2</v>
      </c>
      <c r="M41" s="45">
        <v>100</v>
      </c>
      <c r="N41" s="45">
        <v>100</v>
      </c>
      <c r="O41" s="32">
        <v>3354</v>
      </c>
      <c r="P41" s="50">
        <v>0.21249999999999999</v>
      </c>
      <c r="Q41" s="50">
        <v>0.21249999999999999</v>
      </c>
      <c r="R41" s="56">
        <f t="shared" si="21"/>
        <v>4.1883095208425147E-2</v>
      </c>
      <c r="S41" s="56">
        <f t="shared" si="22"/>
        <v>0</v>
      </c>
      <c r="T41" s="56">
        <f t="shared" si="23"/>
        <v>5.0751879699248117E-2</v>
      </c>
      <c r="U41" s="57">
        <f t="shared" si="24"/>
        <v>-2.7000000000000079E-3</v>
      </c>
      <c r="V41" s="58">
        <f t="shared" si="25"/>
        <v>-2.7000000000000079E-3</v>
      </c>
    </row>
    <row r="42" spans="1:22">
      <c r="A42" s="138">
        <v>34</v>
      </c>
      <c r="B42" s="135" t="s">
        <v>73</v>
      </c>
      <c r="C42" s="136" t="s">
        <v>72</v>
      </c>
      <c r="D42" s="44">
        <v>5559721903.1899996</v>
      </c>
      <c r="E42" s="30">
        <f t="shared" si="20"/>
        <v>2.2974291354353011E-3</v>
      </c>
      <c r="F42" s="45">
        <v>1000000</v>
      </c>
      <c r="G42" s="45">
        <v>1000000</v>
      </c>
      <c r="H42" s="32">
        <v>12</v>
      </c>
      <c r="I42" s="50">
        <v>0.2162</v>
      </c>
      <c r="J42" s="50">
        <v>0.2162</v>
      </c>
      <c r="K42" s="44">
        <v>5568921075.71</v>
      </c>
      <c r="L42" s="30">
        <f t="shared" si="19"/>
        <v>2.3012304850958333E-3</v>
      </c>
      <c r="M42" s="45">
        <v>1000000</v>
      </c>
      <c r="N42" s="45">
        <v>1000000</v>
      </c>
      <c r="O42" s="32">
        <v>19</v>
      </c>
      <c r="P42" s="50">
        <v>0.22070000000000001</v>
      </c>
      <c r="Q42" s="50">
        <v>0.22070000000000001</v>
      </c>
      <c r="R42" s="56">
        <f t="shared" si="21"/>
        <v>1.6546101909741659E-3</v>
      </c>
      <c r="S42" s="56">
        <f t="shared" si="22"/>
        <v>0</v>
      </c>
      <c r="T42" s="56">
        <f t="shared" si="23"/>
        <v>0.58333333333333337</v>
      </c>
      <c r="U42" s="57">
        <f t="shared" si="24"/>
        <v>4.500000000000004E-3</v>
      </c>
      <c r="V42" s="58">
        <f t="shared" si="25"/>
        <v>4.500000000000004E-3</v>
      </c>
    </row>
    <row r="43" spans="1:22">
      <c r="A43" s="138">
        <v>35</v>
      </c>
      <c r="B43" s="135" t="s">
        <v>74</v>
      </c>
      <c r="C43" s="136" t="s">
        <v>75</v>
      </c>
      <c r="D43" s="44">
        <v>3985606512.7399998</v>
      </c>
      <c r="E43" s="30">
        <f t="shared" si="20"/>
        <v>1.6469616078271391E-3</v>
      </c>
      <c r="F43" s="31">
        <v>1</v>
      </c>
      <c r="G43" s="31">
        <v>1</v>
      </c>
      <c r="H43" s="32">
        <v>860</v>
      </c>
      <c r="I43" s="50">
        <v>0.2019</v>
      </c>
      <c r="J43" s="50">
        <v>0.2019</v>
      </c>
      <c r="K43" s="44">
        <v>3961118328.0900002</v>
      </c>
      <c r="L43" s="30">
        <f t="shared" si="19"/>
        <v>1.6368424202367401E-3</v>
      </c>
      <c r="M43" s="31">
        <v>1</v>
      </c>
      <c r="N43" s="31">
        <v>1</v>
      </c>
      <c r="O43" s="32">
        <v>865</v>
      </c>
      <c r="P43" s="50">
        <v>0.21759999999999999</v>
      </c>
      <c r="Q43" s="50">
        <v>0.21759999999999999</v>
      </c>
      <c r="R43" s="56">
        <f t="shared" si="21"/>
        <v>-6.1441551171002662E-3</v>
      </c>
      <c r="S43" s="56">
        <f t="shared" si="22"/>
        <v>0</v>
      </c>
      <c r="T43" s="56">
        <f t="shared" si="23"/>
        <v>5.8139534883720929E-3</v>
      </c>
      <c r="U43" s="57">
        <f t="shared" si="24"/>
        <v>1.5699999999999992E-2</v>
      </c>
      <c r="V43" s="58">
        <f t="shared" si="25"/>
        <v>1.5699999999999992E-2</v>
      </c>
    </row>
    <row r="44" spans="1:22">
      <c r="A44" s="138">
        <v>36</v>
      </c>
      <c r="B44" s="135" t="s">
        <v>76</v>
      </c>
      <c r="C44" s="136" t="s">
        <v>31</v>
      </c>
      <c r="D44" s="44">
        <v>433846119413.59003</v>
      </c>
      <c r="E44" s="30">
        <f t="shared" si="20"/>
        <v>0.17927708119077515</v>
      </c>
      <c r="F44" s="31">
        <v>100</v>
      </c>
      <c r="G44" s="31">
        <v>100</v>
      </c>
      <c r="H44" s="32">
        <v>16597</v>
      </c>
      <c r="I44" s="50">
        <v>0.22009999999999999</v>
      </c>
      <c r="J44" s="50">
        <v>0.22009999999999999</v>
      </c>
      <c r="K44" s="44">
        <v>443382448020.54999</v>
      </c>
      <c r="L44" s="30">
        <f t="shared" si="19"/>
        <v>0.18321775296684803</v>
      </c>
      <c r="M44" s="31">
        <v>100</v>
      </c>
      <c r="N44" s="31">
        <v>100</v>
      </c>
      <c r="O44" s="32">
        <v>16727</v>
      </c>
      <c r="P44" s="50">
        <v>0.21940000000000001</v>
      </c>
      <c r="Q44" s="50">
        <v>0.21940000000000001</v>
      </c>
      <c r="R44" s="56">
        <f t="shared" si="21"/>
        <v>2.1980901015894255E-2</v>
      </c>
      <c r="S44" s="56">
        <f t="shared" si="22"/>
        <v>0</v>
      </c>
      <c r="T44" s="56">
        <f t="shared" si="23"/>
        <v>7.8327408567813468E-3</v>
      </c>
      <c r="U44" s="57">
        <f t="shared" si="24"/>
        <v>-6.9999999999997842E-4</v>
      </c>
      <c r="V44" s="58">
        <f t="shared" si="25"/>
        <v>-6.9999999999997842E-4</v>
      </c>
    </row>
    <row r="45" spans="1:22">
      <c r="A45" s="138">
        <v>37</v>
      </c>
      <c r="B45" s="135" t="s">
        <v>77</v>
      </c>
      <c r="C45" s="136" t="s">
        <v>78</v>
      </c>
      <c r="D45" s="44">
        <v>1632373596.6400001</v>
      </c>
      <c r="E45" s="30">
        <f t="shared" si="20"/>
        <v>6.7454141162784809E-4</v>
      </c>
      <c r="F45" s="31">
        <v>1</v>
      </c>
      <c r="G45" s="31">
        <v>1</v>
      </c>
      <c r="H45" s="46">
        <v>1092</v>
      </c>
      <c r="I45" s="53">
        <v>0.20780000000000001</v>
      </c>
      <c r="J45" s="53">
        <v>0.20780000000000001</v>
      </c>
      <c r="K45" s="44">
        <v>1713544403.95</v>
      </c>
      <c r="L45" s="30">
        <f t="shared" si="19"/>
        <v>7.0808340903491258E-4</v>
      </c>
      <c r="M45" s="31">
        <v>1</v>
      </c>
      <c r="N45" s="31">
        <v>1</v>
      </c>
      <c r="O45" s="46">
        <v>1106</v>
      </c>
      <c r="P45" s="53">
        <v>0.20630000000000001</v>
      </c>
      <c r="Q45" s="53">
        <v>0.20630000000000001</v>
      </c>
      <c r="R45" s="56">
        <f t="shared" si="21"/>
        <v>4.9725631115988433E-2</v>
      </c>
      <c r="S45" s="56">
        <f t="shared" si="22"/>
        <v>0</v>
      </c>
      <c r="T45" s="56">
        <f t="shared" si="23"/>
        <v>1.282051282051282E-2</v>
      </c>
      <c r="U45" s="57">
        <f t="shared" si="24"/>
        <v>-1.5000000000000013E-3</v>
      </c>
      <c r="V45" s="58">
        <f t="shared" si="25"/>
        <v>-1.5000000000000013E-3</v>
      </c>
    </row>
    <row r="46" spans="1:22">
      <c r="A46" s="138">
        <v>38</v>
      </c>
      <c r="B46" s="135" t="s">
        <v>303</v>
      </c>
      <c r="C46" s="136" t="s">
        <v>304</v>
      </c>
      <c r="D46" s="44">
        <v>832978818</v>
      </c>
      <c r="E46" s="30">
        <f t="shared" si="20"/>
        <v>3.4420962756709654E-4</v>
      </c>
      <c r="F46" s="31">
        <v>1</v>
      </c>
      <c r="G46" s="31">
        <v>1</v>
      </c>
      <c r="H46" s="46">
        <v>116</v>
      </c>
      <c r="I46" s="53">
        <v>0.18859999999999999</v>
      </c>
      <c r="J46" s="53">
        <v>0.18859999999999999</v>
      </c>
      <c r="K46" s="44">
        <v>882395869</v>
      </c>
      <c r="L46" s="30">
        <f t="shared" si="19"/>
        <v>3.6463010447792025E-4</v>
      </c>
      <c r="M46" s="31">
        <v>1</v>
      </c>
      <c r="N46" s="31">
        <v>1</v>
      </c>
      <c r="O46" s="46">
        <v>120</v>
      </c>
      <c r="P46" s="53">
        <v>0.21460000000000001</v>
      </c>
      <c r="Q46" s="53">
        <v>0.21460000000000001</v>
      </c>
      <c r="R46" s="56">
        <f t="shared" si="21"/>
        <v>5.9325699444136404E-2</v>
      </c>
      <c r="S46" s="56">
        <f t="shared" si="22"/>
        <v>0</v>
      </c>
      <c r="T46" s="56">
        <f t="shared" si="23"/>
        <v>3.4482758620689655E-2</v>
      </c>
      <c r="U46" s="57">
        <f t="shared" si="24"/>
        <v>2.6000000000000023E-2</v>
      </c>
      <c r="V46" s="58">
        <f t="shared" si="25"/>
        <v>2.6000000000000023E-2</v>
      </c>
    </row>
    <row r="47" spans="1:22">
      <c r="A47" s="138">
        <v>39</v>
      </c>
      <c r="B47" s="135" t="s">
        <v>79</v>
      </c>
      <c r="C47" s="136" t="s">
        <v>80</v>
      </c>
      <c r="D47" s="44">
        <v>900369431.65999997</v>
      </c>
      <c r="E47" s="30">
        <f t="shared" si="20"/>
        <v>3.7205727210279068E-4</v>
      </c>
      <c r="F47" s="31">
        <v>10</v>
      </c>
      <c r="G47" s="31">
        <v>10</v>
      </c>
      <c r="H47" s="32">
        <v>434</v>
      </c>
      <c r="I47" s="50">
        <v>0.17799999999999999</v>
      </c>
      <c r="J47" s="50">
        <v>0.17799999999999999</v>
      </c>
      <c r="K47" s="44">
        <v>874874531.63</v>
      </c>
      <c r="L47" s="30">
        <f t="shared" si="19"/>
        <v>3.615220821861287E-4</v>
      </c>
      <c r="M47" s="31">
        <v>10</v>
      </c>
      <c r="N47" s="31">
        <v>10</v>
      </c>
      <c r="O47" s="32">
        <v>437</v>
      </c>
      <c r="P47" s="50">
        <v>0.16589999999999999</v>
      </c>
      <c r="Q47" s="50">
        <v>0.16589999999999999</v>
      </c>
      <c r="R47" s="56">
        <f t="shared" si="21"/>
        <v>-2.8316043541144371E-2</v>
      </c>
      <c r="S47" s="56">
        <f t="shared" si="22"/>
        <v>0</v>
      </c>
      <c r="T47" s="56">
        <f t="shared" si="23"/>
        <v>6.9124423963133645E-3</v>
      </c>
      <c r="U47" s="57">
        <f t="shared" si="24"/>
        <v>-1.21E-2</v>
      </c>
      <c r="V47" s="58">
        <f t="shared" si="25"/>
        <v>-1.21E-2</v>
      </c>
    </row>
    <row r="48" spans="1:22">
      <c r="A48" s="138">
        <v>40</v>
      </c>
      <c r="B48" s="135" t="s">
        <v>81</v>
      </c>
      <c r="C48" s="136" t="s">
        <v>82</v>
      </c>
      <c r="D48" s="44">
        <v>6175338572.6199999</v>
      </c>
      <c r="E48" s="30">
        <f t="shared" si="20"/>
        <v>2.5518187788807082E-3</v>
      </c>
      <c r="F48" s="31">
        <v>100</v>
      </c>
      <c r="G48" s="31">
        <v>100</v>
      </c>
      <c r="H48" s="32">
        <v>849</v>
      </c>
      <c r="I48" s="50">
        <v>0.2303</v>
      </c>
      <c r="J48" s="50">
        <v>0.2303</v>
      </c>
      <c r="K48" s="44">
        <v>5766455210.0299997</v>
      </c>
      <c r="L48" s="30">
        <f t="shared" si="19"/>
        <v>2.3828569914808684E-3</v>
      </c>
      <c r="M48" s="31">
        <v>100</v>
      </c>
      <c r="N48" s="31">
        <v>100</v>
      </c>
      <c r="O48" s="32">
        <v>849</v>
      </c>
      <c r="P48" s="50">
        <v>0.22159999999999999</v>
      </c>
      <c r="Q48" s="50">
        <v>0.22159999999999999</v>
      </c>
      <c r="R48" s="56">
        <f t="shared" si="21"/>
        <v>-6.6212298772231351E-2</v>
      </c>
      <c r="S48" s="56">
        <f t="shared" si="22"/>
        <v>0</v>
      </c>
      <c r="T48" s="56">
        <f t="shared" si="23"/>
        <v>0</v>
      </c>
      <c r="U48" s="57">
        <f t="shared" si="24"/>
        <v>-8.7000000000000133E-3</v>
      </c>
      <c r="V48" s="58">
        <f t="shared" si="25"/>
        <v>-8.7000000000000133E-3</v>
      </c>
    </row>
    <row r="49" spans="1:22">
      <c r="A49" s="138">
        <v>41</v>
      </c>
      <c r="B49" s="135" t="s">
        <v>83</v>
      </c>
      <c r="C49" s="135" t="s">
        <v>84</v>
      </c>
      <c r="D49" s="140">
        <v>93645306.242843807</v>
      </c>
      <c r="E49" s="30">
        <f>(D49/$D$185)</f>
        <v>1.6372738166663848E-3</v>
      </c>
      <c r="F49" s="33">
        <v>1</v>
      </c>
      <c r="G49" s="33">
        <v>1</v>
      </c>
      <c r="H49" s="32">
        <v>66</v>
      </c>
      <c r="I49" s="50">
        <v>0.17660000000000001</v>
      </c>
      <c r="J49" s="50">
        <v>0.17660000000000001</v>
      </c>
      <c r="K49" s="140">
        <v>94045335.775904506</v>
      </c>
      <c r="L49" s="54">
        <f>(K49/$K$185)</f>
        <v>1.6513975726684055E-3</v>
      </c>
      <c r="M49" s="33">
        <v>1</v>
      </c>
      <c r="N49" s="33">
        <v>1</v>
      </c>
      <c r="O49" s="32">
        <v>67</v>
      </c>
      <c r="P49" s="50">
        <v>0.17660000000000001</v>
      </c>
      <c r="Q49" s="50">
        <v>0.17660000000000001</v>
      </c>
      <c r="R49" s="57">
        <f t="shared" si="21"/>
        <v>4.2717520942622701E-3</v>
      </c>
      <c r="S49" s="57">
        <f t="shared" si="22"/>
        <v>0</v>
      </c>
      <c r="T49" s="57">
        <f t="shared" si="23"/>
        <v>1.5151515151515152E-2</v>
      </c>
      <c r="U49" s="57">
        <f t="shared" si="24"/>
        <v>0</v>
      </c>
      <c r="V49" s="58">
        <f t="shared" si="25"/>
        <v>0</v>
      </c>
    </row>
    <row r="50" spans="1:22">
      <c r="A50" s="138">
        <v>42</v>
      </c>
      <c r="B50" s="135" t="s">
        <v>290</v>
      </c>
      <c r="C50" s="136" t="s">
        <v>37</v>
      </c>
      <c r="D50" s="44">
        <v>334390022.38999999</v>
      </c>
      <c r="E50" s="30">
        <f t="shared" ref="E50" si="28">(D50/$K$68)</f>
        <v>1.3817910201531074E-4</v>
      </c>
      <c r="F50" s="31">
        <v>100</v>
      </c>
      <c r="G50" s="31">
        <v>100</v>
      </c>
      <c r="H50" s="32">
        <v>1540</v>
      </c>
      <c r="I50" s="50">
        <v>0.19669308999999999</v>
      </c>
      <c r="J50" s="50">
        <v>0.19669308999999999</v>
      </c>
      <c r="K50" s="44">
        <v>339655014.97000003</v>
      </c>
      <c r="L50" s="30">
        <f t="shared" ref="L50" si="29">(K50/$K$68)</f>
        <v>1.4035474093426504E-4</v>
      </c>
      <c r="M50" s="31">
        <v>100</v>
      </c>
      <c r="N50" s="31">
        <v>100</v>
      </c>
      <c r="O50" s="32">
        <v>1606</v>
      </c>
      <c r="P50" s="50">
        <v>0.1754</v>
      </c>
      <c r="Q50" s="50">
        <v>0.1754</v>
      </c>
      <c r="R50" s="56">
        <f t="shared" ref="R50" si="30">((K50-D50)/D50)</f>
        <v>1.5745064826902844E-2</v>
      </c>
      <c r="S50" s="56">
        <f t="shared" ref="S50" si="31">((N50-G50)/G50)</f>
        <v>0</v>
      </c>
      <c r="T50" s="56">
        <f t="shared" ref="T50" si="32">((O50-H50)/H50)</f>
        <v>4.2857142857142858E-2</v>
      </c>
      <c r="U50" s="57">
        <f t="shared" ref="U50" si="33">P50-I50</f>
        <v>-2.1293089999999987E-2</v>
      </c>
      <c r="V50" s="58">
        <f t="shared" ref="V50" si="34">Q50-J50</f>
        <v>-2.1293089999999987E-2</v>
      </c>
    </row>
    <row r="51" spans="1:22">
      <c r="A51" s="138">
        <v>43</v>
      </c>
      <c r="B51" s="135" t="s">
        <v>85</v>
      </c>
      <c r="C51" s="136" t="s">
        <v>37</v>
      </c>
      <c r="D51" s="44">
        <v>65638111324.959999</v>
      </c>
      <c r="E51" s="30">
        <f t="shared" si="20"/>
        <v>2.7123462644127048E-2</v>
      </c>
      <c r="F51" s="31">
        <v>100</v>
      </c>
      <c r="G51" s="31">
        <v>100</v>
      </c>
      <c r="H51" s="32">
        <v>11258</v>
      </c>
      <c r="I51" s="50">
        <v>0.17580000000000001</v>
      </c>
      <c r="J51" s="50">
        <v>0.17580000000000001</v>
      </c>
      <c r="K51" s="44">
        <v>67029186590.43</v>
      </c>
      <c r="L51" s="30">
        <f t="shared" si="19"/>
        <v>2.7698292986385799E-2</v>
      </c>
      <c r="M51" s="31">
        <v>100</v>
      </c>
      <c r="N51" s="31">
        <v>100</v>
      </c>
      <c r="O51" s="32">
        <v>11025</v>
      </c>
      <c r="P51" s="50">
        <v>0.18745972</v>
      </c>
      <c r="Q51" s="50">
        <v>0.18745972</v>
      </c>
      <c r="R51" s="56">
        <f t="shared" si="21"/>
        <v>2.1193103174207594E-2</v>
      </c>
      <c r="S51" s="56">
        <f t="shared" si="22"/>
        <v>0</v>
      </c>
      <c r="T51" s="56">
        <f t="shared" si="23"/>
        <v>-2.0696393675608455E-2</v>
      </c>
      <c r="U51" s="57">
        <f t="shared" si="24"/>
        <v>1.1659719999999985E-2</v>
      </c>
      <c r="V51" s="58">
        <f t="shared" si="25"/>
        <v>1.1659719999999985E-2</v>
      </c>
    </row>
    <row r="52" spans="1:22">
      <c r="A52" s="138">
        <v>44</v>
      </c>
      <c r="B52" s="135" t="s">
        <v>86</v>
      </c>
      <c r="C52" s="136" t="s">
        <v>41</v>
      </c>
      <c r="D52" s="44">
        <v>13802935544.719999</v>
      </c>
      <c r="E52" s="30">
        <f t="shared" si="20"/>
        <v>5.7037504442048245E-3</v>
      </c>
      <c r="F52" s="31">
        <v>1</v>
      </c>
      <c r="G52" s="31">
        <v>1</v>
      </c>
      <c r="H52" s="32">
        <v>1444</v>
      </c>
      <c r="I52" s="50">
        <v>0.21210000000000001</v>
      </c>
      <c r="J52" s="50">
        <v>0.21210000000000001</v>
      </c>
      <c r="K52" s="44">
        <v>14283848333.58</v>
      </c>
      <c r="L52" s="30">
        <f t="shared" si="19"/>
        <v>5.9024767603711916E-3</v>
      </c>
      <c r="M52" s="31">
        <v>1</v>
      </c>
      <c r="N52" s="31">
        <v>1</v>
      </c>
      <c r="O52" s="32">
        <v>1472</v>
      </c>
      <c r="P52" s="50">
        <v>0.26629999999999998</v>
      </c>
      <c r="Q52" s="50">
        <v>0.26629999999999998</v>
      </c>
      <c r="R52" s="56">
        <f t="shared" si="21"/>
        <v>3.4841341343795733E-2</v>
      </c>
      <c r="S52" s="56">
        <f t="shared" si="22"/>
        <v>0</v>
      </c>
      <c r="T52" s="56">
        <f t="shared" si="23"/>
        <v>1.9390581717451522E-2</v>
      </c>
      <c r="U52" s="57">
        <f t="shared" si="24"/>
        <v>5.419999999999997E-2</v>
      </c>
      <c r="V52" s="58">
        <f t="shared" si="25"/>
        <v>5.419999999999997E-2</v>
      </c>
    </row>
    <row r="53" spans="1:22">
      <c r="A53" s="138">
        <v>45</v>
      </c>
      <c r="B53" s="135" t="s">
        <v>87</v>
      </c>
      <c r="C53" s="136" t="s">
        <v>43</v>
      </c>
      <c r="D53" s="47">
        <v>30581069177.669998</v>
      </c>
      <c r="E53" s="30">
        <f t="shared" si="20"/>
        <v>1.2636934102986285E-2</v>
      </c>
      <c r="F53" s="31">
        <v>10</v>
      </c>
      <c r="G53" s="31">
        <v>10</v>
      </c>
      <c r="H53" s="32">
        <v>4009</v>
      </c>
      <c r="I53" s="50">
        <v>0.2261</v>
      </c>
      <c r="J53" s="50">
        <v>0.2261</v>
      </c>
      <c r="K53" s="47">
        <v>33331788205.219997</v>
      </c>
      <c r="L53" s="30">
        <f t="shared" si="19"/>
        <v>1.3773606430726929E-2</v>
      </c>
      <c r="M53" s="31">
        <v>10</v>
      </c>
      <c r="N53" s="31">
        <v>10</v>
      </c>
      <c r="O53" s="32">
        <v>4087</v>
      </c>
      <c r="P53" s="50">
        <v>0.22539999999999999</v>
      </c>
      <c r="Q53" s="50">
        <v>0.22539999999999999</v>
      </c>
      <c r="R53" s="56">
        <f t="shared" si="21"/>
        <v>8.9948425660622347E-2</v>
      </c>
      <c r="S53" s="56">
        <f t="shared" si="22"/>
        <v>0</v>
      </c>
      <c r="T53" s="56">
        <f t="shared" si="23"/>
        <v>1.9456223497131456E-2</v>
      </c>
      <c r="U53" s="57">
        <f t="shared" si="24"/>
        <v>-7.0000000000000617E-4</v>
      </c>
      <c r="V53" s="58">
        <f t="shared" si="25"/>
        <v>-7.0000000000000617E-4</v>
      </c>
    </row>
    <row r="54" spans="1:22">
      <c r="A54" s="138">
        <v>46</v>
      </c>
      <c r="B54" s="135" t="s">
        <v>88</v>
      </c>
      <c r="C54" s="136" t="s">
        <v>89</v>
      </c>
      <c r="D54" s="44">
        <v>16230298614</v>
      </c>
      <c r="E54" s="30">
        <f t="shared" si="20"/>
        <v>6.7068032469796892E-3</v>
      </c>
      <c r="F54" s="31">
        <v>100</v>
      </c>
      <c r="G54" s="31">
        <v>100</v>
      </c>
      <c r="H54" s="32">
        <v>3702</v>
      </c>
      <c r="I54" s="50">
        <v>0.22939999999999999</v>
      </c>
      <c r="J54" s="50">
        <v>0.22939999999999999</v>
      </c>
      <c r="K54" s="44">
        <v>16591536046</v>
      </c>
      <c r="L54" s="30">
        <f t="shared" si="19"/>
        <v>6.8560764328580055E-3</v>
      </c>
      <c r="M54" s="31">
        <v>100</v>
      </c>
      <c r="N54" s="31">
        <v>100</v>
      </c>
      <c r="O54" s="32">
        <v>3741</v>
      </c>
      <c r="P54" s="50">
        <v>0.22620000000000001</v>
      </c>
      <c r="Q54" s="50">
        <v>0.22620000000000001</v>
      </c>
      <c r="R54" s="56">
        <f t="shared" si="21"/>
        <v>2.2256980021821797E-2</v>
      </c>
      <c r="S54" s="56">
        <f t="shared" si="22"/>
        <v>0</v>
      </c>
      <c r="T54" s="56">
        <f t="shared" si="23"/>
        <v>1.0534846029173419E-2</v>
      </c>
      <c r="U54" s="57">
        <f t="shared" si="24"/>
        <v>-3.1999999999999806E-3</v>
      </c>
      <c r="V54" s="58">
        <f t="shared" si="25"/>
        <v>-3.1999999999999806E-3</v>
      </c>
    </row>
    <row r="55" spans="1:22">
      <c r="A55" s="138">
        <v>47</v>
      </c>
      <c r="B55" s="135" t="s">
        <v>90</v>
      </c>
      <c r="C55" s="136" t="s">
        <v>91</v>
      </c>
      <c r="D55" s="44">
        <v>235069835.49000001</v>
      </c>
      <c r="E55" s="30">
        <f t="shared" si="20"/>
        <v>9.7137284619729141E-5</v>
      </c>
      <c r="F55" s="31">
        <v>1</v>
      </c>
      <c r="G55" s="31">
        <v>1</v>
      </c>
      <c r="H55" s="32">
        <v>81</v>
      </c>
      <c r="I55" s="50">
        <v>0.20047999999999999</v>
      </c>
      <c r="J55" s="50">
        <v>0.20047999999999999</v>
      </c>
      <c r="K55" s="44">
        <v>234889427.62</v>
      </c>
      <c r="L55" s="30">
        <f t="shared" si="19"/>
        <v>9.7062735154123314E-5</v>
      </c>
      <c r="M55" s="31">
        <v>1</v>
      </c>
      <c r="N55" s="31">
        <v>1</v>
      </c>
      <c r="O55" s="32">
        <v>81</v>
      </c>
      <c r="P55" s="50">
        <v>0.1983</v>
      </c>
      <c r="Q55" s="50">
        <v>0.1983</v>
      </c>
      <c r="R55" s="56">
        <f t="shared" si="21"/>
        <v>-7.674649944938572E-4</v>
      </c>
      <c r="S55" s="56">
        <f t="shared" si="22"/>
        <v>0</v>
      </c>
      <c r="T55" s="56">
        <f t="shared" si="23"/>
        <v>0</v>
      </c>
      <c r="U55" s="57">
        <f t="shared" si="24"/>
        <v>-2.1799999999999875E-3</v>
      </c>
      <c r="V55" s="58">
        <f t="shared" si="25"/>
        <v>-2.1799999999999875E-3</v>
      </c>
    </row>
    <row r="56" spans="1:22">
      <c r="A56" s="138">
        <v>48</v>
      </c>
      <c r="B56" s="135" t="s">
        <v>92</v>
      </c>
      <c r="C56" s="136" t="s">
        <v>45</v>
      </c>
      <c r="D56" s="47">
        <v>1114942924.4400001</v>
      </c>
      <c r="E56" s="30">
        <f t="shared" si="20"/>
        <v>4.6072490738901584E-4</v>
      </c>
      <c r="F56" s="31">
        <v>10</v>
      </c>
      <c r="G56" s="31">
        <v>10</v>
      </c>
      <c r="H56" s="32">
        <v>757</v>
      </c>
      <c r="I56" s="50">
        <v>0.17269999999999999</v>
      </c>
      <c r="J56" s="50">
        <v>0.17269999999999999</v>
      </c>
      <c r="K56" s="47">
        <v>1130388220.6800001</v>
      </c>
      <c r="L56" s="30">
        <f t="shared" si="19"/>
        <v>4.6710732618712974E-4</v>
      </c>
      <c r="M56" s="31">
        <v>10</v>
      </c>
      <c r="N56" s="31">
        <v>10</v>
      </c>
      <c r="O56" s="32">
        <v>762</v>
      </c>
      <c r="P56" s="50">
        <v>0.17799999999999999</v>
      </c>
      <c r="Q56" s="50">
        <v>0.17799999999999999</v>
      </c>
      <c r="R56" s="56">
        <f t="shared" si="21"/>
        <v>1.3852992741989627E-2</v>
      </c>
      <c r="S56" s="56">
        <f t="shared" si="22"/>
        <v>0</v>
      </c>
      <c r="T56" s="56">
        <f t="shared" si="23"/>
        <v>6.6050198150594455E-3</v>
      </c>
      <c r="U56" s="57">
        <f t="shared" si="24"/>
        <v>5.2999999999999992E-3</v>
      </c>
      <c r="V56" s="58">
        <f t="shared" si="25"/>
        <v>5.2999999999999992E-3</v>
      </c>
    </row>
    <row r="57" spans="1:22">
      <c r="A57" s="138">
        <v>49</v>
      </c>
      <c r="B57" s="135" t="s">
        <v>93</v>
      </c>
      <c r="C57" s="136" t="s">
        <v>94</v>
      </c>
      <c r="D57" s="47">
        <v>779349166.63999999</v>
      </c>
      <c r="E57" s="30">
        <f t="shared" si="20"/>
        <v>3.2204838898302148E-4</v>
      </c>
      <c r="F57" s="31">
        <v>1</v>
      </c>
      <c r="G57" s="31">
        <v>1</v>
      </c>
      <c r="H57" s="32">
        <v>75</v>
      </c>
      <c r="I57" s="50">
        <v>0.22109999999999999</v>
      </c>
      <c r="J57" s="50">
        <v>0.22109999999999999</v>
      </c>
      <c r="K57" s="47">
        <v>778855166.63999999</v>
      </c>
      <c r="L57" s="30">
        <f t="shared" si="19"/>
        <v>3.2184425467330827E-4</v>
      </c>
      <c r="M57" s="31">
        <v>1</v>
      </c>
      <c r="N57" s="31">
        <v>1</v>
      </c>
      <c r="O57" s="32">
        <v>75</v>
      </c>
      <c r="P57" s="50">
        <v>0.2228</v>
      </c>
      <c r="Q57" s="50">
        <v>0.2228</v>
      </c>
      <c r="R57" s="56">
        <f t="shared" si="21"/>
        <v>-6.3386222908247544E-4</v>
      </c>
      <c r="S57" s="56">
        <f t="shared" si="22"/>
        <v>0</v>
      </c>
      <c r="T57" s="56">
        <f t="shared" si="23"/>
        <v>0</v>
      </c>
      <c r="U57" s="57">
        <f t="shared" si="24"/>
        <v>1.7000000000000071E-3</v>
      </c>
      <c r="V57" s="58">
        <f t="shared" si="25"/>
        <v>1.7000000000000071E-3</v>
      </c>
    </row>
    <row r="58" spans="1:22">
      <c r="A58" s="138">
        <v>50</v>
      </c>
      <c r="B58" s="135" t="s">
        <v>95</v>
      </c>
      <c r="C58" s="136" t="s">
        <v>96</v>
      </c>
      <c r="D58" s="47">
        <v>9837417118.0278988</v>
      </c>
      <c r="E58" s="30">
        <f t="shared" si="20"/>
        <v>4.0650897828935712E-3</v>
      </c>
      <c r="F58" s="31">
        <v>100</v>
      </c>
      <c r="G58" s="31">
        <v>100</v>
      </c>
      <c r="H58" s="32">
        <v>107</v>
      </c>
      <c r="I58" s="50">
        <v>0.21779999999999999</v>
      </c>
      <c r="J58" s="50">
        <v>0.21779999999999999</v>
      </c>
      <c r="K58" s="47">
        <v>9563946427.2385006</v>
      </c>
      <c r="L58" s="30">
        <f t="shared" si="19"/>
        <v>3.9520842146929932E-3</v>
      </c>
      <c r="M58" s="31">
        <v>100</v>
      </c>
      <c r="N58" s="31">
        <v>100</v>
      </c>
      <c r="O58" s="32">
        <v>105</v>
      </c>
      <c r="P58" s="50">
        <v>0.21940000000000001</v>
      </c>
      <c r="Q58" s="50">
        <v>0.21940000000000001</v>
      </c>
      <c r="R58" s="56">
        <f t="shared" si="21"/>
        <v>-2.779903378176778E-2</v>
      </c>
      <c r="S58" s="56">
        <f t="shared" si="22"/>
        <v>0</v>
      </c>
      <c r="T58" s="56">
        <f t="shared" si="23"/>
        <v>-1.8691588785046728E-2</v>
      </c>
      <c r="U58" s="57">
        <f t="shared" si="24"/>
        <v>1.6000000000000181E-3</v>
      </c>
      <c r="V58" s="58">
        <f t="shared" si="25"/>
        <v>1.6000000000000181E-3</v>
      </c>
    </row>
    <row r="59" spans="1:22">
      <c r="A59" s="138">
        <v>51</v>
      </c>
      <c r="B59" s="135" t="s">
        <v>97</v>
      </c>
      <c r="C59" s="136" t="s">
        <v>98</v>
      </c>
      <c r="D59" s="47">
        <v>51723000</v>
      </c>
      <c r="E59" s="30">
        <f t="shared" si="20"/>
        <v>2.1373358099788961E-5</v>
      </c>
      <c r="F59" s="31">
        <v>1000</v>
      </c>
      <c r="G59" s="31">
        <v>1000</v>
      </c>
      <c r="H59" s="32">
        <v>23</v>
      </c>
      <c r="I59" s="50">
        <v>0.183</v>
      </c>
      <c r="J59" s="50">
        <v>0.183</v>
      </c>
      <c r="K59" s="47">
        <v>51723000</v>
      </c>
      <c r="L59" s="30">
        <f t="shared" si="19"/>
        <v>2.1373358099788961E-5</v>
      </c>
      <c r="M59" s="31">
        <v>1000</v>
      </c>
      <c r="N59" s="31">
        <v>1000</v>
      </c>
      <c r="O59" s="32">
        <v>23</v>
      </c>
      <c r="P59" s="50">
        <v>0.18279999999999999</v>
      </c>
      <c r="Q59" s="50">
        <v>0.18279999999999999</v>
      </c>
      <c r="R59" s="56">
        <f t="shared" si="21"/>
        <v>0</v>
      </c>
      <c r="S59" s="56">
        <f t="shared" si="22"/>
        <v>0</v>
      </c>
      <c r="T59" s="56">
        <f t="shared" si="23"/>
        <v>0</v>
      </c>
      <c r="U59" s="57">
        <f t="shared" si="24"/>
        <v>-2.0000000000000573E-4</v>
      </c>
      <c r="V59" s="58">
        <f t="shared" si="25"/>
        <v>-2.0000000000000573E-4</v>
      </c>
    </row>
    <row r="60" spans="1:22">
      <c r="A60" s="138">
        <v>52</v>
      </c>
      <c r="B60" s="135" t="s">
        <v>99</v>
      </c>
      <c r="C60" s="136" t="s">
        <v>49</v>
      </c>
      <c r="D60" s="44">
        <v>1101291705742.3799</v>
      </c>
      <c r="E60" s="30">
        <f t="shared" si="20"/>
        <v>0.45508385049512395</v>
      </c>
      <c r="F60" s="31">
        <v>100</v>
      </c>
      <c r="G60" s="31">
        <v>100</v>
      </c>
      <c r="H60" s="32">
        <v>165516</v>
      </c>
      <c r="I60" s="50">
        <v>0.21249999999999999</v>
      </c>
      <c r="J60" s="50">
        <v>0.21249999999999999</v>
      </c>
      <c r="K60" s="44">
        <v>1152356765204.76</v>
      </c>
      <c r="L60" s="30">
        <f t="shared" si="19"/>
        <v>0.47618532957167531</v>
      </c>
      <c r="M60" s="31">
        <v>100</v>
      </c>
      <c r="N60" s="31">
        <v>100</v>
      </c>
      <c r="O60" s="32">
        <v>167237</v>
      </c>
      <c r="P60" s="50">
        <v>0.2099</v>
      </c>
      <c r="Q60" s="50">
        <v>0.2099</v>
      </c>
      <c r="R60" s="56">
        <f t="shared" si="21"/>
        <v>4.6368332019677938E-2</v>
      </c>
      <c r="S60" s="56">
        <f t="shared" si="22"/>
        <v>0</v>
      </c>
      <c r="T60" s="56">
        <f t="shared" si="23"/>
        <v>1.0397786316730709E-2</v>
      </c>
      <c r="U60" s="57">
        <f t="shared" si="24"/>
        <v>-2.5999999999999912E-3</v>
      </c>
      <c r="V60" s="58">
        <f t="shared" si="25"/>
        <v>-2.5999999999999912E-3</v>
      </c>
    </row>
    <row r="61" spans="1:22">
      <c r="A61" s="138">
        <v>53</v>
      </c>
      <c r="B61" s="135" t="s">
        <v>100</v>
      </c>
      <c r="C61" s="135" t="s">
        <v>101</v>
      </c>
      <c r="D61" s="44">
        <v>2396547317.5799999</v>
      </c>
      <c r="E61" s="30">
        <f t="shared" si="20"/>
        <v>9.9031889143564754E-4</v>
      </c>
      <c r="F61" s="31">
        <v>100</v>
      </c>
      <c r="G61" s="31">
        <v>100</v>
      </c>
      <c r="H61" s="32">
        <v>476</v>
      </c>
      <c r="I61" s="50">
        <v>0.22189999999999999</v>
      </c>
      <c r="J61" s="50">
        <v>0.22189999999999999</v>
      </c>
      <c r="K61" s="44">
        <v>2590058831.4299998</v>
      </c>
      <c r="L61" s="30">
        <f t="shared" si="19"/>
        <v>1.0702831410334729E-3</v>
      </c>
      <c r="M61" s="31">
        <v>100</v>
      </c>
      <c r="N61" s="31">
        <v>100</v>
      </c>
      <c r="O61" s="32">
        <v>485</v>
      </c>
      <c r="P61" s="50">
        <v>0.2147</v>
      </c>
      <c r="Q61" s="50">
        <v>0.2147</v>
      </c>
      <c r="R61" s="56">
        <f t="shared" si="21"/>
        <v>8.0745960002744754E-2</v>
      </c>
      <c r="S61" s="56">
        <f t="shared" si="22"/>
        <v>0</v>
      </c>
      <c r="T61" s="56">
        <f t="shared" si="23"/>
        <v>1.8907563025210083E-2</v>
      </c>
      <c r="U61" s="57">
        <f t="shared" si="24"/>
        <v>-7.1999999999999842E-3</v>
      </c>
      <c r="V61" s="58">
        <f t="shared" si="25"/>
        <v>-7.1999999999999842E-3</v>
      </c>
    </row>
    <row r="62" spans="1:22">
      <c r="A62" s="138">
        <v>54</v>
      </c>
      <c r="B62" s="135" t="s">
        <v>102</v>
      </c>
      <c r="C62" s="136" t="s">
        <v>103</v>
      </c>
      <c r="D62" s="44">
        <v>4308663143.3400002</v>
      </c>
      <c r="E62" s="30">
        <f t="shared" si="20"/>
        <v>1.780457442413784E-3</v>
      </c>
      <c r="F62" s="31">
        <v>1</v>
      </c>
      <c r="G62" s="31">
        <v>1</v>
      </c>
      <c r="H62" s="32">
        <v>445</v>
      </c>
      <c r="I62" s="50">
        <v>0.214819067</v>
      </c>
      <c r="J62" s="50">
        <v>0.214819067</v>
      </c>
      <c r="K62" s="44">
        <v>4456901368.8199997</v>
      </c>
      <c r="L62" s="30">
        <f t="shared" si="19"/>
        <v>1.8417135311414544E-3</v>
      </c>
      <c r="M62" s="31">
        <v>1</v>
      </c>
      <c r="N62" s="31">
        <v>1</v>
      </c>
      <c r="O62" s="32">
        <v>445</v>
      </c>
      <c r="P62" s="50">
        <v>0.21983544810000002</v>
      </c>
      <c r="Q62" s="50">
        <v>0.21983544810000002</v>
      </c>
      <c r="R62" s="56">
        <f t="shared" si="21"/>
        <v>3.4404691327316869E-2</v>
      </c>
      <c r="S62" s="56">
        <f t="shared" si="22"/>
        <v>0</v>
      </c>
      <c r="T62" s="56">
        <f t="shared" si="23"/>
        <v>0</v>
      </c>
      <c r="U62" s="57">
        <f t="shared" si="24"/>
        <v>5.0163811000000225E-3</v>
      </c>
      <c r="V62" s="58">
        <f t="shared" si="25"/>
        <v>5.0163811000000225E-3</v>
      </c>
    </row>
    <row r="63" spans="1:22">
      <c r="A63" s="138">
        <v>55</v>
      </c>
      <c r="B63" s="135" t="s">
        <v>104</v>
      </c>
      <c r="C63" s="136" t="s">
        <v>52</v>
      </c>
      <c r="D63" s="44">
        <v>104517219101.96001</v>
      </c>
      <c r="E63" s="30">
        <f t="shared" si="20"/>
        <v>4.3189373227776703E-2</v>
      </c>
      <c r="F63" s="31">
        <v>1</v>
      </c>
      <c r="G63" s="31">
        <v>1</v>
      </c>
      <c r="H63" s="32">
        <v>48765</v>
      </c>
      <c r="I63" s="50">
        <v>0.20979999999999999</v>
      </c>
      <c r="J63" s="50">
        <v>0.20979999999999999</v>
      </c>
      <c r="K63" s="44">
        <v>107680924071.63</v>
      </c>
      <c r="L63" s="30">
        <f t="shared" si="19"/>
        <v>4.4496702640974675E-2</v>
      </c>
      <c r="M63" s="31">
        <v>1</v>
      </c>
      <c r="N63" s="31">
        <v>1</v>
      </c>
      <c r="O63" s="32">
        <v>49458</v>
      </c>
      <c r="P63" s="50">
        <v>0.2104</v>
      </c>
      <c r="Q63" s="50">
        <v>0.2104</v>
      </c>
      <c r="R63" s="56">
        <f t="shared" si="21"/>
        <v>3.0269700981842038E-2</v>
      </c>
      <c r="S63" s="56">
        <f t="shared" si="22"/>
        <v>0</v>
      </c>
      <c r="T63" s="56">
        <f t="shared" si="23"/>
        <v>1.4211011996308828E-2</v>
      </c>
      <c r="U63" s="57">
        <f t="shared" si="24"/>
        <v>6.0000000000001719E-4</v>
      </c>
      <c r="V63" s="58">
        <f t="shared" si="25"/>
        <v>6.0000000000001719E-4</v>
      </c>
    </row>
    <row r="64" spans="1:22">
      <c r="A64" s="138">
        <v>56</v>
      </c>
      <c r="B64" s="135" t="s">
        <v>105</v>
      </c>
      <c r="C64" s="136" t="s">
        <v>106</v>
      </c>
      <c r="D64" s="44">
        <v>1729180203.73</v>
      </c>
      <c r="E64" s="30">
        <f t="shared" si="20"/>
        <v>7.1454454910556853E-4</v>
      </c>
      <c r="F64" s="31">
        <v>1</v>
      </c>
      <c r="G64" s="31">
        <v>1</v>
      </c>
      <c r="H64" s="32">
        <v>154</v>
      </c>
      <c r="I64" s="50">
        <v>0.20039999999999999</v>
      </c>
      <c r="J64" s="50">
        <v>0.20039999999999999</v>
      </c>
      <c r="K64" s="44">
        <v>1751327222.99</v>
      </c>
      <c r="L64" s="30">
        <f t="shared" si="19"/>
        <v>7.2369630313157054E-4</v>
      </c>
      <c r="M64" s="31">
        <v>1</v>
      </c>
      <c r="N64" s="31">
        <v>1</v>
      </c>
      <c r="O64" s="32">
        <v>154</v>
      </c>
      <c r="P64" s="50">
        <v>0.1956</v>
      </c>
      <c r="Q64" s="50">
        <v>0.1956</v>
      </c>
      <c r="R64" s="56">
        <f t="shared" si="21"/>
        <v>1.2807814484706014E-2</v>
      </c>
      <c r="S64" s="56">
        <f t="shared" si="22"/>
        <v>0</v>
      </c>
      <c r="T64" s="56">
        <f t="shared" si="23"/>
        <v>0</v>
      </c>
      <c r="U64" s="57">
        <f t="shared" si="24"/>
        <v>-4.7999999999999987E-3</v>
      </c>
      <c r="V64" s="58">
        <f t="shared" si="25"/>
        <v>-4.7999999999999987E-3</v>
      </c>
    </row>
    <row r="65" spans="1:22">
      <c r="A65" s="138">
        <v>57</v>
      </c>
      <c r="B65" s="135" t="s">
        <v>107</v>
      </c>
      <c r="C65" s="136" t="s">
        <v>108</v>
      </c>
      <c r="D65" s="44">
        <v>4007563642.3200002</v>
      </c>
      <c r="E65" s="30">
        <f t="shared" si="20"/>
        <v>1.6560348942443385E-3</v>
      </c>
      <c r="F65" s="31">
        <v>1</v>
      </c>
      <c r="G65" s="31">
        <v>1</v>
      </c>
      <c r="H65" s="32">
        <v>338</v>
      </c>
      <c r="I65" s="50">
        <v>0.20349999999999999</v>
      </c>
      <c r="J65" s="50">
        <v>0.20349999999999999</v>
      </c>
      <c r="K65" s="44">
        <v>3946222307.4299998</v>
      </c>
      <c r="L65" s="30">
        <f t="shared" si="19"/>
        <v>1.6306869771296497E-3</v>
      </c>
      <c r="M65" s="31">
        <v>1</v>
      </c>
      <c r="N65" s="31">
        <v>1</v>
      </c>
      <c r="O65" s="32">
        <v>338</v>
      </c>
      <c r="P65" s="50">
        <v>0.21160000000000001</v>
      </c>
      <c r="Q65" s="50">
        <v>0.21160000000000001</v>
      </c>
      <c r="R65" s="56">
        <f t="shared" si="21"/>
        <v>-1.5306390706371792E-2</v>
      </c>
      <c r="S65" s="56">
        <f t="shared" si="22"/>
        <v>0</v>
      </c>
      <c r="T65" s="56">
        <f t="shared" si="23"/>
        <v>0</v>
      </c>
      <c r="U65" s="57">
        <f t="shared" si="24"/>
        <v>8.1000000000000238E-3</v>
      </c>
      <c r="V65" s="58">
        <f t="shared" si="25"/>
        <v>8.1000000000000238E-3</v>
      </c>
    </row>
    <row r="66" spans="1:22">
      <c r="A66" s="138">
        <v>58</v>
      </c>
      <c r="B66" s="135" t="s">
        <v>109</v>
      </c>
      <c r="C66" s="136" t="s">
        <v>110</v>
      </c>
      <c r="D66" s="44">
        <v>4126901648.9899998</v>
      </c>
      <c r="E66" s="30">
        <f t="shared" si="20"/>
        <v>1.7053486222081632E-3</v>
      </c>
      <c r="F66" s="31">
        <v>1</v>
      </c>
      <c r="G66" s="31">
        <v>1</v>
      </c>
      <c r="H66" s="32">
        <v>2839</v>
      </c>
      <c r="I66" s="50">
        <v>0.248</v>
      </c>
      <c r="J66" s="50">
        <v>0.248</v>
      </c>
      <c r="K66" s="44">
        <v>5360033784.9200001</v>
      </c>
      <c r="L66" s="30">
        <f t="shared" si="19"/>
        <v>2.2149125439758399E-3</v>
      </c>
      <c r="M66" s="31">
        <v>1</v>
      </c>
      <c r="N66" s="31">
        <v>1</v>
      </c>
      <c r="O66" s="32">
        <v>2922</v>
      </c>
      <c r="P66" s="50">
        <v>0.2263</v>
      </c>
      <c r="Q66" s="50">
        <v>0.2263</v>
      </c>
      <c r="R66" s="56">
        <f t="shared" si="21"/>
        <v>0.29880337376874289</v>
      </c>
      <c r="S66" s="56">
        <f t="shared" si="22"/>
        <v>0</v>
      </c>
      <c r="T66" s="56">
        <f t="shared" si="23"/>
        <v>2.9235646354350123E-2</v>
      </c>
      <c r="U66" s="57">
        <f t="shared" si="24"/>
        <v>-2.1699999999999997E-2</v>
      </c>
      <c r="V66" s="58">
        <f t="shared" si="25"/>
        <v>-2.1699999999999997E-2</v>
      </c>
    </row>
    <row r="67" spans="1:22">
      <c r="A67" s="138">
        <v>59</v>
      </c>
      <c r="B67" s="135" t="s">
        <v>111</v>
      </c>
      <c r="C67" s="136" t="s">
        <v>112</v>
      </c>
      <c r="D67" s="44">
        <v>81361100276.710007</v>
      </c>
      <c r="E67" s="30">
        <f t="shared" si="20"/>
        <v>3.3620631664964554E-2</v>
      </c>
      <c r="F67" s="31">
        <v>1</v>
      </c>
      <c r="G67" s="31">
        <v>1</v>
      </c>
      <c r="H67" s="32">
        <v>4897</v>
      </c>
      <c r="I67" s="50">
        <v>0.21410000000000001</v>
      </c>
      <c r="J67" s="50">
        <v>0.21410000000000001</v>
      </c>
      <c r="K67" s="44">
        <v>82404742291.039993</v>
      </c>
      <c r="L67" s="30">
        <f t="shared" si="19"/>
        <v>3.4051893086387515E-2</v>
      </c>
      <c r="M67" s="31">
        <v>1</v>
      </c>
      <c r="N67" s="31">
        <v>1</v>
      </c>
      <c r="O67" s="32">
        <v>4940</v>
      </c>
      <c r="P67" s="50">
        <v>0.21160000000000001</v>
      </c>
      <c r="Q67" s="50">
        <v>0.21160000000000001</v>
      </c>
      <c r="R67" s="56">
        <f t="shared" si="21"/>
        <v>1.2827284916016972E-2</v>
      </c>
      <c r="S67" s="56">
        <f t="shared" si="22"/>
        <v>0</v>
      </c>
      <c r="T67" s="56">
        <f t="shared" si="23"/>
        <v>8.7808862568919746E-3</v>
      </c>
      <c r="U67" s="57">
        <f t="shared" si="24"/>
        <v>-2.5000000000000022E-3</v>
      </c>
      <c r="V67" s="58">
        <f t="shared" si="25"/>
        <v>-2.5000000000000022E-3</v>
      </c>
    </row>
    <row r="68" spans="1:22">
      <c r="A68" s="36"/>
      <c r="B68" s="37"/>
      <c r="C68" s="38" t="s">
        <v>53</v>
      </c>
      <c r="D68" s="48">
        <f>SUM(D28:D67)</f>
        <v>2332451611056.791</v>
      </c>
      <c r="E68" s="40">
        <f>(D68/$D$217)</f>
        <v>0.5062316092912944</v>
      </c>
      <c r="F68" s="41"/>
      <c r="G68" s="45"/>
      <c r="H68" s="43">
        <f>SUM(H28:H67)</f>
        <v>393255</v>
      </c>
      <c r="I68" s="55"/>
      <c r="J68" s="55"/>
      <c r="K68" s="48">
        <f>SUM(K28:K67)</f>
        <v>2419975361780.4546</v>
      </c>
      <c r="L68" s="40">
        <f>(K68/$K$217)</f>
        <v>0.51281315122776583</v>
      </c>
      <c r="M68" s="41"/>
      <c r="N68" s="45"/>
      <c r="O68" s="43">
        <f>SUM(O28:O67)</f>
        <v>396711</v>
      </c>
      <c r="P68" s="55"/>
      <c r="Q68" s="55"/>
      <c r="R68" s="56">
        <f t="shared" si="21"/>
        <v>3.7524358622817548E-2</v>
      </c>
      <c r="S68" s="56" t="e">
        <f t="shared" si="22"/>
        <v>#DIV/0!</v>
      </c>
      <c r="T68" s="56">
        <f t="shared" si="23"/>
        <v>8.7881908685204253E-3</v>
      </c>
      <c r="U68" s="57">
        <f t="shared" si="24"/>
        <v>0</v>
      </c>
      <c r="V68" s="58">
        <f t="shared" si="25"/>
        <v>0</v>
      </c>
    </row>
    <row r="69" spans="1:22" ht="3" customHeight="1">
      <c r="A69" s="36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</row>
    <row r="70" spans="1:22" ht="15" customHeight="1">
      <c r="A70" s="178" t="s">
        <v>113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</row>
    <row r="71" spans="1:22">
      <c r="A71" s="138">
        <v>60</v>
      </c>
      <c r="B71" s="135" t="s">
        <v>114</v>
      </c>
      <c r="C71" s="136" t="s">
        <v>21</v>
      </c>
      <c r="D71" s="29">
        <v>551035859.96000004</v>
      </c>
      <c r="E71" s="30">
        <f>(D71/$D$108)</f>
        <v>2.8193730843491874E-3</v>
      </c>
      <c r="F71" s="60">
        <v>1.4421999999999999</v>
      </c>
      <c r="G71" s="60">
        <v>1.4421999999999999</v>
      </c>
      <c r="H71" s="32">
        <v>472</v>
      </c>
      <c r="I71" s="50">
        <v>4.1599999999999997E-4</v>
      </c>
      <c r="J71" s="50">
        <v>0.1062</v>
      </c>
      <c r="K71" s="29">
        <v>543689008.01999998</v>
      </c>
      <c r="L71" s="30">
        <f t="shared" ref="L71:L93" si="35">(K71/$K$108)</f>
        <v>2.7358331719101827E-3</v>
      </c>
      <c r="M71" s="60">
        <v>1.423</v>
      </c>
      <c r="N71" s="60">
        <v>1.423</v>
      </c>
      <c r="O71" s="32">
        <v>472</v>
      </c>
      <c r="P71" s="50">
        <v>-1.1736999999999999E-2</v>
      </c>
      <c r="Q71" s="50">
        <v>9.1499999999999998E-2</v>
      </c>
      <c r="R71" s="56">
        <f>((K71-D71)/D71)</f>
        <v>-1.3332801862538254E-2</v>
      </c>
      <c r="S71" s="56">
        <f>((N71-G71)/G71)</f>
        <v>-1.3312994036888008E-2</v>
      </c>
      <c r="T71" s="56">
        <f>((O71-H71)/H71)</f>
        <v>0</v>
      </c>
      <c r="U71" s="57">
        <f>P71-I71</f>
        <v>-1.2152999999999999E-2</v>
      </c>
      <c r="V71" s="58">
        <f>Q71-J71</f>
        <v>-1.4700000000000005E-2</v>
      </c>
    </row>
    <row r="72" spans="1:22">
      <c r="A72" s="138">
        <v>61</v>
      </c>
      <c r="B72" s="135" t="s">
        <v>115</v>
      </c>
      <c r="C72" s="136" t="s">
        <v>23</v>
      </c>
      <c r="D72" s="29">
        <v>1319792487.22</v>
      </c>
      <c r="E72" s="30">
        <f>(D72/$D$108)</f>
        <v>6.7527137265884028E-3</v>
      </c>
      <c r="F72" s="60">
        <v>1.2250000000000001</v>
      </c>
      <c r="G72" s="60">
        <v>1.2250000000000001</v>
      </c>
      <c r="H72" s="32">
        <v>889</v>
      </c>
      <c r="I72" s="50">
        <v>6.3899999999999998E-2</v>
      </c>
      <c r="J72" s="50">
        <v>0.18540000000000001</v>
      </c>
      <c r="K72" s="29">
        <v>1323631377.8900001</v>
      </c>
      <c r="L72" s="30">
        <f t="shared" si="35"/>
        <v>6.6604889515798991E-3</v>
      </c>
      <c r="M72" s="60">
        <v>1.2267999999999999</v>
      </c>
      <c r="N72" s="60">
        <v>1.2267999999999999</v>
      </c>
      <c r="O72" s="32">
        <v>892</v>
      </c>
      <c r="P72" s="50">
        <v>7.6600000000000001E-2</v>
      </c>
      <c r="Q72" s="50">
        <v>0.17610000000000001</v>
      </c>
      <c r="R72" s="56">
        <f t="shared" ref="R72:R108" si="36">((K72-D72)/D72)</f>
        <v>2.9087077757854827E-3</v>
      </c>
      <c r="S72" s="56">
        <f t="shared" ref="S72:S108" si="37">((N72-G72)/G72)</f>
        <v>1.469387755101879E-3</v>
      </c>
      <c r="T72" s="56">
        <f t="shared" ref="T72:T108" si="38">((O72-H72)/H72)</f>
        <v>3.3745781777277839E-3</v>
      </c>
      <c r="U72" s="57">
        <f t="shared" ref="U72:U108" si="39">P72-I72</f>
        <v>1.2700000000000003E-2</v>
      </c>
      <c r="V72" s="58">
        <f t="shared" ref="V72:V108" si="40">Q72-J72</f>
        <v>-9.3000000000000027E-3</v>
      </c>
    </row>
    <row r="73" spans="1:22">
      <c r="A73" s="138">
        <v>62</v>
      </c>
      <c r="B73" s="135" t="s">
        <v>116</v>
      </c>
      <c r="C73" s="136" t="s">
        <v>23</v>
      </c>
      <c r="D73" s="29">
        <v>854677291.15999997</v>
      </c>
      <c r="E73" s="30">
        <f>(D73/$D$108)</f>
        <v>4.3729534238949449E-3</v>
      </c>
      <c r="F73" s="60">
        <v>1.099</v>
      </c>
      <c r="G73" s="60">
        <v>1.099</v>
      </c>
      <c r="H73" s="32">
        <v>230</v>
      </c>
      <c r="I73" s="50">
        <v>0.11409999999999999</v>
      </c>
      <c r="J73" s="50">
        <v>0.1202</v>
      </c>
      <c r="K73" s="29">
        <v>851574273.80999994</v>
      </c>
      <c r="L73" s="30">
        <f t="shared" si="35"/>
        <v>4.2851062137879764E-3</v>
      </c>
      <c r="M73" s="60">
        <v>1.1013999999999999</v>
      </c>
      <c r="N73" s="60">
        <v>1.1013999999999999</v>
      </c>
      <c r="O73" s="32">
        <v>233</v>
      </c>
      <c r="P73" s="50">
        <v>0.1139</v>
      </c>
      <c r="Q73" s="50">
        <v>0.11990000000000001</v>
      </c>
      <c r="R73" s="56">
        <f t="shared" si="36"/>
        <v>-3.6306303935939293E-3</v>
      </c>
      <c r="S73" s="56">
        <f t="shared" si="37"/>
        <v>2.1838034576887695E-3</v>
      </c>
      <c r="T73" s="56">
        <f t="shared" si="38"/>
        <v>1.3043478260869565E-2</v>
      </c>
      <c r="U73" s="57">
        <f t="shared" si="39"/>
        <v>-1.9999999999999185E-4</v>
      </c>
      <c r="V73" s="58">
        <f t="shared" si="40"/>
        <v>-2.9999999999999472E-4</v>
      </c>
    </row>
    <row r="74" spans="1:22">
      <c r="A74" s="138">
        <v>63</v>
      </c>
      <c r="B74" s="135" t="s">
        <v>117</v>
      </c>
      <c r="C74" s="136" t="s">
        <v>118</v>
      </c>
      <c r="D74" s="29">
        <v>284174286.06999999</v>
      </c>
      <c r="E74" s="30">
        <f>(D74/$D$108)</f>
        <v>1.4539767583693431E-3</v>
      </c>
      <c r="F74" s="35">
        <v>1134.1099999999999</v>
      </c>
      <c r="G74" s="35">
        <v>1134.1099999999999</v>
      </c>
      <c r="H74" s="32">
        <v>111</v>
      </c>
      <c r="I74" s="50">
        <v>-8.7299999999999997E-4</v>
      </c>
      <c r="J74" s="50">
        <v>1.8709E-2</v>
      </c>
      <c r="K74" s="29">
        <v>284098697.50999999</v>
      </c>
      <c r="L74" s="30">
        <f t="shared" si="35"/>
        <v>1.4295794641405427E-3</v>
      </c>
      <c r="M74" s="35">
        <v>1133.81</v>
      </c>
      <c r="N74" s="35">
        <v>1133.81</v>
      </c>
      <c r="O74" s="32">
        <v>111</v>
      </c>
      <c r="P74" s="50">
        <v>-1.031E-3</v>
      </c>
      <c r="Q74" s="50">
        <v>1.8844E-2</v>
      </c>
      <c r="R74" s="56">
        <f t="shared" si="36"/>
        <v>-2.6599366552603154E-4</v>
      </c>
      <c r="S74" s="56">
        <f t="shared" si="37"/>
        <v>-2.6452460519698669E-4</v>
      </c>
      <c r="T74" s="56">
        <f t="shared" si="38"/>
        <v>0</v>
      </c>
      <c r="U74" s="57">
        <f t="shared" si="39"/>
        <v>-1.5800000000000005E-4</v>
      </c>
      <c r="V74" s="58">
        <f t="shared" si="40"/>
        <v>1.349999999999997E-4</v>
      </c>
    </row>
    <row r="75" spans="1:22" ht="15" customHeight="1">
      <c r="A75" s="138">
        <v>64</v>
      </c>
      <c r="B75" s="135" t="s">
        <v>119</v>
      </c>
      <c r="C75" s="136" t="s">
        <v>27</v>
      </c>
      <c r="D75" s="29">
        <v>1717402986.4200001</v>
      </c>
      <c r="E75" s="30">
        <f>(D75/$K$108)</f>
        <v>8.6419405036281521E-3</v>
      </c>
      <c r="F75" s="35">
        <v>1.0662</v>
      </c>
      <c r="G75" s="35">
        <v>1.0662</v>
      </c>
      <c r="H75" s="32">
        <v>893</v>
      </c>
      <c r="I75" s="50">
        <v>3.3E-3</v>
      </c>
      <c r="J75" s="50">
        <v>2.06E-2</v>
      </c>
      <c r="K75" s="29">
        <v>1717402986.4200001</v>
      </c>
      <c r="L75" s="30">
        <f t="shared" si="35"/>
        <v>8.6419405036281521E-3</v>
      </c>
      <c r="M75" s="35">
        <v>1.0732999999999999</v>
      </c>
      <c r="N75" s="35">
        <v>1.0732999999999999</v>
      </c>
      <c r="O75" s="32">
        <v>901</v>
      </c>
      <c r="P75" s="50">
        <v>3.3999999999999998E-3</v>
      </c>
      <c r="Q75" s="50">
        <v>2.7E-2</v>
      </c>
      <c r="R75" s="56">
        <f t="shared" si="36"/>
        <v>0</v>
      </c>
      <c r="S75" s="56">
        <f t="shared" si="37"/>
        <v>6.6591633839803823E-3</v>
      </c>
      <c r="T75" s="56">
        <f t="shared" si="38"/>
        <v>8.9585666293393058E-3</v>
      </c>
      <c r="U75" s="57">
        <f t="shared" si="39"/>
        <v>9.9999999999999829E-5</v>
      </c>
      <c r="V75" s="58">
        <f t="shared" si="40"/>
        <v>6.3999999999999994E-3</v>
      </c>
    </row>
    <row r="76" spans="1:22">
      <c r="A76" s="138">
        <v>65</v>
      </c>
      <c r="B76" s="135" t="s">
        <v>120</v>
      </c>
      <c r="C76" s="136" t="s">
        <v>121</v>
      </c>
      <c r="D76" s="29">
        <v>439576875.07159001</v>
      </c>
      <c r="E76" s="30">
        <f t="shared" ref="E76:E93" si="41">(D76/$D$108)</f>
        <v>2.2490935710955903E-3</v>
      </c>
      <c r="F76" s="35">
        <v>2.5295000000000001</v>
      </c>
      <c r="G76" s="35">
        <v>2.5295000000000001</v>
      </c>
      <c r="H76" s="32">
        <v>1390</v>
      </c>
      <c r="I76" s="50">
        <v>0.13850000000000001</v>
      </c>
      <c r="J76" s="50">
        <v>0.13519999999999999</v>
      </c>
      <c r="K76" s="29">
        <v>441706735.31979883</v>
      </c>
      <c r="L76" s="30">
        <f t="shared" si="35"/>
        <v>2.222660235756695E-3</v>
      </c>
      <c r="M76" s="35">
        <v>2.5367000000000002</v>
      </c>
      <c r="N76" s="35">
        <v>2.5367000000000002</v>
      </c>
      <c r="O76" s="32">
        <v>1390</v>
      </c>
      <c r="P76" s="50">
        <v>0.1484</v>
      </c>
      <c r="Q76" s="50">
        <v>0.13669999999999999</v>
      </c>
      <c r="R76" s="56">
        <f t="shared" si="36"/>
        <v>4.8452508969266169E-3</v>
      </c>
      <c r="S76" s="56">
        <f t="shared" si="37"/>
        <v>2.846412334453487E-3</v>
      </c>
      <c r="T76" s="56">
        <f t="shared" si="38"/>
        <v>0</v>
      </c>
      <c r="U76" s="57">
        <f t="shared" si="39"/>
        <v>9.8999999999999921E-3</v>
      </c>
      <c r="V76" s="58">
        <f t="shared" si="40"/>
        <v>1.5000000000000013E-3</v>
      </c>
    </row>
    <row r="77" spans="1:22">
      <c r="A77" s="138">
        <v>66</v>
      </c>
      <c r="B77" s="135" t="s">
        <v>122</v>
      </c>
      <c r="C77" s="136" t="s">
        <v>63</v>
      </c>
      <c r="D77" s="29">
        <v>150539253.5</v>
      </c>
      <c r="E77" s="30">
        <f t="shared" si="41"/>
        <v>7.70233573340814E-4</v>
      </c>
      <c r="F77" s="35">
        <v>11.52</v>
      </c>
      <c r="G77" s="35">
        <v>11.58</v>
      </c>
      <c r="H77" s="32">
        <v>29</v>
      </c>
      <c r="I77" s="50">
        <v>0.47799999999999998</v>
      </c>
      <c r="J77" s="50">
        <v>0.311</v>
      </c>
      <c r="K77" s="29">
        <v>148889432.06</v>
      </c>
      <c r="L77" s="30">
        <f t="shared" si="35"/>
        <v>7.4920890650346074E-4</v>
      </c>
      <c r="M77" s="35">
        <v>11.4</v>
      </c>
      <c r="N77" s="35">
        <v>11.45</v>
      </c>
      <c r="O77" s="32">
        <v>29</v>
      </c>
      <c r="P77" s="50">
        <v>-0.56599999999999995</v>
      </c>
      <c r="Q77" s="50">
        <v>0.22109999999999999</v>
      </c>
      <c r="R77" s="56">
        <f t="shared" si="36"/>
        <v>-1.0959410264379965E-2</v>
      </c>
      <c r="S77" s="56">
        <f t="shared" si="37"/>
        <v>-1.1226252158894714E-2</v>
      </c>
      <c r="T77" s="56">
        <f t="shared" si="38"/>
        <v>0</v>
      </c>
      <c r="U77" s="57">
        <f t="shared" si="39"/>
        <v>-1.044</v>
      </c>
      <c r="V77" s="58">
        <f t="shared" si="40"/>
        <v>-8.9900000000000008E-2</v>
      </c>
    </row>
    <row r="78" spans="1:22">
      <c r="A78" s="138">
        <v>67</v>
      </c>
      <c r="B78" s="135" t="s">
        <v>123</v>
      </c>
      <c r="C78" s="136" t="s">
        <v>65</v>
      </c>
      <c r="D78" s="29">
        <v>2045003001.59443</v>
      </c>
      <c r="E78" s="30">
        <f t="shared" si="41"/>
        <v>1.0463250831855415E-2</v>
      </c>
      <c r="F78" s="29">
        <v>4493.2517027128297</v>
      </c>
      <c r="G78" s="29">
        <v>4493.2517027128297</v>
      </c>
      <c r="H78" s="32">
        <v>1072</v>
      </c>
      <c r="I78" s="50">
        <v>0.11081629786590669</v>
      </c>
      <c r="J78" s="50">
        <v>0.12427429956978686</v>
      </c>
      <c r="K78" s="29">
        <v>2045244736.3169601</v>
      </c>
      <c r="L78" s="30">
        <f t="shared" si="35"/>
        <v>1.0291634209542088E-2</v>
      </c>
      <c r="M78" s="29">
        <v>4502.7698812424496</v>
      </c>
      <c r="N78" s="29">
        <v>4502.7698812424496</v>
      </c>
      <c r="O78" s="32">
        <v>1075</v>
      </c>
      <c r="P78" s="50">
        <v>0.11045564686049873</v>
      </c>
      <c r="Q78" s="50">
        <v>0.12330538642529866</v>
      </c>
      <c r="R78" s="56">
        <f t="shared" si="36"/>
        <v>1.1820751477707024E-4</v>
      </c>
      <c r="S78" s="56">
        <f t="shared" si="37"/>
        <v>2.1183274740369617E-3</v>
      </c>
      <c r="T78" s="56">
        <f t="shared" si="38"/>
        <v>2.798507462686567E-3</v>
      </c>
      <c r="U78" s="57">
        <f t="shared" si="39"/>
        <v>-3.6065100540795536E-4</v>
      </c>
      <c r="V78" s="58">
        <f t="shared" si="40"/>
        <v>-9.6891314448820098E-4</v>
      </c>
    </row>
    <row r="79" spans="1:22">
      <c r="A79" s="138">
        <v>68</v>
      </c>
      <c r="B79" s="135" t="s">
        <v>124</v>
      </c>
      <c r="C79" s="136" t="s">
        <v>67</v>
      </c>
      <c r="D79" s="29">
        <v>362354356.06</v>
      </c>
      <c r="E79" s="30">
        <f t="shared" si="41"/>
        <v>1.8539848178781054E-3</v>
      </c>
      <c r="F79" s="60">
        <v>112.68</v>
      </c>
      <c r="G79" s="60">
        <v>112.68</v>
      </c>
      <c r="H79" s="32">
        <v>136</v>
      </c>
      <c r="I79" s="50">
        <v>2.3999999999999998E-3</v>
      </c>
      <c r="J79" s="50">
        <v>0.1303</v>
      </c>
      <c r="K79" s="29">
        <v>363557777.31</v>
      </c>
      <c r="L79" s="30">
        <f t="shared" si="35"/>
        <v>1.8294161044249857E-3</v>
      </c>
      <c r="M79" s="60">
        <v>112.95</v>
      </c>
      <c r="N79" s="60">
        <v>112.95</v>
      </c>
      <c r="O79" s="32">
        <v>136</v>
      </c>
      <c r="P79" s="50">
        <v>2.3999999999999998E-3</v>
      </c>
      <c r="Q79" s="50">
        <v>0.1303</v>
      </c>
      <c r="R79" s="56">
        <f t="shared" si="36"/>
        <v>3.3211171050493262E-3</v>
      </c>
      <c r="S79" s="56">
        <f t="shared" si="37"/>
        <v>2.3961661341852679E-3</v>
      </c>
      <c r="T79" s="56">
        <f t="shared" si="38"/>
        <v>0</v>
      </c>
      <c r="U79" s="57">
        <f t="shared" si="39"/>
        <v>0</v>
      </c>
      <c r="V79" s="58">
        <f t="shared" si="40"/>
        <v>0</v>
      </c>
    </row>
    <row r="80" spans="1:22" ht="13.5" customHeight="1">
      <c r="A80" s="138">
        <v>69</v>
      </c>
      <c r="B80" s="135" t="s">
        <v>125</v>
      </c>
      <c r="C80" s="136" t="s">
        <v>301</v>
      </c>
      <c r="D80" s="29">
        <v>367501119.79000002</v>
      </c>
      <c r="E80" s="30">
        <f t="shared" si="41"/>
        <v>1.8803182168204537E-3</v>
      </c>
      <c r="F80" s="60">
        <v>1.4125000000000001</v>
      </c>
      <c r="G80" s="60">
        <v>1.4125000000000001</v>
      </c>
      <c r="H80" s="32">
        <v>390</v>
      </c>
      <c r="I80" s="50">
        <v>3.0535435307486036E-3</v>
      </c>
      <c r="J80" s="50">
        <v>7.5654583304130774E-2</v>
      </c>
      <c r="K80" s="29">
        <v>368989523.26999998</v>
      </c>
      <c r="L80" s="30">
        <f t="shared" si="35"/>
        <v>1.8567485510250657E-3</v>
      </c>
      <c r="M80" s="60">
        <v>1.4105000000000001</v>
      </c>
      <c r="N80" s="60">
        <v>1.4105000000000001</v>
      </c>
      <c r="O80" s="32">
        <v>393</v>
      </c>
      <c r="P80" s="50">
        <v>-1.4159292035398341E-3</v>
      </c>
      <c r="Q80" s="50">
        <v>7.4194196301574977E-2</v>
      </c>
      <c r="R80" s="56">
        <f t="shared" si="36"/>
        <v>4.0500651558571391E-3</v>
      </c>
      <c r="S80" s="56">
        <f t="shared" si="37"/>
        <v>-1.4159292035398241E-3</v>
      </c>
      <c r="T80" s="56">
        <f t="shared" si="38"/>
        <v>7.6923076923076927E-3</v>
      </c>
      <c r="U80" s="57">
        <f t="shared" si="39"/>
        <v>-4.4694727342884377E-3</v>
      </c>
      <c r="V80" s="58">
        <f t="shared" si="40"/>
        <v>-1.4603870025557963E-3</v>
      </c>
    </row>
    <row r="81" spans="1:22" ht="13.5" customHeight="1">
      <c r="A81" s="138">
        <v>70</v>
      </c>
      <c r="B81" s="135" t="s">
        <v>299</v>
      </c>
      <c r="C81" s="136" t="s">
        <v>301</v>
      </c>
      <c r="D81" s="29">
        <v>25216964.34</v>
      </c>
      <c r="E81" s="30">
        <f t="shared" ref="E81" si="42">(D81/$D$108)</f>
        <v>1.2902251141032849E-4</v>
      </c>
      <c r="F81" s="60">
        <v>0.89090000000000003</v>
      </c>
      <c r="G81" s="60">
        <v>0.89019999999999999</v>
      </c>
      <c r="H81" s="32">
        <v>1</v>
      </c>
      <c r="I81" s="50">
        <v>-2.2461814914642719E-4</v>
      </c>
      <c r="J81" s="50">
        <v>-8.8376856118791647E-2</v>
      </c>
      <c r="K81" s="29">
        <v>25296145.600000001</v>
      </c>
      <c r="L81" s="30">
        <f t="shared" ref="L81" si="43">(K81/$K$108)</f>
        <v>1.272897432780249E-4</v>
      </c>
      <c r="M81" s="60">
        <v>0.89</v>
      </c>
      <c r="N81" s="60">
        <v>0.89</v>
      </c>
      <c r="O81" s="32">
        <v>1</v>
      </c>
      <c r="P81" s="50">
        <v>-2.2466861379466518E-4</v>
      </c>
      <c r="Q81" s="50">
        <v>-8.8581669226830528E-2</v>
      </c>
      <c r="R81" s="56">
        <f t="shared" ref="R81" si="44">((K81-D81)/D81)</f>
        <v>3.1399996816588128E-3</v>
      </c>
      <c r="S81" s="56">
        <f t="shared" ref="S81" si="45">((N81-G81)/G81)</f>
        <v>-2.2466861379462816E-4</v>
      </c>
      <c r="T81" s="56">
        <f t="shared" ref="T81" si="46">((O81-H81)/H81)</f>
        <v>0</v>
      </c>
      <c r="U81" s="57">
        <f t="shared" ref="U81" si="47">P81-I81</f>
        <v>-5.0464648237991128E-8</v>
      </c>
      <c r="V81" s="58">
        <f t="shared" ref="V81" si="48">Q81-J81</f>
        <v>-2.0481310803888153E-4</v>
      </c>
    </row>
    <row r="82" spans="1:22">
      <c r="A82" s="138">
        <v>71</v>
      </c>
      <c r="B82" s="135" t="s">
        <v>127</v>
      </c>
      <c r="C82" s="136" t="s">
        <v>29</v>
      </c>
      <c r="D82" s="29">
        <v>131920595.19</v>
      </c>
      <c r="E82" s="30">
        <f t="shared" si="41"/>
        <v>6.7497127206387199E-4</v>
      </c>
      <c r="F82" s="60">
        <v>134.49189999999999</v>
      </c>
      <c r="G82" s="60">
        <v>134.49189999999999</v>
      </c>
      <c r="H82" s="32">
        <v>209</v>
      </c>
      <c r="I82" s="50">
        <v>1.567E-3</v>
      </c>
      <c r="J82" s="50">
        <v>2.86E-2</v>
      </c>
      <c r="K82" s="29">
        <v>132949884.45</v>
      </c>
      <c r="L82" s="30">
        <f t="shared" si="35"/>
        <v>6.6900139365435869E-4</v>
      </c>
      <c r="M82" s="60">
        <v>134.86099999999999</v>
      </c>
      <c r="N82" s="60">
        <v>134.86099999999999</v>
      </c>
      <c r="O82" s="32">
        <v>210</v>
      </c>
      <c r="P82" s="50">
        <v>1.0020000000000001E-3</v>
      </c>
      <c r="Q82" s="50">
        <v>3.1399999999999997E-2</v>
      </c>
      <c r="R82" s="56">
        <f t="shared" si="36"/>
        <v>7.8023394187811306E-3</v>
      </c>
      <c r="S82" s="56">
        <f t="shared" si="37"/>
        <v>2.7444031945418508E-3</v>
      </c>
      <c r="T82" s="56">
        <f t="shared" si="38"/>
        <v>4.7846889952153108E-3</v>
      </c>
      <c r="U82" s="57">
        <f t="shared" si="39"/>
        <v>-5.6499999999999996E-4</v>
      </c>
      <c r="V82" s="58">
        <f t="shared" si="40"/>
        <v>2.7999999999999969E-3</v>
      </c>
    </row>
    <row r="83" spans="1:22">
      <c r="A83" s="138">
        <v>72</v>
      </c>
      <c r="B83" s="135" t="s">
        <v>128</v>
      </c>
      <c r="C83" s="136" t="s">
        <v>98</v>
      </c>
      <c r="D83" s="29">
        <v>1576155896.8300002</v>
      </c>
      <c r="E83" s="30">
        <f t="shared" si="41"/>
        <v>8.06439623109707E-3</v>
      </c>
      <c r="F83" s="35">
        <v>1000</v>
      </c>
      <c r="G83" s="35">
        <v>1000</v>
      </c>
      <c r="H83" s="32">
        <v>338</v>
      </c>
      <c r="I83" s="50">
        <v>1.0800000000000001E-2</v>
      </c>
      <c r="J83" s="50">
        <v>0.18540000000000001</v>
      </c>
      <c r="K83" s="29">
        <v>1556745279.6300004</v>
      </c>
      <c r="L83" s="30">
        <f t="shared" si="35"/>
        <v>7.8335138533271176E-3</v>
      </c>
      <c r="M83" s="35">
        <v>1000</v>
      </c>
      <c r="N83" s="35">
        <v>1000</v>
      </c>
      <c r="O83" s="32">
        <v>339</v>
      </c>
      <c r="P83" s="50">
        <v>1.11E-2</v>
      </c>
      <c r="Q83" s="50">
        <v>0.19539999999999999</v>
      </c>
      <c r="R83" s="56">
        <f t="shared" si="36"/>
        <v>-1.2315163264648423E-2</v>
      </c>
      <c r="S83" s="56">
        <f t="shared" si="37"/>
        <v>0</v>
      </c>
      <c r="T83" s="56">
        <f t="shared" si="38"/>
        <v>2.9585798816568047E-3</v>
      </c>
      <c r="U83" s="57">
        <f t="shared" si="39"/>
        <v>2.9999999999999992E-4</v>
      </c>
      <c r="V83" s="58">
        <f t="shared" si="40"/>
        <v>9.9999999999999811E-3</v>
      </c>
    </row>
    <row r="84" spans="1:22">
      <c r="A84" s="138">
        <v>73</v>
      </c>
      <c r="B84" s="135" t="s">
        <v>129</v>
      </c>
      <c r="C84" s="136" t="s">
        <v>72</v>
      </c>
      <c r="D84" s="29">
        <v>175223446.02000001</v>
      </c>
      <c r="E84" s="30">
        <f t="shared" si="41"/>
        <v>8.9653015956450081E-4</v>
      </c>
      <c r="F84" s="35">
        <v>1049.3699999999999</v>
      </c>
      <c r="G84" s="35">
        <v>1057.02</v>
      </c>
      <c r="H84" s="32">
        <v>73</v>
      </c>
      <c r="I84" s="50">
        <v>2.0999999999999999E-3</v>
      </c>
      <c r="J84" s="50">
        <v>4.19E-2</v>
      </c>
      <c r="K84" s="29">
        <v>174491182.88</v>
      </c>
      <c r="L84" s="30">
        <f t="shared" si="35"/>
        <v>8.7803644967453427E-4</v>
      </c>
      <c r="M84" s="35">
        <v>1051.24</v>
      </c>
      <c r="N84" s="35">
        <v>1059.6099999999999</v>
      </c>
      <c r="O84" s="32">
        <v>71</v>
      </c>
      <c r="P84" s="50">
        <v>2.2000000000000001E-3</v>
      </c>
      <c r="Q84" s="50">
        <v>4.41E-2</v>
      </c>
      <c r="R84" s="56">
        <f t="shared" si="36"/>
        <v>-4.1790248772783237E-3</v>
      </c>
      <c r="S84" s="56">
        <f t="shared" si="37"/>
        <v>2.4502847628237101E-3</v>
      </c>
      <c r="T84" s="56">
        <f t="shared" si="38"/>
        <v>-2.7397260273972601E-2</v>
      </c>
      <c r="U84" s="57">
        <f t="shared" si="39"/>
        <v>1.0000000000000026E-4</v>
      </c>
      <c r="V84" s="58">
        <f t="shared" si="40"/>
        <v>2.2000000000000006E-3</v>
      </c>
    </row>
    <row r="85" spans="1:22">
      <c r="A85" s="138">
        <v>74</v>
      </c>
      <c r="B85" s="135" t="s">
        <v>130</v>
      </c>
      <c r="C85" s="136" t="s">
        <v>75</v>
      </c>
      <c r="D85" s="29">
        <v>650807117.97000003</v>
      </c>
      <c r="E85" s="30">
        <f t="shared" si="41"/>
        <v>3.3298523831836978E-3</v>
      </c>
      <c r="F85" s="61">
        <v>1.1728000000000001</v>
      </c>
      <c r="G85" s="61">
        <v>1.1728000000000001</v>
      </c>
      <c r="H85" s="32">
        <v>47</v>
      </c>
      <c r="I85" s="50">
        <v>1.4499999999999999E-3</v>
      </c>
      <c r="J85" s="50">
        <v>0.12839999999999999</v>
      </c>
      <c r="K85" s="29">
        <v>651463546.23000002</v>
      </c>
      <c r="L85" s="30">
        <f t="shared" si="35"/>
        <v>3.2781526824627546E-3</v>
      </c>
      <c r="M85" s="61">
        <v>1.1748000000000001</v>
      </c>
      <c r="N85" s="61">
        <v>1.1748000000000001</v>
      </c>
      <c r="O85" s="32">
        <v>47</v>
      </c>
      <c r="P85" s="50">
        <v>1.4E-3</v>
      </c>
      <c r="Q85" s="50">
        <v>0.12529999999999999</v>
      </c>
      <c r="R85" s="56">
        <f t="shared" si="36"/>
        <v>1.0086371858493556E-3</v>
      </c>
      <c r="S85" s="56">
        <f t="shared" si="37"/>
        <v>1.7053206002728527E-3</v>
      </c>
      <c r="T85" s="56">
        <f t="shared" si="38"/>
        <v>0</v>
      </c>
      <c r="U85" s="57">
        <f t="shared" si="39"/>
        <v>-4.9999999999999914E-5</v>
      </c>
      <c r="V85" s="58">
        <f t="shared" si="40"/>
        <v>-3.0999999999999917E-3</v>
      </c>
    </row>
    <row r="86" spans="1:22">
      <c r="A86" s="138">
        <v>75</v>
      </c>
      <c r="B86" s="135" t="s">
        <v>131</v>
      </c>
      <c r="C86" s="136" t="s">
        <v>31</v>
      </c>
      <c r="D86" s="29">
        <v>12448218446.040001</v>
      </c>
      <c r="E86" s="30">
        <f t="shared" si="41"/>
        <v>6.3691266912124178E-2</v>
      </c>
      <c r="F86" s="61">
        <v>1702.09</v>
      </c>
      <c r="G86" s="61">
        <v>1702.09</v>
      </c>
      <c r="H86" s="32">
        <v>2131</v>
      </c>
      <c r="I86" s="50">
        <v>4.0000000000000002E-4</v>
      </c>
      <c r="J86" s="50">
        <v>5.4000000000000003E-3</v>
      </c>
      <c r="K86" s="29">
        <v>12442872653.82</v>
      </c>
      <c r="L86" s="30">
        <f t="shared" si="35"/>
        <v>6.2612308246118895E-2</v>
      </c>
      <c r="M86" s="61">
        <v>1702.69</v>
      </c>
      <c r="N86" s="61">
        <v>1702.69</v>
      </c>
      <c r="O86" s="32">
        <v>2128</v>
      </c>
      <c r="P86" s="50">
        <v>4.0000000000000002E-4</v>
      </c>
      <c r="Q86" s="50">
        <v>5.7000000000000002E-3</v>
      </c>
      <c r="R86" s="56">
        <f t="shared" si="36"/>
        <v>-4.2944235299002261E-4</v>
      </c>
      <c r="S86" s="56">
        <f t="shared" si="37"/>
        <v>3.5250779923513825E-4</v>
      </c>
      <c r="T86" s="56">
        <f t="shared" si="38"/>
        <v>-1.4077897700610043E-3</v>
      </c>
      <c r="U86" s="57">
        <f t="shared" si="39"/>
        <v>0</v>
      </c>
      <c r="V86" s="58">
        <f t="shared" si="40"/>
        <v>2.9999999999999992E-4</v>
      </c>
    </row>
    <row r="87" spans="1:22">
      <c r="A87" s="138">
        <v>76</v>
      </c>
      <c r="B87" s="135" t="s">
        <v>132</v>
      </c>
      <c r="C87" s="136" t="s">
        <v>80</v>
      </c>
      <c r="D87" s="29">
        <v>23738942.899999999</v>
      </c>
      <c r="E87" s="30">
        <f t="shared" si="41"/>
        <v>1.2146021979045182E-4</v>
      </c>
      <c r="F87" s="60">
        <v>0.72399999999999998</v>
      </c>
      <c r="G87" s="60">
        <v>0.72399999999999998</v>
      </c>
      <c r="H87" s="32">
        <v>746</v>
      </c>
      <c r="I87" s="50">
        <v>2.8999999999999998E-3</v>
      </c>
      <c r="J87" s="50">
        <v>1.0200000000000001E-2</v>
      </c>
      <c r="K87" s="29">
        <v>23790652.739999998</v>
      </c>
      <c r="L87" s="30">
        <f t="shared" si="35"/>
        <v>1.1971413066547337E-4</v>
      </c>
      <c r="M87" s="60">
        <v>0.72560000000000002</v>
      </c>
      <c r="N87" s="60">
        <v>0.72560000000000002</v>
      </c>
      <c r="O87" s="32">
        <v>746</v>
      </c>
      <c r="P87" s="50">
        <v>2.2000000000000001E-3</v>
      </c>
      <c r="Q87" s="50">
        <v>1.24E-2</v>
      </c>
      <c r="R87" s="56">
        <f t="shared" si="36"/>
        <v>2.1782705412716524E-3</v>
      </c>
      <c r="S87" s="56">
        <f t="shared" si="37"/>
        <v>2.209944751381279E-3</v>
      </c>
      <c r="T87" s="56">
        <f t="shared" si="38"/>
        <v>0</v>
      </c>
      <c r="U87" s="57">
        <f t="shared" si="39"/>
        <v>-6.9999999999999967E-4</v>
      </c>
      <c r="V87" s="58">
        <f t="shared" si="40"/>
        <v>2.1999999999999988E-3</v>
      </c>
    </row>
    <row r="88" spans="1:22">
      <c r="A88" s="138">
        <v>77</v>
      </c>
      <c r="B88" s="135" t="s">
        <v>133</v>
      </c>
      <c r="C88" s="136" t="s">
        <v>37</v>
      </c>
      <c r="D88" s="29">
        <v>10952246645.24</v>
      </c>
      <c r="E88" s="30">
        <f t="shared" si="41"/>
        <v>5.6037132332884508E-2</v>
      </c>
      <c r="F88" s="60">
        <v>1</v>
      </c>
      <c r="G88" s="60">
        <v>1</v>
      </c>
      <c r="H88" s="32">
        <v>4282</v>
      </c>
      <c r="I88" s="50">
        <v>0.06</v>
      </c>
      <c r="J88" s="50">
        <v>0.06</v>
      </c>
      <c r="K88" s="29">
        <v>10945951444.040001</v>
      </c>
      <c r="L88" s="30">
        <f t="shared" si="35"/>
        <v>5.5079828021134473E-2</v>
      </c>
      <c r="M88" s="60">
        <v>1</v>
      </c>
      <c r="N88" s="60">
        <v>1</v>
      </c>
      <c r="O88" s="32">
        <v>4278</v>
      </c>
      <c r="P88" s="50">
        <v>0.06</v>
      </c>
      <c r="Q88" s="50">
        <v>0.06</v>
      </c>
      <c r="R88" s="56">
        <f t="shared" si="36"/>
        <v>-5.7478628850408866E-4</v>
      </c>
      <c r="S88" s="56">
        <f t="shared" si="37"/>
        <v>0</v>
      </c>
      <c r="T88" s="56">
        <f t="shared" si="38"/>
        <v>-9.3414292386735165E-4</v>
      </c>
      <c r="U88" s="57">
        <f t="shared" si="39"/>
        <v>0</v>
      </c>
      <c r="V88" s="58">
        <f t="shared" si="40"/>
        <v>0</v>
      </c>
    </row>
    <row r="89" spans="1:22">
      <c r="A89" s="138">
        <v>78</v>
      </c>
      <c r="B89" s="135" t="s">
        <v>134</v>
      </c>
      <c r="C89" s="136" t="s">
        <v>135</v>
      </c>
      <c r="D89" s="29">
        <v>1617556787.22</v>
      </c>
      <c r="E89" s="30">
        <f t="shared" si="41"/>
        <v>8.276223744540805E-3</v>
      </c>
      <c r="F89" s="29">
        <v>244.3</v>
      </c>
      <c r="G89" s="29">
        <v>247.2</v>
      </c>
      <c r="H89" s="32">
        <v>511</v>
      </c>
      <c r="I89" s="50">
        <v>3.0000000000000001E-3</v>
      </c>
      <c r="J89" s="50">
        <v>0.1865</v>
      </c>
      <c r="K89" s="29">
        <v>1616263675.46</v>
      </c>
      <c r="L89" s="30">
        <f t="shared" si="35"/>
        <v>8.1330093355764192E-3</v>
      </c>
      <c r="M89" s="29">
        <v>245.35</v>
      </c>
      <c r="N89" s="29">
        <v>247.36</v>
      </c>
      <c r="O89" s="32">
        <v>511</v>
      </c>
      <c r="P89" s="50">
        <v>3.0000000000000001E-3</v>
      </c>
      <c r="Q89" s="50">
        <v>0.1865</v>
      </c>
      <c r="R89" s="56">
        <f t="shared" si="36"/>
        <v>-7.9942279010951193E-4</v>
      </c>
      <c r="S89" s="56">
        <f t="shared" si="37"/>
        <v>6.4724919093861249E-4</v>
      </c>
      <c r="T89" s="56">
        <f t="shared" si="38"/>
        <v>0</v>
      </c>
      <c r="U89" s="57">
        <f t="shared" si="39"/>
        <v>0</v>
      </c>
      <c r="V89" s="58">
        <f t="shared" si="40"/>
        <v>0</v>
      </c>
    </row>
    <row r="90" spans="1:22">
      <c r="A90" s="138">
        <v>79</v>
      </c>
      <c r="B90" s="135" t="s">
        <v>136</v>
      </c>
      <c r="C90" s="136" t="s">
        <v>41</v>
      </c>
      <c r="D90" s="29">
        <v>1108631915.6199999</v>
      </c>
      <c r="E90" s="30">
        <f t="shared" si="41"/>
        <v>5.6723113874592472E-3</v>
      </c>
      <c r="F90" s="60">
        <v>3.69</v>
      </c>
      <c r="G90" s="60">
        <v>3.69</v>
      </c>
      <c r="H90" s="46">
        <v>772</v>
      </c>
      <c r="I90" s="53">
        <v>1.8E-3</v>
      </c>
      <c r="J90" s="53">
        <v>9.2999999999999999E-2</v>
      </c>
      <c r="K90" s="29">
        <v>1110655256.25</v>
      </c>
      <c r="L90" s="30">
        <f t="shared" si="35"/>
        <v>5.588796991999107E-3</v>
      </c>
      <c r="M90" s="60">
        <v>3.7</v>
      </c>
      <c r="N90" s="60">
        <v>3.7</v>
      </c>
      <c r="O90" s="46">
        <v>772</v>
      </c>
      <c r="P90" s="53">
        <v>1.8E-3</v>
      </c>
      <c r="Q90" s="53">
        <v>9.3399999999999997E-2</v>
      </c>
      <c r="R90" s="56">
        <f t="shared" si="36"/>
        <v>1.8250788214666956E-3</v>
      </c>
      <c r="S90" s="56">
        <f t="shared" si="37"/>
        <v>2.7100271002710652E-3</v>
      </c>
      <c r="T90" s="56">
        <f t="shared" si="38"/>
        <v>0</v>
      </c>
      <c r="U90" s="57">
        <f t="shared" si="39"/>
        <v>0</v>
      </c>
      <c r="V90" s="58">
        <f t="shared" si="40"/>
        <v>3.9999999999999758E-4</v>
      </c>
    </row>
    <row r="91" spans="1:22">
      <c r="A91" s="138">
        <v>80</v>
      </c>
      <c r="B91" s="135" t="s">
        <v>137</v>
      </c>
      <c r="C91" s="136" t="s">
        <v>43</v>
      </c>
      <c r="D91" s="29">
        <v>580596197.68000007</v>
      </c>
      <c r="E91" s="30">
        <f t="shared" si="41"/>
        <v>2.9706184507362135E-3</v>
      </c>
      <c r="F91" s="60">
        <v>107.41023</v>
      </c>
      <c r="G91" s="60">
        <v>107.41023</v>
      </c>
      <c r="H91" s="46">
        <v>59</v>
      </c>
      <c r="I91" s="53">
        <v>0.1487</v>
      </c>
      <c r="J91" s="53">
        <v>0.17219999999999999</v>
      </c>
      <c r="K91" s="29">
        <v>576654473.5</v>
      </c>
      <c r="L91" s="30">
        <f t="shared" si="35"/>
        <v>2.9017147929421947E-3</v>
      </c>
      <c r="M91" s="60">
        <v>107.70665</v>
      </c>
      <c r="N91" s="60">
        <v>107.70665</v>
      </c>
      <c r="O91" s="46">
        <v>59</v>
      </c>
      <c r="P91" s="53">
        <v>0.14699999999999999</v>
      </c>
      <c r="Q91" s="53">
        <v>0.1706</v>
      </c>
      <c r="R91" s="56">
        <f t="shared" si="36"/>
        <v>-6.7890974755790215E-3</v>
      </c>
      <c r="S91" s="56">
        <f t="shared" si="37"/>
        <v>2.7596998907831933E-3</v>
      </c>
      <c r="T91" s="56">
        <f t="shared" si="38"/>
        <v>0</v>
      </c>
      <c r="U91" s="57">
        <f t="shared" si="39"/>
        <v>-1.7000000000000071E-3</v>
      </c>
      <c r="V91" s="58">
        <f t="shared" si="40"/>
        <v>-1.5999999999999903E-3</v>
      </c>
    </row>
    <row r="92" spans="1:22">
      <c r="A92" s="138">
        <v>81</v>
      </c>
      <c r="B92" s="136" t="s">
        <v>138</v>
      </c>
      <c r="C92" s="144" t="s">
        <v>47</v>
      </c>
      <c r="D92" s="29">
        <v>1426174026.3499999</v>
      </c>
      <c r="E92" s="30">
        <f t="shared" si="41"/>
        <v>7.297014506063142E-3</v>
      </c>
      <c r="F92" s="60">
        <v>99.87</v>
      </c>
      <c r="G92" s="60">
        <v>99.87</v>
      </c>
      <c r="H92" s="32">
        <v>289</v>
      </c>
      <c r="I92" s="50">
        <v>1.0800000000000001E-2</v>
      </c>
      <c r="J92" s="50">
        <v>2.1399999999999999E-2</v>
      </c>
      <c r="K92" s="29">
        <v>1432816252.6800001</v>
      </c>
      <c r="L92" s="30">
        <f t="shared" si="35"/>
        <v>7.2099052500796349E-3</v>
      </c>
      <c r="M92" s="60">
        <v>100.04</v>
      </c>
      <c r="N92" s="60">
        <v>100.04</v>
      </c>
      <c r="O92" s="32">
        <v>289</v>
      </c>
      <c r="P92" s="50">
        <v>1.1299999999999999E-2</v>
      </c>
      <c r="Q92" s="50">
        <v>2.1899999999999999E-2</v>
      </c>
      <c r="R92" s="56">
        <f t="shared" si="36"/>
        <v>4.6573743507302397E-3</v>
      </c>
      <c r="S92" s="56">
        <f t="shared" si="37"/>
        <v>1.7022128767397787E-3</v>
      </c>
      <c r="T92" s="56">
        <f t="shared" si="38"/>
        <v>0</v>
      </c>
      <c r="U92" s="57">
        <f t="shared" si="39"/>
        <v>4.9999999999999871E-4</v>
      </c>
      <c r="V92" s="58">
        <f t="shared" si="40"/>
        <v>5.0000000000000044E-4</v>
      </c>
    </row>
    <row r="93" spans="1:22">
      <c r="A93" s="138">
        <v>82</v>
      </c>
      <c r="B93" s="135" t="s">
        <v>139</v>
      </c>
      <c r="C93" s="136" t="s">
        <v>19</v>
      </c>
      <c r="D93" s="29">
        <v>1394869240.6400001</v>
      </c>
      <c r="E93" s="30">
        <f t="shared" si="41"/>
        <v>7.1368436775284998E-3</v>
      </c>
      <c r="F93" s="60">
        <v>352.04570000000001</v>
      </c>
      <c r="G93" s="60">
        <v>352.04570000000001</v>
      </c>
      <c r="H93" s="32">
        <v>196</v>
      </c>
      <c r="I93" s="50">
        <v>2.3999999999999998E-3</v>
      </c>
      <c r="J93" s="50">
        <v>2.6700000000000002E-2</v>
      </c>
      <c r="K93" s="29">
        <v>1400965557.48</v>
      </c>
      <c r="L93" s="30">
        <f t="shared" si="35"/>
        <v>7.0496331327640771E-3</v>
      </c>
      <c r="M93" s="60">
        <v>352.97070000000002</v>
      </c>
      <c r="N93" s="60">
        <v>352.97070000000002</v>
      </c>
      <c r="O93" s="32">
        <v>196</v>
      </c>
      <c r="P93" s="50">
        <v>2.5999999999999999E-3</v>
      </c>
      <c r="Q93" s="50">
        <v>2.93E-2</v>
      </c>
      <c r="R93" s="56">
        <f t="shared" si="36"/>
        <v>4.3705292671037572E-3</v>
      </c>
      <c r="S93" s="56">
        <f t="shared" si="37"/>
        <v>2.6274997819885639E-3</v>
      </c>
      <c r="T93" s="56">
        <f t="shared" si="38"/>
        <v>0</v>
      </c>
      <c r="U93" s="57">
        <f t="shared" si="39"/>
        <v>2.0000000000000009E-4</v>
      </c>
      <c r="V93" s="58">
        <f t="shared" si="40"/>
        <v>2.5999999999999981E-3</v>
      </c>
    </row>
    <row r="94" spans="1:22">
      <c r="A94" s="138">
        <v>83</v>
      </c>
      <c r="B94" s="135" t="s">
        <v>140</v>
      </c>
      <c r="C94" s="136" t="s">
        <v>89</v>
      </c>
      <c r="D94" s="44">
        <v>1331029953</v>
      </c>
      <c r="E94" s="30">
        <f>(D94/$K$68)</f>
        <v>5.5001797705110439E-4</v>
      </c>
      <c r="F94" s="60">
        <v>103.61</v>
      </c>
      <c r="G94" s="60">
        <v>103.61</v>
      </c>
      <c r="H94" s="32">
        <v>387</v>
      </c>
      <c r="I94" s="50">
        <v>2.8E-3</v>
      </c>
      <c r="J94" s="50">
        <v>0.14149999999999999</v>
      </c>
      <c r="K94" s="44">
        <v>1332873116</v>
      </c>
      <c r="L94" s="30">
        <f>(K94/$K$68)</f>
        <v>5.5077962240878428E-4</v>
      </c>
      <c r="M94" s="60">
        <v>103.89</v>
      </c>
      <c r="N94" s="60">
        <v>103.89</v>
      </c>
      <c r="O94" s="32">
        <v>387</v>
      </c>
      <c r="P94" s="50">
        <v>2.8E-3</v>
      </c>
      <c r="Q94" s="50">
        <v>0.1421</v>
      </c>
      <c r="R94" s="56">
        <f t="shared" si="36"/>
        <v>1.3847644794511998E-3</v>
      </c>
      <c r="S94" s="56">
        <f t="shared" si="37"/>
        <v>2.7024418492423621E-3</v>
      </c>
      <c r="T94" s="56">
        <f t="shared" si="38"/>
        <v>0</v>
      </c>
      <c r="U94" s="57">
        <f t="shared" si="39"/>
        <v>0</v>
      </c>
      <c r="V94" s="58">
        <f t="shared" si="40"/>
        <v>6.0000000000001719E-4</v>
      </c>
    </row>
    <row r="95" spans="1:22">
      <c r="A95" s="138">
        <v>84</v>
      </c>
      <c r="B95" s="135" t="s">
        <v>141</v>
      </c>
      <c r="C95" s="136" t="s">
        <v>45</v>
      </c>
      <c r="D95" s="29">
        <v>59747873.43</v>
      </c>
      <c r="E95" s="30">
        <f t="shared" ref="E95:E107" si="49">(D95/$D$108)</f>
        <v>3.056997891350881E-4</v>
      </c>
      <c r="F95" s="29">
        <v>12.416729</v>
      </c>
      <c r="G95" s="29">
        <v>12.783669</v>
      </c>
      <c r="H95" s="32">
        <v>58</v>
      </c>
      <c r="I95" s="50">
        <v>8.9999999999999998E-4</v>
      </c>
      <c r="J95" s="50">
        <v>1.83E-2</v>
      </c>
      <c r="K95" s="29">
        <v>59875973.299999997</v>
      </c>
      <c r="L95" s="30">
        <f t="shared" ref="L95:L107" si="50">(K95/$K$108)</f>
        <v>3.0129480555641933E-4</v>
      </c>
      <c r="M95" s="29">
        <v>12.443351</v>
      </c>
      <c r="N95" s="29">
        <v>12.817852999999999</v>
      </c>
      <c r="O95" s="32">
        <v>58</v>
      </c>
      <c r="P95" s="50">
        <v>-2.0199999999999999E-2</v>
      </c>
      <c r="Q95" s="50">
        <v>3.9100000000000003E-2</v>
      </c>
      <c r="R95" s="56">
        <f t="shared" si="36"/>
        <v>2.1440071862989037E-3</v>
      </c>
      <c r="S95" s="56">
        <f t="shared" si="37"/>
        <v>2.6740366947861191E-3</v>
      </c>
      <c r="T95" s="56">
        <f t="shared" si="38"/>
        <v>0</v>
      </c>
      <c r="U95" s="57">
        <f t="shared" si="39"/>
        <v>-2.1100000000000001E-2</v>
      </c>
      <c r="V95" s="58">
        <f t="shared" si="40"/>
        <v>2.0800000000000003E-2</v>
      </c>
    </row>
    <row r="96" spans="1:22">
      <c r="A96" s="138">
        <v>85</v>
      </c>
      <c r="B96" s="135" t="s">
        <v>142</v>
      </c>
      <c r="C96" s="136" t="s">
        <v>143</v>
      </c>
      <c r="D96" s="29">
        <v>435022197.36000001</v>
      </c>
      <c r="E96" s="30">
        <f t="shared" si="49"/>
        <v>2.2257895782322691E-3</v>
      </c>
      <c r="F96" s="29">
        <v>135.91</v>
      </c>
      <c r="G96" s="29">
        <v>135.91</v>
      </c>
      <c r="H96" s="32">
        <v>126</v>
      </c>
      <c r="I96" s="50">
        <v>0.1875</v>
      </c>
      <c r="J96" s="50">
        <v>0.19839999999999999</v>
      </c>
      <c r="K96" s="29">
        <v>446206032.5</v>
      </c>
      <c r="L96" s="30">
        <f t="shared" si="50"/>
        <v>2.2453006171039365E-3</v>
      </c>
      <c r="M96" s="29">
        <v>136.35</v>
      </c>
      <c r="N96" s="29">
        <v>136.35</v>
      </c>
      <c r="O96" s="32">
        <v>129</v>
      </c>
      <c r="P96" s="50">
        <v>0.185</v>
      </c>
      <c r="Q96" s="50">
        <v>0.1971</v>
      </c>
      <c r="R96" s="56">
        <f t="shared" si="36"/>
        <v>2.5708653967247721E-2</v>
      </c>
      <c r="S96" s="56">
        <f t="shared" si="37"/>
        <v>3.2374365388860107E-3</v>
      </c>
      <c r="T96" s="56">
        <f t="shared" si="38"/>
        <v>2.3809523809523808E-2</v>
      </c>
      <c r="U96" s="57">
        <f t="shared" si="39"/>
        <v>-2.5000000000000022E-3</v>
      </c>
      <c r="V96" s="58">
        <f t="shared" si="40"/>
        <v>-1.2999999999999956E-3</v>
      </c>
    </row>
    <row r="97" spans="1:28">
      <c r="A97" s="138">
        <v>86</v>
      </c>
      <c r="B97" s="135" t="s">
        <v>144</v>
      </c>
      <c r="C97" s="136" t="s">
        <v>145</v>
      </c>
      <c r="D97" s="29">
        <v>8145228011.0154591</v>
      </c>
      <c r="E97" s="30">
        <f t="shared" si="49"/>
        <v>4.1675031134654379E-2</v>
      </c>
      <c r="F97" s="29">
        <v>1.0365782682111839</v>
      </c>
      <c r="G97" s="29">
        <v>1.0365782682111839</v>
      </c>
      <c r="H97" s="32">
        <v>4584</v>
      </c>
      <c r="I97" s="50">
        <v>0.19020000000000001</v>
      </c>
      <c r="J97" s="50">
        <v>0.19020000000000001</v>
      </c>
      <c r="K97" s="29">
        <v>8172034415.3416271</v>
      </c>
      <c r="L97" s="30">
        <f t="shared" si="50"/>
        <v>4.1121528126720618E-2</v>
      </c>
      <c r="M97" s="29">
        <v>1.0389202828155313</v>
      </c>
      <c r="N97" s="29">
        <v>1.0389202828155313</v>
      </c>
      <c r="O97" s="32">
        <v>4594</v>
      </c>
      <c r="P97" s="50">
        <v>0.1903</v>
      </c>
      <c r="Q97" s="50">
        <v>0.1903</v>
      </c>
      <c r="R97" s="56">
        <f t="shared" si="36"/>
        <v>3.2910563448826187E-3</v>
      </c>
      <c r="S97" s="56">
        <f t="shared" si="37"/>
        <v>2.2593707355923563E-3</v>
      </c>
      <c r="T97" s="56">
        <f t="shared" si="38"/>
        <v>2.181500872600349E-3</v>
      </c>
      <c r="U97" s="57">
        <f t="shared" si="39"/>
        <v>9.9999999999988987E-5</v>
      </c>
      <c r="V97" s="58">
        <f t="shared" si="40"/>
        <v>9.9999999999988987E-5</v>
      </c>
    </row>
    <row r="98" spans="1:28" ht="14.25" customHeight="1">
      <c r="A98" s="138">
        <v>87</v>
      </c>
      <c r="B98" s="135" t="s">
        <v>146</v>
      </c>
      <c r="C98" s="136" t="s">
        <v>49</v>
      </c>
      <c r="D98" s="29">
        <v>4716160264.3999996</v>
      </c>
      <c r="E98" s="30">
        <f t="shared" si="49"/>
        <v>2.4130217789985055E-2</v>
      </c>
      <c r="F98" s="29">
        <v>5170.33</v>
      </c>
      <c r="G98" s="29">
        <v>5170.33</v>
      </c>
      <c r="H98" s="32">
        <v>262</v>
      </c>
      <c r="I98" s="50">
        <v>1E-4</v>
      </c>
      <c r="J98" s="50">
        <v>5.9999999999999995E-4</v>
      </c>
      <c r="K98" s="29">
        <v>4621069228.04</v>
      </c>
      <c r="L98" s="30">
        <f t="shared" si="50"/>
        <v>2.3253136070943245E-2</v>
      </c>
      <c r="M98" s="29">
        <v>5170.67</v>
      </c>
      <c r="N98" s="29">
        <v>5170.67</v>
      </c>
      <c r="O98" s="32">
        <v>259</v>
      </c>
      <c r="P98" s="50">
        <v>1E-4</v>
      </c>
      <c r="Q98" s="50">
        <v>5.9999999999999995E-4</v>
      </c>
      <c r="R98" s="56">
        <f t="shared" si="36"/>
        <v>-2.0162808519845189E-2</v>
      </c>
      <c r="S98" s="56">
        <f t="shared" si="37"/>
        <v>6.5759825775172097E-5</v>
      </c>
      <c r="T98" s="56">
        <f t="shared" si="38"/>
        <v>-1.1450381679389313E-2</v>
      </c>
      <c r="U98" s="57">
        <f t="shared" si="39"/>
        <v>0</v>
      </c>
      <c r="V98" s="58">
        <f t="shared" si="40"/>
        <v>0</v>
      </c>
    </row>
    <row r="99" spans="1:28" ht="13.5" customHeight="1">
      <c r="A99" s="138">
        <v>88</v>
      </c>
      <c r="B99" s="135" t="s">
        <v>147</v>
      </c>
      <c r="C99" s="136" t="s">
        <v>49</v>
      </c>
      <c r="D99" s="29">
        <v>20606050085.169998</v>
      </c>
      <c r="E99" s="30">
        <f t="shared" si="49"/>
        <v>0.10543078446672563</v>
      </c>
      <c r="F99" s="60">
        <v>259.02999999999997</v>
      </c>
      <c r="G99" s="60">
        <v>259.02999999999997</v>
      </c>
      <c r="H99" s="32">
        <v>6273</v>
      </c>
      <c r="I99" s="50">
        <v>0</v>
      </c>
      <c r="J99" s="50">
        <v>6.9999999999999999E-4</v>
      </c>
      <c r="K99" s="29">
        <v>20582467033.080002</v>
      </c>
      <c r="L99" s="30">
        <f t="shared" si="50"/>
        <v>0.10357059870295671</v>
      </c>
      <c r="M99" s="60">
        <v>259.02999999999997</v>
      </c>
      <c r="N99" s="60">
        <v>259.02999999999997</v>
      </c>
      <c r="O99" s="32">
        <v>6261</v>
      </c>
      <c r="P99" s="50">
        <v>0</v>
      </c>
      <c r="Q99" s="50">
        <v>6.9999999999999999E-4</v>
      </c>
      <c r="R99" s="56">
        <f t="shared" si="36"/>
        <v>-1.1444722298801391E-3</v>
      </c>
      <c r="S99" s="56">
        <f t="shared" si="37"/>
        <v>0</v>
      </c>
      <c r="T99" s="56">
        <f t="shared" si="38"/>
        <v>-1.9129603060736491E-3</v>
      </c>
      <c r="U99" s="57">
        <f t="shared" si="39"/>
        <v>0</v>
      </c>
      <c r="V99" s="58">
        <f t="shared" si="40"/>
        <v>0</v>
      </c>
    </row>
    <row r="100" spans="1:28" ht="13.5" customHeight="1">
      <c r="A100" s="138">
        <v>89</v>
      </c>
      <c r="B100" s="135" t="s">
        <v>148</v>
      </c>
      <c r="C100" s="136" t="s">
        <v>49</v>
      </c>
      <c r="D100" s="29">
        <v>441808125.24000001</v>
      </c>
      <c r="E100" s="30">
        <f t="shared" si="49"/>
        <v>2.260509754916588E-3</v>
      </c>
      <c r="F100" s="35">
        <v>7297</v>
      </c>
      <c r="G100" s="35">
        <v>7328.59</v>
      </c>
      <c r="H100" s="32">
        <v>15</v>
      </c>
      <c r="I100" s="50">
        <v>2.7000000000000001E-3</v>
      </c>
      <c r="J100" s="50">
        <v>7.4099999999999999E-2</v>
      </c>
      <c r="K100" s="29">
        <v>441741003.16000003</v>
      </c>
      <c r="L100" s="30">
        <f t="shared" si="50"/>
        <v>2.2228326709035698E-3</v>
      </c>
      <c r="M100" s="35">
        <v>7296</v>
      </c>
      <c r="N100" s="35">
        <v>7327.4</v>
      </c>
      <c r="O100" s="32">
        <v>15</v>
      </c>
      <c r="P100" s="50">
        <v>-2.0000000000000001E-4</v>
      </c>
      <c r="Q100" s="50">
        <v>7.3899999999999993E-2</v>
      </c>
      <c r="R100" s="56">
        <f t="shared" si="36"/>
        <v>-1.5192586139859039E-4</v>
      </c>
      <c r="S100" s="56">
        <f t="shared" si="37"/>
        <v>-1.6237775615780242E-4</v>
      </c>
      <c r="T100" s="56">
        <f t="shared" si="38"/>
        <v>0</v>
      </c>
      <c r="U100" s="57">
        <f t="shared" si="39"/>
        <v>-2.9000000000000002E-3</v>
      </c>
      <c r="V100" s="58">
        <f t="shared" si="40"/>
        <v>-2.0000000000000573E-4</v>
      </c>
    </row>
    <row r="101" spans="1:28" ht="15" customHeight="1">
      <c r="A101" s="138">
        <v>90</v>
      </c>
      <c r="B101" s="135" t="s">
        <v>149</v>
      </c>
      <c r="C101" s="136" t="s">
        <v>49</v>
      </c>
      <c r="D101" s="29">
        <v>7392835291.8400002</v>
      </c>
      <c r="E101" s="30">
        <f t="shared" si="49"/>
        <v>3.7825416371909955E-2</v>
      </c>
      <c r="F101" s="60">
        <v>142.53</v>
      </c>
      <c r="G101" s="60">
        <v>142.53</v>
      </c>
      <c r="H101" s="32">
        <v>4513</v>
      </c>
      <c r="I101" s="50">
        <v>3.2000000000000002E-3</v>
      </c>
      <c r="J101" s="50">
        <v>3.3700000000000001E-2</v>
      </c>
      <c r="K101" s="29">
        <v>7357252829.4899998</v>
      </c>
      <c r="L101" s="30">
        <f t="shared" si="50"/>
        <v>3.7021562047670389E-2</v>
      </c>
      <c r="M101" s="60">
        <v>142.93</v>
      </c>
      <c r="N101" s="60">
        <v>142.93</v>
      </c>
      <c r="O101" s="32">
        <v>4523</v>
      </c>
      <c r="P101" s="50">
        <v>2.8E-3</v>
      </c>
      <c r="Q101" s="50">
        <v>3.6600000000000001E-2</v>
      </c>
      <c r="R101" s="56">
        <f t="shared" si="36"/>
        <v>-4.8131009207354157E-3</v>
      </c>
      <c r="S101" s="56">
        <f t="shared" si="37"/>
        <v>2.8064267171823876E-3</v>
      </c>
      <c r="T101" s="56">
        <f t="shared" si="38"/>
        <v>2.2158209616662972E-3</v>
      </c>
      <c r="U101" s="57">
        <f t="shared" si="39"/>
        <v>-4.0000000000000018E-4</v>
      </c>
      <c r="V101" s="58">
        <f t="shared" si="40"/>
        <v>2.8999999999999998E-3</v>
      </c>
    </row>
    <row r="102" spans="1:28" ht="15" customHeight="1">
      <c r="A102" s="138">
        <v>91</v>
      </c>
      <c r="B102" s="135" t="s">
        <v>150</v>
      </c>
      <c r="C102" s="136" t="s">
        <v>49</v>
      </c>
      <c r="D102" s="29">
        <v>7603262496.5900002</v>
      </c>
      <c r="E102" s="30">
        <f t="shared" si="49"/>
        <v>3.8902066442070636E-2</v>
      </c>
      <c r="F102" s="60">
        <v>358.65</v>
      </c>
      <c r="G102" s="60">
        <v>359.26</v>
      </c>
      <c r="H102" s="32">
        <v>10168</v>
      </c>
      <c r="I102" s="50">
        <v>1E-4</v>
      </c>
      <c r="J102" s="50">
        <v>1.41E-2</v>
      </c>
      <c r="K102" s="29">
        <v>7480616076.6899996</v>
      </c>
      <c r="L102" s="30">
        <f t="shared" si="50"/>
        <v>3.7642323657535233E-2</v>
      </c>
      <c r="M102" s="60">
        <v>357.05</v>
      </c>
      <c r="N102" s="60">
        <v>357.65</v>
      </c>
      <c r="O102" s="32">
        <v>10169</v>
      </c>
      <c r="P102" s="50">
        <v>-4.4999999999999997E-3</v>
      </c>
      <c r="Q102" s="50">
        <v>9.5999999999999992E-3</v>
      </c>
      <c r="R102" s="56">
        <f t="shared" si="36"/>
        <v>-1.6130762281981778E-2</v>
      </c>
      <c r="S102" s="56">
        <f t="shared" si="37"/>
        <v>-4.4814340588988861E-3</v>
      </c>
      <c r="T102" s="56">
        <f t="shared" si="38"/>
        <v>9.8347757671125098E-5</v>
      </c>
      <c r="U102" s="57">
        <f t="shared" si="39"/>
        <v>-4.5999999999999999E-3</v>
      </c>
      <c r="V102" s="58">
        <f t="shared" si="40"/>
        <v>-4.5000000000000005E-3</v>
      </c>
    </row>
    <row r="103" spans="1:28">
      <c r="A103" s="138">
        <v>92</v>
      </c>
      <c r="B103" s="135" t="s">
        <v>151</v>
      </c>
      <c r="C103" s="136" t="s">
        <v>52</v>
      </c>
      <c r="D103" s="29">
        <v>88084138905.75</v>
      </c>
      <c r="E103" s="30">
        <f t="shared" si="49"/>
        <v>0.45068219408982546</v>
      </c>
      <c r="F103" s="29">
        <v>1.9944999999999999</v>
      </c>
      <c r="G103" s="29">
        <v>1.9944999999999999</v>
      </c>
      <c r="H103" s="32">
        <v>6435</v>
      </c>
      <c r="I103" s="50">
        <v>8.1600000000000006E-2</v>
      </c>
      <c r="J103" s="50">
        <v>8.1500000000000003E-2</v>
      </c>
      <c r="K103" s="29">
        <v>88206847723.770004</v>
      </c>
      <c r="L103" s="30">
        <f t="shared" si="50"/>
        <v>0.44385524892466299</v>
      </c>
      <c r="M103" s="29">
        <v>1.9964</v>
      </c>
      <c r="N103" s="29">
        <v>1.9964</v>
      </c>
      <c r="O103" s="32">
        <v>6436</v>
      </c>
      <c r="P103" s="50">
        <v>5.0900000000000001E-2</v>
      </c>
      <c r="Q103" s="50">
        <v>7.8799999999999995E-2</v>
      </c>
      <c r="R103" s="56">
        <f t="shared" si="36"/>
        <v>1.3930864233264819E-3</v>
      </c>
      <c r="S103" s="56">
        <f t="shared" si="37"/>
        <v>9.5261970418651935E-4</v>
      </c>
      <c r="T103" s="56">
        <f t="shared" si="38"/>
        <v>1.554001554001554E-4</v>
      </c>
      <c r="U103" s="57">
        <f t="shared" si="39"/>
        <v>-3.0700000000000005E-2</v>
      </c>
      <c r="V103" s="58">
        <f t="shared" si="40"/>
        <v>-2.7000000000000079E-3</v>
      </c>
    </row>
    <row r="104" spans="1:28">
      <c r="A104" s="138">
        <v>93</v>
      </c>
      <c r="B104" s="135" t="s">
        <v>152</v>
      </c>
      <c r="C104" s="136" t="s">
        <v>52</v>
      </c>
      <c r="D104" s="29">
        <v>14010812231.33</v>
      </c>
      <c r="E104" s="30">
        <f t="shared" si="49"/>
        <v>7.1686272646120763E-2</v>
      </c>
      <c r="F104" s="29">
        <v>113.1647</v>
      </c>
      <c r="G104" s="29">
        <v>113.1647</v>
      </c>
      <c r="H104" s="32">
        <v>404</v>
      </c>
      <c r="I104" s="50">
        <v>0.2109</v>
      </c>
      <c r="J104" s="50">
        <v>0.22289999999999999</v>
      </c>
      <c r="K104" s="29">
        <v>17428059313.759998</v>
      </c>
      <c r="L104" s="30">
        <f t="shared" si="50"/>
        <v>8.7697676593176344E-2</v>
      </c>
      <c r="M104" s="29">
        <v>113.5634</v>
      </c>
      <c r="N104" s="29">
        <v>113.5634</v>
      </c>
      <c r="O104" s="32">
        <v>419</v>
      </c>
      <c r="P104" s="50">
        <v>0.20130000000000001</v>
      </c>
      <c r="Q104" s="50">
        <v>0.22109999999999999</v>
      </c>
      <c r="R104" s="56">
        <f t="shared" ref="R104:R106" si="51">((K104-D104)/D104)</f>
        <v>0.24390071225054241</v>
      </c>
      <c r="S104" s="56">
        <f t="shared" ref="S104:S106" si="52">((N104-G104)/G104)</f>
        <v>3.5231834662222865E-3</v>
      </c>
      <c r="T104" s="56">
        <f t="shared" ref="T104:T106" si="53">((O104-H104)/H104)</f>
        <v>3.7128712871287127E-2</v>
      </c>
      <c r="U104" s="57">
        <f t="shared" ref="U104:U106" si="54">P104-I104</f>
        <v>-9.5999999999999974E-3</v>
      </c>
      <c r="V104" s="58">
        <f t="shared" ref="V104:V106" si="55">Q104-J104</f>
        <v>-1.799999999999996E-3</v>
      </c>
    </row>
    <row r="105" spans="1:28">
      <c r="A105" s="138">
        <v>94</v>
      </c>
      <c r="B105" s="135" t="s">
        <v>153</v>
      </c>
      <c r="C105" s="135" t="s">
        <v>154</v>
      </c>
      <c r="D105" s="29">
        <v>104739108.97</v>
      </c>
      <c r="E105" s="30">
        <f t="shared" si="49"/>
        <v>5.3589729120382551E-4</v>
      </c>
      <c r="F105" s="29">
        <v>112.92746475911285</v>
      </c>
      <c r="G105" s="29">
        <v>112.92746475911285</v>
      </c>
      <c r="H105" s="62">
        <v>73</v>
      </c>
      <c r="I105" s="63">
        <v>2.2053974849665526E-3</v>
      </c>
      <c r="J105" s="63">
        <v>2.286220133721284E-2</v>
      </c>
      <c r="K105" s="29">
        <v>104668534.93000001</v>
      </c>
      <c r="L105" s="64">
        <f t="shared" si="50"/>
        <v>5.2669015869859172E-4</v>
      </c>
      <c r="M105" s="29">
        <v>113.13317613867186</v>
      </c>
      <c r="N105" s="29">
        <v>113.13317613867186</v>
      </c>
      <c r="O105" s="62">
        <v>73</v>
      </c>
      <c r="P105" s="63">
        <v>4.0310388854698535E-3</v>
      </c>
      <c r="Q105" s="63">
        <v>2.4725471667284227E-2</v>
      </c>
      <c r="R105" s="56">
        <f t="shared" si="51"/>
        <v>-6.7380790894646519E-4</v>
      </c>
      <c r="S105" s="56">
        <f t="shared" si="52"/>
        <v>1.8216239955250156E-3</v>
      </c>
      <c r="T105" s="56">
        <f t="shared" si="53"/>
        <v>0</v>
      </c>
      <c r="U105" s="57">
        <f t="shared" si="54"/>
        <v>1.8256414005033009E-3</v>
      </c>
      <c r="V105" s="58">
        <f t="shared" si="55"/>
        <v>1.8632703300713871E-3</v>
      </c>
    </row>
    <row r="106" spans="1:28">
      <c r="A106" s="138">
        <v>95</v>
      </c>
      <c r="B106" s="135" t="s">
        <v>155</v>
      </c>
      <c r="C106" s="136" t="s">
        <v>110</v>
      </c>
      <c r="D106" s="29">
        <v>279933555.41000003</v>
      </c>
      <c r="E106" s="30">
        <f t="shared" si="49"/>
        <v>1.4322790745168873E-3</v>
      </c>
      <c r="F106" s="29">
        <v>1.1666000000000001</v>
      </c>
      <c r="G106" s="29">
        <v>1.1666000000000001</v>
      </c>
      <c r="H106" s="32">
        <v>448</v>
      </c>
      <c r="I106" s="50">
        <v>-1.0959E-2</v>
      </c>
      <c r="J106" s="50">
        <v>8.3653000000000005E-2</v>
      </c>
      <c r="K106" s="29">
        <v>281965670.63999999</v>
      </c>
      <c r="L106" s="30">
        <f t="shared" si="50"/>
        <v>1.4188461118353826E-3</v>
      </c>
      <c r="M106" s="29">
        <v>1.1747000000000001</v>
      </c>
      <c r="N106" s="29">
        <v>1.1747000000000001</v>
      </c>
      <c r="O106" s="32">
        <v>458</v>
      </c>
      <c r="P106" s="50">
        <v>5.986E-3</v>
      </c>
      <c r="Q106" s="50">
        <v>9.1190999999999994E-2</v>
      </c>
      <c r="R106" s="56">
        <f t="shared" si="51"/>
        <v>7.2592770345936402E-3</v>
      </c>
      <c r="S106" s="56">
        <f t="shared" si="52"/>
        <v>6.9432539002228658E-3</v>
      </c>
      <c r="T106" s="56">
        <f t="shared" si="53"/>
        <v>2.2321428571428572E-2</v>
      </c>
      <c r="U106" s="57">
        <f t="shared" si="54"/>
        <v>1.6945000000000002E-2</v>
      </c>
      <c r="V106" s="58">
        <f t="shared" si="55"/>
        <v>7.5379999999999892E-3</v>
      </c>
    </row>
    <row r="107" spans="1:28">
      <c r="A107" s="138">
        <v>96</v>
      </c>
      <c r="B107" s="135" t="s">
        <v>156</v>
      </c>
      <c r="C107" s="136" t="s">
        <v>112</v>
      </c>
      <c r="D107" s="29">
        <v>2032055134.96</v>
      </c>
      <c r="E107" s="30">
        <f t="shared" si="49"/>
        <v>1.0397003116703982E-2</v>
      </c>
      <c r="F107" s="60">
        <v>29.441700000000001</v>
      </c>
      <c r="G107" s="60">
        <v>29.441700000000001</v>
      </c>
      <c r="H107" s="32">
        <v>1300</v>
      </c>
      <c r="I107" s="50">
        <v>0</v>
      </c>
      <c r="J107" s="50">
        <v>0.1239</v>
      </c>
      <c r="K107" s="29">
        <v>2033482721.8099999</v>
      </c>
      <c r="L107" s="30">
        <f t="shared" si="50"/>
        <v>1.0232447967072667E-2</v>
      </c>
      <c r="M107" s="60">
        <v>28.819800000000001</v>
      </c>
      <c r="N107" s="60">
        <v>28.819800000000001</v>
      </c>
      <c r="O107" s="32">
        <v>1300</v>
      </c>
      <c r="P107" s="50">
        <v>0</v>
      </c>
      <c r="Q107" s="50">
        <v>0.1149</v>
      </c>
      <c r="R107" s="56">
        <f t="shared" si="36"/>
        <v>7.0253352157593205E-4</v>
      </c>
      <c r="S107" s="56">
        <f t="shared" si="37"/>
        <v>-2.1123100907895948E-2</v>
      </c>
      <c r="T107" s="56">
        <f t="shared" si="38"/>
        <v>0</v>
      </c>
      <c r="U107" s="57">
        <f t="shared" si="39"/>
        <v>0</v>
      </c>
      <c r="V107" s="58">
        <f t="shared" si="40"/>
        <v>-8.9999999999999941E-3</v>
      </c>
    </row>
    <row r="108" spans="1:28">
      <c r="A108" s="36"/>
      <c r="B108" s="37"/>
      <c r="C108" s="38" t="s">
        <v>53</v>
      </c>
      <c r="D108" s="48">
        <f>SUM(D71:D107)</f>
        <v>195446236973.35144</v>
      </c>
      <c r="E108" s="40">
        <f>(D108/$D$217)</f>
        <v>4.2419342207969321E-2</v>
      </c>
      <c r="F108" s="41"/>
      <c r="G108" s="45"/>
      <c r="H108" s="43">
        <f>SUM(H71:H107)</f>
        <v>50312</v>
      </c>
      <c r="I108" s="53"/>
      <c r="J108" s="53"/>
      <c r="K108" s="48">
        <f>SUM(K71:K107)</f>
        <v>198728860225.19843</v>
      </c>
      <c r="L108" s="40">
        <f>(K108/$K$217)</f>
        <v>4.2112318439889877E-2</v>
      </c>
      <c r="M108" s="41"/>
      <c r="N108" s="45"/>
      <c r="O108" s="43">
        <f>SUM(O71:O107)</f>
        <v>50360</v>
      </c>
      <c r="P108" s="53"/>
      <c r="Q108" s="53"/>
      <c r="R108" s="56">
        <f t="shared" si="36"/>
        <v>1.6795530590310425E-2</v>
      </c>
      <c r="S108" s="56" t="e">
        <f t="shared" si="37"/>
        <v>#DIV/0!</v>
      </c>
      <c r="T108" s="56">
        <f t="shared" si="38"/>
        <v>9.5404674829066625E-4</v>
      </c>
      <c r="U108" s="57">
        <f t="shared" si="39"/>
        <v>0</v>
      </c>
      <c r="V108" s="58">
        <f t="shared" si="40"/>
        <v>0</v>
      </c>
    </row>
    <row r="109" spans="1:28" ht="3.75" customHeight="1">
      <c r="A109" s="36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</row>
    <row r="110" spans="1:28" ht="15" customHeight="1">
      <c r="A110" s="178" t="s">
        <v>157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</row>
    <row r="111" spans="1:28">
      <c r="A111" s="180" t="s">
        <v>158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Z111" s="65"/>
      <c r="AB111" s="68"/>
    </row>
    <row r="112" spans="1:28" ht="16.5" customHeight="1">
      <c r="A112" s="138">
        <v>97</v>
      </c>
      <c r="B112" s="135" t="s">
        <v>159</v>
      </c>
      <c r="C112" s="136" t="s">
        <v>19</v>
      </c>
      <c r="D112" s="29">
        <f>1947360.05*1517.93</f>
        <v>2955956240.6965003</v>
      </c>
      <c r="E112" s="30">
        <f t="shared" ref="E112:E117" si="56">(D112/$D$146)</f>
        <v>1.6222323944424879E-3</v>
      </c>
      <c r="F112" s="29">
        <f>111.6898*1517.93</f>
        <v>169537.298114</v>
      </c>
      <c r="G112" s="29">
        <f>111.6898*1517.93</f>
        <v>169537.298114</v>
      </c>
      <c r="H112" s="32">
        <v>298</v>
      </c>
      <c r="I112" s="50">
        <v>1.1000000000000001E-3</v>
      </c>
      <c r="J112" s="50">
        <v>1.4500000000000001E-2</v>
      </c>
      <c r="K112" s="29">
        <f>1949027.69*1536.89</f>
        <v>2995441166.4841003</v>
      </c>
      <c r="L112" s="30">
        <f t="shared" ref="L112:L128" si="57">(K112/$K$146)</f>
        <v>1.6254960507394395E-3</v>
      </c>
      <c r="M112" s="29">
        <f>111.8094*1536.89</f>
        <v>171838.748766</v>
      </c>
      <c r="N112" s="29">
        <f>111.8094*1536.89</f>
        <v>171838.748766</v>
      </c>
      <c r="O112" s="32">
        <v>298</v>
      </c>
      <c r="P112" s="50">
        <v>1.1000000000000001E-3</v>
      </c>
      <c r="Q112" s="50">
        <v>1.5599999999999999E-2</v>
      </c>
      <c r="R112" s="57">
        <f>((K112-D112)/D112)</f>
        <v>1.3357750444335523E-2</v>
      </c>
      <c r="S112" s="57">
        <f>((N112-G112)/G112)</f>
        <v>1.3574892826547594E-2</v>
      </c>
      <c r="T112" s="57">
        <f>((O112-H112)/H112)</f>
        <v>0</v>
      </c>
      <c r="U112" s="57">
        <f>P112-I112</f>
        <v>0</v>
      </c>
      <c r="V112" s="58">
        <f>Q112-J112</f>
        <v>1.0999999999999985E-3</v>
      </c>
      <c r="X112" s="65"/>
      <c r="Y112" s="69"/>
      <c r="Z112" s="65"/>
      <c r="AA112" s="70"/>
    </row>
    <row r="113" spans="1:27" ht="16.5" customHeight="1">
      <c r="A113" s="138">
        <v>98</v>
      </c>
      <c r="B113" s="135" t="s">
        <v>160</v>
      </c>
      <c r="C113" s="136" t="s">
        <v>57</v>
      </c>
      <c r="D113" s="29">
        <f>1792739.36*1517.93</f>
        <v>2721252856.7248001</v>
      </c>
      <c r="E113" s="30">
        <f t="shared" si="56"/>
        <v>1.4934268907201283E-3</v>
      </c>
      <c r="F113" s="29">
        <f>100*1517.93</f>
        <v>151793</v>
      </c>
      <c r="G113" s="29">
        <f>100*1517.93</f>
        <v>151793</v>
      </c>
      <c r="H113" s="32">
        <v>50</v>
      </c>
      <c r="I113" s="50">
        <v>-1.1995E-2</v>
      </c>
      <c r="J113" s="50">
        <v>6.7381999999999997E-2</v>
      </c>
      <c r="K113" s="29">
        <f>1840888.94*1536.89</f>
        <v>2829243802.9966002</v>
      </c>
      <c r="L113" s="30">
        <f t="shared" si="57"/>
        <v>1.5353079472256819E-3</v>
      </c>
      <c r="M113" s="29">
        <f>100*1536.89</f>
        <v>153689</v>
      </c>
      <c r="N113" s="29">
        <f>100*1536.89</f>
        <v>153689</v>
      </c>
      <c r="O113" s="32">
        <v>56</v>
      </c>
      <c r="P113" s="50">
        <v>2.7690000000000002E-3</v>
      </c>
      <c r="Q113" s="50">
        <v>7.0152000000000006E-2</v>
      </c>
      <c r="R113" s="57">
        <f>((K113-D113)/D113)</f>
        <v>3.9684274838676321E-2</v>
      </c>
      <c r="S113" s="57">
        <f>((N113-G113)/G113)</f>
        <v>1.2490694564307972E-2</v>
      </c>
      <c r="T113" s="57">
        <f>((O113-H113)/H113)</f>
        <v>0.12</v>
      </c>
      <c r="U113" s="57">
        <f>P113-I113</f>
        <v>1.4764000000000001E-2</v>
      </c>
      <c r="V113" s="58">
        <f>Q113-J113</f>
        <v>2.7700000000000086E-3</v>
      </c>
      <c r="X113" s="65"/>
      <c r="Y113" s="69"/>
      <c r="Z113" s="65"/>
      <c r="AA113" s="70"/>
    </row>
    <row r="114" spans="1:27">
      <c r="A114" s="138">
        <v>99</v>
      </c>
      <c r="B114" s="135" t="s">
        <v>161</v>
      </c>
      <c r="C114" s="136" t="s">
        <v>23</v>
      </c>
      <c r="D114" s="29">
        <f>10222115.8*1545.9337</f>
        <v>15802713300.522461</v>
      </c>
      <c r="E114" s="30">
        <f t="shared" si="56"/>
        <v>8.6725483561807641E-3</v>
      </c>
      <c r="F114" s="29">
        <f>1.1519*1545.9337</f>
        <v>1780.7610290299999</v>
      </c>
      <c r="G114" s="29">
        <f>1.1519*1545.9337</f>
        <v>1780.7610290299999</v>
      </c>
      <c r="H114" s="32">
        <v>308</v>
      </c>
      <c r="I114" s="50">
        <v>5.8900000000000001E-2</v>
      </c>
      <c r="J114" s="50">
        <v>7.0400000000000004E-2</v>
      </c>
      <c r="K114" s="29">
        <f>10239358.97*1532.9771</f>
        <v>15696702819.689589</v>
      </c>
      <c r="L114" s="30">
        <f t="shared" si="57"/>
        <v>8.5179200741853332E-3</v>
      </c>
      <c r="M114" s="29">
        <f>1.1532*1532.9771</f>
        <v>1767.8291917200002</v>
      </c>
      <c r="N114" s="29">
        <f>1.1532*1532.9771</f>
        <v>1767.8291917200002</v>
      </c>
      <c r="O114" s="32">
        <v>308</v>
      </c>
      <c r="P114" s="50">
        <v>5.8799999999999998E-2</v>
      </c>
      <c r="Q114" s="50">
        <v>6.9500000000000006E-2</v>
      </c>
      <c r="R114" s="57">
        <f t="shared" ref="R114:R126" si="58">((K114-D114)/D114)</f>
        <v>-6.7083720888214508E-3</v>
      </c>
      <c r="S114" s="57">
        <f t="shared" ref="S114:S126" si="59">((N114-G114)/G114)</f>
        <v>-7.2619723248570182E-3</v>
      </c>
      <c r="T114" s="57">
        <f t="shared" ref="T114:T126" si="60">((O114-H114)/H114)</f>
        <v>0</v>
      </c>
      <c r="U114" s="57">
        <f t="shared" ref="U114:U126" si="61">P114-I114</f>
        <v>-1.0000000000000286E-4</v>
      </c>
      <c r="V114" s="58">
        <f t="shared" ref="V114:V126" si="62">Q114-J114</f>
        <v>-8.9999999999999802E-4</v>
      </c>
    </row>
    <row r="115" spans="1:27">
      <c r="A115" s="138">
        <v>100</v>
      </c>
      <c r="B115" s="135" t="s">
        <v>293</v>
      </c>
      <c r="C115" s="136" t="s">
        <v>23</v>
      </c>
      <c r="D115" s="29">
        <f>1736940.14*1545.9337</f>
        <v>2685194297.3087177</v>
      </c>
      <c r="E115" s="30">
        <f t="shared" si="56"/>
        <v>1.4736379092811084E-3</v>
      </c>
      <c r="F115" s="29">
        <f>1.0076*1545.9337</f>
        <v>1557.6827961200001</v>
      </c>
      <c r="G115" s="29">
        <f>1.0076*1545.9337</f>
        <v>1557.6827961200001</v>
      </c>
      <c r="H115" s="32">
        <v>43</v>
      </c>
      <c r="I115" s="50">
        <v>3.6200000000000003E-2</v>
      </c>
      <c r="J115" s="50">
        <v>3.7999999999999999E-2</v>
      </c>
      <c r="K115" s="29">
        <f>1737012.75*1532.9771</f>
        <v>2662800768.1580253</v>
      </c>
      <c r="L115" s="30">
        <f t="shared" si="57"/>
        <v>1.4449865285210202E-3</v>
      </c>
      <c r="M115" s="29">
        <f>1.0084*1532.9771</f>
        <v>1545.8541076399999</v>
      </c>
      <c r="N115" s="29">
        <f>1.0084*1532.9771</f>
        <v>1545.8541076399999</v>
      </c>
      <c r="O115" s="32">
        <v>47</v>
      </c>
      <c r="P115" s="50">
        <v>4.1399999999999999E-2</v>
      </c>
      <c r="Q115" s="50">
        <v>3.8300000000000001E-2</v>
      </c>
      <c r="R115" s="57">
        <f t="shared" si="58"/>
        <v>-8.3396308316075161E-3</v>
      </c>
      <c r="S115" s="57">
        <f t="shared" ref="S115" si="63">((N115-G115)/G115)</f>
        <v>-7.5937723068291215E-3</v>
      </c>
      <c r="T115" s="57">
        <f t="shared" ref="T115" si="64">((O115-H115)/H115)</f>
        <v>9.3023255813953487E-2</v>
      </c>
      <c r="U115" s="57">
        <f t="shared" ref="U115" si="65">P115-I115</f>
        <v>5.1999999999999963E-3</v>
      </c>
      <c r="V115" s="58">
        <f t="shared" ref="V115" si="66">Q115-J115</f>
        <v>3.0000000000000165E-4</v>
      </c>
    </row>
    <row r="116" spans="1:27">
      <c r="A116" s="138">
        <v>101</v>
      </c>
      <c r="B116" s="135" t="s">
        <v>162</v>
      </c>
      <c r="C116" s="136" t="s">
        <v>27</v>
      </c>
      <c r="D116" s="29">
        <f>5456661.17*1517.93</f>
        <v>8282829689.7781</v>
      </c>
      <c r="E116" s="30">
        <f t="shared" si="56"/>
        <v>4.5456270479978505E-3</v>
      </c>
      <c r="F116" s="29">
        <f>1.0936*1517.93</f>
        <v>1660.0082479999999</v>
      </c>
      <c r="G116" s="29">
        <f>1.0936*1517.93</f>
        <v>1660.0082479999999</v>
      </c>
      <c r="H116" s="32">
        <v>349</v>
      </c>
      <c r="I116" s="50">
        <v>1.6999999999999999E-3</v>
      </c>
      <c r="J116" s="50">
        <v>1.72E-2</v>
      </c>
      <c r="K116" s="29">
        <f>5586091.67*1536.89</f>
        <v>8585208426.7063007</v>
      </c>
      <c r="L116" s="30">
        <f t="shared" si="57"/>
        <v>4.6588203929793731E-3</v>
      </c>
      <c r="M116" s="29">
        <f>1.0952*1536.89</f>
        <v>1683.201928</v>
      </c>
      <c r="N116" s="29">
        <f>1.0952*1536.89</f>
        <v>1683.201928</v>
      </c>
      <c r="O116" s="32">
        <v>354</v>
      </c>
      <c r="P116" s="50">
        <v>1.5E-3</v>
      </c>
      <c r="Q116" s="50">
        <v>1.8700000000000001E-2</v>
      </c>
      <c r="R116" s="57">
        <f t="shared" si="58"/>
        <v>3.6506694964568508E-2</v>
      </c>
      <c r="S116" s="57">
        <f t="shared" ref="S116:T119" si="67">((N116-G116)/G116)</f>
        <v>1.397202696308536E-2</v>
      </c>
      <c r="T116" s="57">
        <f t="shared" si="67"/>
        <v>1.4326647564469915E-2</v>
      </c>
      <c r="U116" s="57">
        <f t="shared" si="61"/>
        <v>-1.9999999999999987E-4</v>
      </c>
      <c r="V116" s="58">
        <f t="shared" si="62"/>
        <v>1.5000000000000013E-3</v>
      </c>
    </row>
    <row r="117" spans="1:27">
      <c r="A117" s="138">
        <v>102</v>
      </c>
      <c r="B117" s="135" t="s">
        <v>163</v>
      </c>
      <c r="C117" s="136" t="s">
        <v>63</v>
      </c>
      <c r="D117" s="29">
        <f>414114.25*1517.93</f>
        <v>628596443.50250006</v>
      </c>
      <c r="E117" s="30">
        <f t="shared" si="56"/>
        <v>3.4497449577968652E-4</v>
      </c>
      <c r="F117" s="29">
        <f>1.09*1517.93</f>
        <v>1654.5437000000002</v>
      </c>
      <c r="G117" s="29">
        <f>1.1*1517.93</f>
        <v>1669.7230000000002</v>
      </c>
      <c r="H117" s="32">
        <v>21</v>
      </c>
      <c r="I117" s="50">
        <v>0.33450000000000002</v>
      </c>
      <c r="J117" s="50">
        <v>0.23799999999999999</v>
      </c>
      <c r="K117" s="29">
        <f>455331.23*1536.89</f>
        <v>699794014.0747</v>
      </c>
      <c r="L117" s="30">
        <f t="shared" si="57"/>
        <v>3.7974787117741324E-4</v>
      </c>
      <c r="M117" s="29">
        <f>1.09*1536.89</f>
        <v>1675.2101000000002</v>
      </c>
      <c r="N117" s="29">
        <f>1.1*1536.89</f>
        <v>1690.5790000000002</v>
      </c>
      <c r="O117" s="32">
        <v>21</v>
      </c>
      <c r="P117" s="50">
        <v>0.13009999999999999</v>
      </c>
      <c r="Q117" s="50">
        <v>0.20300000000000001</v>
      </c>
      <c r="R117" s="57">
        <f t="shared" si="58"/>
        <v>0.11326435475118429</v>
      </c>
      <c r="S117" s="57">
        <f t="shared" si="67"/>
        <v>1.2490694564307967E-2</v>
      </c>
      <c r="T117" s="57">
        <f t="shared" si="67"/>
        <v>0</v>
      </c>
      <c r="U117" s="57">
        <f t="shared" si="61"/>
        <v>-0.20440000000000003</v>
      </c>
      <c r="V117" s="58">
        <f t="shared" si="62"/>
        <v>-3.4999999999999976E-2</v>
      </c>
    </row>
    <row r="118" spans="1:27">
      <c r="A118" s="138">
        <v>103</v>
      </c>
      <c r="B118" s="135" t="s">
        <v>164</v>
      </c>
      <c r="C118" s="136" t="s">
        <v>29</v>
      </c>
      <c r="D118" s="29">
        <f>269665.27*1517.93</f>
        <v>409333003.29110003</v>
      </c>
      <c r="E118" s="30">
        <v>0</v>
      </c>
      <c r="F118" s="29">
        <f>1.2796*1517.93</f>
        <v>1942.3432280000002</v>
      </c>
      <c r="G118" s="29">
        <f>1.2796*1517.93</f>
        <v>1942.3432280000002</v>
      </c>
      <c r="H118" s="32">
        <v>39</v>
      </c>
      <c r="I118" s="50">
        <v>1.17E-4</v>
      </c>
      <c r="J118" s="50">
        <v>2.4899999999999999E-2</v>
      </c>
      <c r="K118" s="29">
        <f>293067.79*1536.89</f>
        <v>450412955.77310002</v>
      </c>
      <c r="L118" s="30">
        <f t="shared" si="57"/>
        <v>2.4441958299932379E-4</v>
      </c>
      <c r="M118" s="29">
        <f>1.2814*1536.89</f>
        <v>1969.3708460000003</v>
      </c>
      <c r="N118" s="29">
        <f>1.2814*1536.89</f>
        <v>1969.3708460000003</v>
      </c>
      <c r="O118" s="32">
        <v>39</v>
      </c>
      <c r="P118" s="50">
        <v>2.43E-4</v>
      </c>
      <c r="Q118" s="50">
        <v>2.5000000000000001E-2</v>
      </c>
      <c r="R118" s="57">
        <f t="shared" si="58"/>
        <v>0.10035827102068703</v>
      </c>
      <c r="S118" s="57">
        <f t="shared" si="67"/>
        <v>1.391495468482673E-2</v>
      </c>
      <c r="T118" s="57">
        <f t="shared" si="67"/>
        <v>0</v>
      </c>
      <c r="U118" s="57">
        <f t="shared" si="61"/>
        <v>1.26E-4</v>
      </c>
      <c r="V118" s="58">
        <f t="shared" si="62"/>
        <v>1.0000000000000286E-4</v>
      </c>
    </row>
    <row r="119" spans="1:27">
      <c r="A119" s="138">
        <v>104</v>
      </c>
      <c r="B119" s="135" t="s">
        <v>165</v>
      </c>
      <c r="C119" s="136" t="s">
        <v>72</v>
      </c>
      <c r="D119" s="29">
        <f>446336.82*1517.93</f>
        <v>677508049.18260002</v>
      </c>
      <c r="E119" s="30">
        <f t="shared" ref="E119:E128" si="68">(D119/$D$146)</f>
        <v>3.7181724470338481E-4</v>
      </c>
      <c r="F119" s="29">
        <f>107.46*1517.93</f>
        <v>163116.75779999999</v>
      </c>
      <c r="G119" s="29">
        <f>108.19*1517.93</f>
        <v>164224.84669999999</v>
      </c>
      <c r="H119" s="32">
        <v>45</v>
      </c>
      <c r="I119" s="50">
        <v>8.9999999999999998E-4</v>
      </c>
      <c r="J119" s="50">
        <v>2.47E-2</v>
      </c>
      <c r="K119" s="29">
        <f>447994.71*1536.89</f>
        <v>688518589.8519001</v>
      </c>
      <c r="L119" s="30">
        <f t="shared" si="57"/>
        <v>3.7362918730885782E-4</v>
      </c>
      <c r="M119" s="29">
        <f>107.53*1536.89</f>
        <v>165261.78170000002</v>
      </c>
      <c r="N119" s="29">
        <f>108.31*1536.89</f>
        <v>166460.55590000001</v>
      </c>
      <c r="O119" s="32">
        <v>45</v>
      </c>
      <c r="P119" s="50">
        <v>8.9999999999999998E-4</v>
      </c>
      <c r="Q119" s="50">
        <v>2.5700000000000001E-2</v>
      </c>
      <c r="R119" s="57">
        <f t="shared" si="58"/>
        <v>1.6251527465369713E-2</v>
      </c>
      <c r="S119" s="57">
        <f t="shared" si="67"/>
        <v>1.3613708552178616E-2</v>
      </c>
      <c r="T119" s="57">
        <f t="shared" si="67"/>
        <v>0</v>
      </c>
      <c r="U119" s="57">
        <f t="shared" si="61"/>
        <v>0</v>
      </c>
      <c r="V119" s="58">
        <f t="shared" si="62"/>
        <v>1.0000000000000009E-3</v>
      </c>
    </row>
    <row r="120" spans="1:27">
      <c r="A120" s="138">
        <v>105</v>
      </c>
      <c r="B120" s="135" t="s">
        <v>166</v>
      </c>
      <c r="C120" s="136" t="s">
        <v>75</v>
      </c>
      <c r="D120" s="29">
        <v>4859777699.2046003</v>
      </c>
      <c r="E120" s="30">
        <f t="shared" si="68"/>
        <v>2.6670519356474919E-3</v>
      </c>
      <c r="F120" s="29">
        <v>171353.95673800001</v>
      </c>
      <c r="G120" s="29">
        <v>171353.95673800001</v>
      </c>
      <c r="H120" s="32">
        <v>59</v>
      </c>
      <c r="I120" s="50" t="s">
        <v>307</v>
      </c>
      <c r="J120" s="50">
        <v>7.8299999999999995E-2</v>
      </c>
      <c r="K120" s="29">
        <v>4929562026.3952999</v>
      </c>
      <c r="L120" s="30">
        <f t="shared" si="57"/>
        <v>2.6750595856923172E-3</v>
      </c>
      <c r="M120" s="29">
        <v>173707.29962800001</v>
      </c>
      <c r="N120" s="29">
        <v>173707.29962800001</v>
      </c>
      <c r="O120" s="32">
        <v>59</v>
      </c>
      <c r="P120" s="50" t="s">
        <v>314</v>
      </c>
      <c r="Q120" s="50">
        <v>7.7200000000000005E-2</v>
      </c>
      <c r="R120" s="57">
        <f t="shared" si="58"/>
        <v>1.4359571879619344E-2</v>
      </c>
      <c r="S120" s="57">
        <f t="shared" si="59"/>
        <v>1.3733811198758942E-2</v>
      </c>
      <c r="T120" s="57">
        <f t="shared" si="60"/>
        <v>0</v>
      </c>
      <c r="U120" s="57">
        <f t="shared" si="61"/>
        <v>-1E-3</v>
      </c>
      <c r="V120" s="58">
        <f t="shared" si="62"/>
        <v>-1.0999999999999899E-3</v>
      </c>
      <c r="X120" s="66"/>
    </row>
    <row r="121" spans="1:27">
      <c r="A121" s="138">
        <v>106</v>
      </c>
      <c r="B121" s="135" t="s">
        <v>167</v>
      </c>
      <c r="C121" s="136" t="s">
        <v>31</v>
      </c>
      <c r="D121" s="29">
        <v>52426274580.739998</v>
      </c>
      <c r="E121" s="30">
        <f t="shared" si="68"/>
        <v>2.8771603508167549E-2</v>
      </c>
      <c r="F121" s="29">
        <v>198747.72</v>
      </c>
      <c r="G121" s="29">
        <v>198747.72</v>
      </c>
      <c r="H121" s="32">
        <v>2347</v>
      </c>
      <c r="I121" s="50">
        <v>1.5E-3</v>
      </c>
      <c r="J121" s="50">
        <v>1.5800000000000002E-2</v>
      </c>
      <c r="K121" s="29">
        <v>50928241958.160004</v>
      </c>
      <c r="L121" s="30">
        <f t="shared" si="57"/>
        <v>2.7636548866442612E-2</v>
      </c>
      <c r="M121" s="29">
        <v>197740.66</v>
      </c>
      <c r="N121" s="29">
        <v>197740.66</v>
      </c>
      <c r="O121" s="32">
        <v>2351</v>
      </c>
      <c r="P121" s="50">
        <v>1.4E-3</v>
      </c>
      <c r="Q121" s="50">
        <v>1.72E-2</v>
      </c>
      <c r="R121" s="57">
        <f t="shared" si="58"/>
        <v>-2.8574081117912029E-2</v>
      </c>
      <c r="S121" s="57">
        <f t="shared" si="59"/>
        <v>-5.0670266808595221E-3</v>
      </c>
      <c r="T121" s="57">
        <f t="shared" si="60"/>
        <v>1.7043033659991478E-3</v>
      </c>
      <c r="U121" s="57">
        <f t="shared" si="61"/>
        <v>-1.0000000000000005E-4</v>
      </c>
      <c r="V121" s="58">
        <f t="shared" si="62"/>
        <v>1.3999999999999985E-3</v>
      </c>
    </row>
    <row r="122" spans="1:27">
      <c r="A122" s="138">
        <v>107</v>
      </c>
      <c r="B122" s="174" t="s">
        <v>168</v>
      </c>
      <c r="C122" s="174" t="s">
        <v>31</v>
      </c>
      <c r="D122" s="29">
        <v>128155602403.8</v>
      </c>
      <c r="E122" s="30">
        <f t="shared" si="68"/>
        <v>7.0331951091315792E-2</v>
      </c>
      <c r="F122" s="29">
        <v>186951.96</v>
      </c>
      <c r="G122" s="29">
        <v>186951.96</v>
      </c>
      <c r="H122" s="32">
        <v>751</v>
      </c>
      <c r="I122" s="50">
        <v>1.5E-3</v>
      </c>
      <c r="J122" s="50">
        <v>1.72E-2</v>
      </c>
      <c r="K122" s="29">
        <v>130451013604.10001</v>
      </c>
      <c r="L122" s="30">
        <f t="shared" si="57"/>
        <v>7.0790109250355393E-2</v>
      </c>
      <c r="M122" s="29">
        <v>185990.34</v>
      </c>
      <c r="N122" s="29">
        <v>185990.34</v>
      </c>
      <c r="O122" s="32">
        <v>764</v>
      </c>
      <c r="P122" s="50">
        <v>1.2999999999999999E-3</v>
      </c>
      <c r="Q122" s="50">
        <v>1.8499999999999999E-2</v>
      </c>
      <c r="R122" s="57">
        <f t="shared" si="58"/>
        <v>1.7911126452884129E-2</v>
      </c>
      <c r="S122" s="57">
        <f t="shared" si="59"/>
        <v>-5.1436743428632439E-3</v>
      </c>
      <c r="T122" s="57">
        <f t="shared" si="60"/>
        <v>1.7310252996005325E-2</v>
      </c>
      <c r="U122" s="57">
        <f t="shared" si="61"/>
        <v>-2.0000000000000009E-4</v>
      </c>
      <c r="V122" s="58">
        <f t="shared" si="62"/>
        <v>1.2999999999999991E-3</v>
      </c>
    </row>
    <row r="123" spans="1:27">
      <c r="A123" s="138">
        <v>108</v>
      </c>
      <c r="B123" s="135" t="s">
        <v>305</v>
      </c>
      <c r="C123" s="136" t="s">
        <v>304</v>
      </c>
      <c r="D123" s="29">
        <f>362311.24*1517.93</f>
        <v>549963100.53320003</v>
      </c>
      <c r="E123" s="30">
        <f t="shared" si="68"/>
        <v>3.0182042113815929E-4</v>
      </c>
      <c r="F123" s="29">
        <v>1517.93</v>
      </c>
      <c r="G123" s="29">
        <v>1517.93</v>
      </c>
      <c r="H123" s="32">
        <v>4</v>
      </c>
      <c r="I123" s="50">
        <v>8.1000000000000003E-2</v>
      </c>
      <c r="J123" s="50">
        <v>8.6999999999999994E-2</v>
      </c>
      <c r="K123" s="29">
        <f>367882.56*1536.89</f>
        <v>565395027.63840008</v>
      </c>
      <c r="L123" s="30">
        <f t="shared" si="57"/>
        <v>3.0681536823928596E-4</v>
      </c>
      <c r="M123" s="29">
        <v>1536.89</v>
      </c>
      <c r="N123" s="29">
        <v>1536.89</v>
      </c>
      <c r="O123" s="32">
        <v>4</v>
      </c>
      <c r="P123" s="50">
        <v>9.0139999999999998E-2</v>
      </c>
      <c r="Q123" s="50">
        <v>8.7300000000000003E-2</v>
      </c>
      <c r="R123" s="57">
        <f t="shared" ref="R123" si="69">((K123-D123)/D123)</f>
        <v>2.8059931821314003E-2</v>
      </c>
      <c r="S123" s="57">
        <f t="shared" ref="S123" si="70">((N123-G123)/G123)</f>
        <v>1.2490694564307996E-2</v>
      </c>
      <c r="T123" s="57">
        <f t="shared" si="60"/>
        <v>0</v>
      </c>
      <c r="U123" s="57">
        <f t="shared" si="61"/>
        <v>9.1399999999999954E-3</v>
      </c>
      <c r="V123" s="58">
        <f t="shared" si="62"/>
        <v>3.0000000000000859E-4</v>
      </c>
    </row>
    <row r="124" spans="1:27">
      <c r="A124" s="138">
        <v>109</v>
      </c>
      <c r="B124" s="135" t="s">
        <v>169</v>
      </c>
      <c r="C124" s="136" t="s">
        <v>35</v>
      </c>
      <c r="D124" s="29">
        <f>137848.38*1517.93</f>
        <v>209244191.45340002</v>
      </c>
      <c r="E124" s="30">
        <f t="shared" si="68"/>
        <v>1.1483346777983761E-4</v>
      </c>
      <c r="F124" s="29">
        <f>113.91*1517.93</f>
        <v>172907.4063</v>
      </c>
      <c r="G124" s="29">
        <f>113.91*1517.93</f>
        <v>172907.4063</v>
      </c>
      <c r="H124" s="32">
        <v>8</v>
      </c>
      <c r="I124" s="50">
        <v>2.3E-3</v>
      </c>
      <c r="J124" s="50">
        <v>4.5999999999999999E-3</v>
      </c>
      <c r="K124" s="29">
        <f>137848.38*1536.89</f>
        <v>211857796.73820001</v>
      </c>
      <c r="L124" s="30">
        <f t="shared" si="57"/>
        <v>1.1496604098571299E-4</v>
      </c>
      <c r="M124" s="29">
        <f>113.91*1536.89</f>
        <v>175067.13990000001</v>
      </c>
      <c r="N124" s="29">
        <f>113.91*1536.89</f>
        <v>175067.13990000001</v>
      </c>
      <c r="O124" s="32">
        <v>8</v>
      </c>
      <c r="P124" s="50">
        <v>2.3E-3</v>
      </c>
      <c r="Q124" s="50">
        <v>4.5999999999999999E-3</v>
      </c>
      <c r="R124" s="57">
        <f t="shared" si="58"/>
        <v>1.2490694564307937E-2</v>
      </c>
      <c r="S124" s="57">
        <f t="shared" si="59"/>
        <v>1.2490694564308012E-2</v>
      </c>
      <c r="T124" s="57">
        <f t="shared" si="60"/>
        <v>0</v>
      </c>
      <c r="U124" s="57">
        <f t="shared" si="61"/>
        <v>0</v>
      </c>
      <c r="V124" s="58">
        <f t="shared" si="62"/>
        <v>0</v>
      </c>
    </row>
    <row r="125" spans="1:27">
      <c r="A125" s="138">
        <v>110</v>
      </c>
      <c r="B125" s="135" t="s">
        <v>170</v>
      </c>
      <c r="C125" s="136" t="s">
        <v>41</v>
      </c>
      <c r="D125" s="29">
        <f>10544572.86*1517.93</f>
        <v>16005923481.379799</v>
      </c>
      <c r="E125" s="30">
        <f t="shared" si="68"/>
        <v>8.7840703515772913E-3</v>
      </c>
      <c r="F125" s="29">
        <f>1.4*1517.93</f>
        <v>2125.1019999999999</v>
      </c>
      <c r="G125" s="29">
        <f>1.4*1517.93</f>
        <v>2125.1019999999999</v>
      </c>
      <c r="H125" s="46">
        <v>114</v>
      </c>
      <c r="I125" s="53">
        <v>8.9999999999999998E-4</v>
      </c>
      <c r="J125" s="53">
        <v>5.0599999999999999E-2</v>
      </c>
      <c r="K125" s="29">
        <f>10556864.05*1536.89</f>
        <v>16224738789.804502</v>
      </c>
      <c r="L125" s="30">
        <f t="shared" si="57"/>
        <v>8.8044623016454767E-3</v>
      </c>
      <c r="M125" s="29">
        <f>1.4*1536.89</f>
        <v>2151.6460000000002</v>
      </c>
      <c r="N125" s="29">
        <f>1.4*1536.89</f>
        <v>2151.6460000000002</v>
      </c>
      <c r="O125" s="46">
        <v>114</v>
      </c>
      <c r="P125" s="53">
        <v>8.9999999999999998E-4</v>
      </c>
      <c r="Q125" s="53">
        <v>5.0500000000000003E-2</v>
      </c>
      <c r="R125" s="57">
        <f t="shared" si="58"/>
        <v>1.3670895570584129E-2</v>
      </c>
      <c r="S125" s="57">
        <f t="shared" si="59"/>
        <v>1.2490694564308125E-2</v>
      </c>
      <c r="T125" s="57">
        <f t="shared" si="60"/>
        <v>0</v>
      </c>
      <c r="U125" s="57">
        <f t="shared" si="61"/>
        <v>0</v>
      </c>
      <c r="V125" s="58">
        <f t="shared" si="62"/>
        <v>-9.9999999999995925E-5</v>
      </c>
    </row>
    <row r="126" spans="1:27">
      <c r="A126" s="138">
        <v>111</v>
      </c>
      <c r="B126" s="135" t="s">
        <v>171</v>
      </c>
      <c r="C126" s="136" t="s">
        <v>89</v>
      </c>
      <c r="D126" s="29">
        <f>20714218*1517.93</f>
        <v>31442732928.740002</v>
      </c>
      <c r="E126" s="30">
        <f t="shared" si="68"/>
        <v>1.7255810226333688E-2</v>
      </c>
      <c r="F126" s="29">
        <f>105.19*1517.93</f>
        <v>159671.05670000002</v>
      </c>
      <c r="G126" s="29">
        <f>105.19*1517.93</f>
        <v>159671.05670000002</v>
      </c>
      <c r="H126" s="32">
        <v>565</v>
      </c>
      <c r="I126" s="53">
        <v>1.6000000000000001E-3</v>
      </c>
      <c r="J126" s="50">
        <v>9.9599999999999994E-2</v>
      </c>
      <c r="K126" s="29">
        <f>20747725*1536.89</f>
        <v>31886971075.250004</v>
      </c>
      <c r="L126" s="30">
        <f t="shared" si="57"/>
        <v>1.7303676711400616E-2</v>
      </c>
      <c r="M126" s="29">
        <f>105.47*1536.89</f>
        <v>162095.78830000001</v>
      </c>
      <c r="N126" s="29">
        <f>105.47*1536.89</f>
        <v>162095.78830000001</v>
      </c>
      <c r="O126" s="32">
        <v>565</v>
      </c>
      <c r="P126" s="53">
        <v>2.7000000000000001E-3</v>
      </c>
      <c r="Q126" s="50">
        <v>0.1033</v>
      </c>
      <c r="R126" s="57">
        <f t="shared" si="58"/>
        <v>1.4128483917628849E-2</v>
      </c>
      <c r="S126" s="57">
        <f t="shared" si="59"/>
        <v>1.5185792905195941E-2</v>
      </c>
      <c r="T126" s="57">
        <f t="shared" si="60"/>
        <v>0</v>
      </c>
      <c r="U126" s="57">
        <f t="shared" si="61"/>
        <v>1.1000000000000001E-3</v>
      </c>
      <c r="V126" s="58">
        <f t="shared" si="62"/>
        <v>3.7000000000000088E-3</v>
      </c>
    </row>
    <row r="127" spans="1:27">
      <c r="A127" s="138">
        <v>112</v>
      </c>
      <c r="B127" s="135" t="s">
        <v>172</v>
      </c>
      <c r="C127" s="136" t="s">
        <v>45</v>
      </c>
      <c r="D127" s="29">
        <f>1675342.7*1517.93</f>
        <v>2543052944.6110001</v>
      </c>
      <c r="E127" s="30">
        <f t="shared" si="68"/>
        <v>1.3956305613503485E-3</v>
      </c>
      <c r="F127" s="29">
        <f>133.233981*1517.93</f>
        <v>202239.85677933</v>
      </c>
      <c r="G127" s="29">
        <f>137.417008*1517.93</f>
        <v>208589.39895344002</v>
      </c>
      <c r="H127" s="32">
        <v>51</v>
      </c>
      <c r="I127" s="50">
        <v>2E-3</v>
      </c>
      <c r="J127" s="50">
        <v>-2.9700000000000001E-2</v>
      </c>
      <c r="K127" s="29">
        <f>1677985.31*1536.89</f>
        <v>2578878843.0859003</v>
      </c>
      <c r="L127" s="30">
        <f t="shared" si="57"/>
        <v>1.3994457383023605E-3</v>
      </c>
      <c r="M127" s="29">
        <f>133.444138*1536.89</f>
        <v>205088.96125082002</v>
      </c>
      <c r="N127" s="29">
        <f>137.667149*1536.89</f>
        <v>211579.26462661001</v>
      </c>
      <c r="O127" s="32">
        <v>51</v>
      </c>
      <c r="P127" s="50">
        <v>-4.4400000000000002E-2</v>
      </c>
      <c r="Q127" s="50">
        <v>1.52E-2</v>
      </c>
      <c r="R127" s="57">
        <f t="shared" ref="R127:R128" si="71">((K127-D127)/D127)</f>
        <v>1.4087751712294917E-2</v>
      </c>
      <c r="S127" s="57">
        <f t="shared" ref="S127:S128" si="72">((N127-G127)/G127)</f>
        <v>1.4333737419883774E-2</v>
      </c>
      <c r="T127" s="57">
        <f t="shared" ref="T127:T128" si="73">((O127-H127)/H127)</f>
        <v>0</v>
      </c>
      <c r="U127" s="57">
        <f t="shared" ref="U127:U128" si="74">P127-I127</f>
        <v>-4.6400000000000004E-2</v>
      </c>
      <c r="V127" s="58">
        <f t="shared" ref="V127:V128" si="75">Q127-J127</f>
        <v>4.4900000000000002E-2</v>
      </c>
    </row>
    <row r="128" spans="1:27">
      <c r="A128" s="138">
        <v>113</v>
      </c>
      <c r="B128" s="135" t="s">
        <v>173</v>
      </c>
      <c r="C128" s="136" t="s">
        <v>52</v>
      </c>
      <c r="D128" s="33">
        <f>111658955.43*1519</f>
        <v>169609953298.17001</v>
      </c>
      <c r="E128" s="30">
        <f t="shared" si="68"/>
        <v>9.3082149482475812E-2</v>
      </c>
      <c r="F128" s="29">
        <f>126.2665*1519</f>
        <v>191798.81349999999</v>
      </c>
      <c r="G128" s="29">
        <f>126.2665*1519</f>
        <v>191798.81349999999</v>
      </c>
      <c r="H128" s="32">
        <v>3568</v>
      </c>
      <c r="I128" s="50">
        <v>6.2399999999999997E-2</v>
      </c>
      <c r="J128" s="50">
        <v>7.1099999999999997E-2</v>
      </c>
      <c r="K128" s="33">
        <f>111406274.32*1540.5</f>
        <v>171621365589.95999</v>
      </c>
      <c r="L128" s="30">
        <f t="shared" si="57"/>
        <v>9.3131474291792027E-2</v>
      </c>
      <c r="M128" s="29">
        <f>126.4233*1540.5</f>
        <v>194755.09365</v>
      </c>
      <c r="N128" s="29">
        <f>126.4233*1540.5</f>
        <v>194755.09365</v>
      </c>
      <c r="O128" s="32">
        <v>3568</v>
      </c>
      <c r="P128" s="50">
        <v>6.6799999999999998E-2</v>
      </c>
      <c r="Q128" s="50">
        <v>7.0699999999999999E-2</v>
      </c>
      <c r="R128" s="57">
        <f t="shared" si="71"/>
        <v>1.1859046315837172E-2</v>
      </c>
      <c r="S128" s="57">
        <f t="shared" si="72"/>
        <v>1.5413443368355383E-2</v>
      </c>
      <c r="T128" s="57">
        <f t="shared" si="73"/>
        <v>0</v>
      </c>
      <c r="U128" s="57">
        <f t="shared" si="74"/>
        <v>4.4000000000000011E-3</v>
      </c>
      <c r="V128" s="58">
        <f t="shared" si="75"/>
        <v>-3.9999999999999758E-4</v>
      </c>
    </row>
    <row r="129" spans="1:24" ht="6" customHeight="1">
      <c r="A129" s="36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</row>
    <row r="130" spans="1:24">
      <c r="A130" s="180" t="s">
        <v>174</v>
      </c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</row>
    <row r="131" spans="1:24">
      <c r="A131" s="138">
        <v>114</v>
      </c>
      <c r="B131" s="135" t="s">
        <v>175</v>
      </c>
      <c r="C131" s="136" t="s">
        <v>118</v>
      </c>
      <c r="D131" s="33">
        <f>1267893.23*1517.93</f>
        <v>1924573170.6138999</v>
      </c>
      <c r="E131" s="30">
        <f t="shared" ref="E131:E143" si="76">(D131/$D$146)</f>
        <v>1.0562081061487936E-3</v>
      </c>
      <c r="F131" s="29">
        <f>111.27*1517.93</f>
        <v>168900.0711</v>
      </c>
      <c r="G131" s="29">
        <f>111.27*1517.93</f>
        <v>168900.0711</v>
      </c>
      <c r="H131" s="32">
        <v>24</v>
      </c>
      <c r="I131" s="50">
        <v>-2.9580000000000001E-3</v>
      </c>
      <c r="J131" s="50">
        <v>2.41E-2</v>
      </c>
      <c r="K131" s="33">
        <f>1225870.19*1536.89</f>
        <v>1884027636.3091002</v>
      </c>
      <c r="L131" s="30">
        <f t="shared" ref="L131:L145" si="77">(K131/$K$146)</f>
        <v>1.0223801143452232E-3</v>
      </c>
      <c r="M131" s="29">
        <f>111.14*1536.89</f>
        <v>170809.95460000003</v>
      </c>
      <c r="N131" s="29">
        <f>111.14*1536.89</f>
        <v>170809.95460000003</v>
      </c>
      <c r="O131" s="32">
        <v>24</v>
      </c>
      <c r="P131" s="50">
        <v>-1.438E-3</v>
      </c>
      <c r="Q131" s="50">
        <v>2.3099999999999999E-2</v>
      </c>
      <c r="R131" s="57">
        <f>((K131-D131)/D131)</f>
        <v>-2.1067286463245558E-2</v>
      </c>
      <c r="S131" s="57">
        <f>((N131-G131)/G131)</f>
        <v>1.1307772030890669E-2</v>
      </c>
      <c r="T131" s="57">
        <f>((O131-H131)/H131)</f>
        <v>0</v>
      </c>
      <c r="U131" s="57">
        <f>P131-I131</f>
        <v>1.5200000000000001E-3</v>
      </c>
      <c r="V131" s="58">
        <f>Q131-J131</f>
        <v>-1.0000000000000009E-3</v>
      </c>
    </row>
    <row r="132" spans="1:24">
      <c r="A132" s="138">
        <v>115</v>
      </c>
      <c r="B132" s="136" t="s">
        <v>176</v>
      </c>
      <c r="C132" s="136" t="s">
        <v>25</v>
      </c>
      <c r="D132" s="29">
        <f>11655231.49*1517.93</f>
        <v>17691825535.6157</v>
      </c>
      <c r="E132" s="30">
        <f t="shared" si="76"/>
        <v>9.7092954576141095E-3</v>
      </c>
      <c r="F132" s="33">
        <f>135.28*1517.93</f>
        <v>205345.5704</v>
      </c>
      <c r="G132" s="33">
        <f>135.28*1517.93</f>
        <v>205345.5704</v>
      </c>
      <c r="H132" s="32">
        <v>546</v>
      </c>
      <c r="I132" s="50">
        <v>5.0000000000000001E-4</v>
      </c>
      <c r="J132" s="50">
        <v>1.15E-2</v>
      </c>
      <c r="K132" s="29">
        <f>11654282.1*1536.89</f>
        <v>17911349616.668999</v>
      </c>
      <c r="L132" s="30">
        <f t="shared" si="77"/>
        <v>9.7197128727059476E-3</v>
      </c>
      <c r="M132" s="33">
        <f>135.43*1536.89</f>
        <v>208141.01270000002</v>
      </c>
      <c r="N132" s="33">
        <f>135.43*1536.89</f>
        <v>208141.01270000002</v>
      </c>
      <c r="O132" s="32">
        <v>550</v>
      </c>
      <c r="P132" s="50">
        <v>5.0000000000000001E-4</v>
      </c>
      <c r="Q132" s="50">
        <v>1.26E-2</v>
      </c>
      <c r="R132" s="57">
        <f t="shared" ref="R132:R146" si="78">((K132-D132)/D132)</f>
        <v>1.240822099513538E-2</v>
      </c>
      <c r="S132" s="57">
        <f t="shared" ref="S132:S146" si="79">((N132-G132)/G132)</f>
        <v>1.361335574249146E-2</v>
      </c>
      <c r="T132" s="57">
        <f t="shared" ref="T132:T146" si="80">((O132-H132)/H132)</f>
        <v>7.326007326007326E-3</v>
      </c>
      <c r="U132" s="57">
        <f t="shared" ref="U132:U146" si="81">P132-I132</f>
        <v>0</v>
      </c>
      <c r="V132" s="58">
        <f t="shared" ref="V132:V146" si="82">Q132-J132</f>
        <v>1.1000000000000003E-3</v>
      </c>
    </row>
    <row r="133" spans="1:24">
      <c r="A133" s="138">
        <v>116</v>
      </c>
      <c r="B133" s="135" t="s">
        <v>177</v>
      </c>
      <c r="C133" s="136" t="s">
        <v>67</v>
      </c>
      <c r="D133" s="33">
        <v>16290460608.17</v>
      </c>
      <c r="E133" s="30">
        <f t="shared" si="76"/>
        <v>8.9402246742109354E-3</v>
      </c>
      <c r="F133" s="33">
        <v>177062.7</v>
      </c>
      <c r="G133" s="33">
        <v>177062.7</v>
      </c>
      <c r="H133" s="32">
        <v>677</v>
      </c>
      <c r="I133" s="50">
        <v>1.1999999999999999E-3</v>
      </c>
      <c r="J133" s="50">
        <v>6.4899999999999999E-2</v>
      </c>
      <c r="K133" s="33">
        <v>16412786799.57</v>
      </c>
      <c r="L133" s="30">
        <f t="shared" si="77"/>
        <v>8.9065078035379438E-3</v>
      </c>
      <c r="M133" s="33">
        <v>177272.73</v>
      </c>
      <c r="N133" s="33">
        <v>177272.73</v>
      </c>
      <c r="O133" s="32">
        <v>680</v>
      </c>
      <c r="P133" s="50">
        <v>1.1999999999999999E-3</v>
      </c>
      <c r="Q133" s="50">
        <v>6.4899999999999999E-2</v>
      </c>
      <c r="R133" s="57">
        <f t="shared" si="78"/>
        <v>7.5090689172195978E-3</v>
      </c>
      <c r="S133" s="57">
        <f t="shared" si="79"/>
        <v>1.1861899767709337E-3</v>
      </c>
      <c r="T133" s="57">
        <f t="shared" si="80"/>
        <v>4.4313146233382573E-3</v>
      </c>
      <c r="U133" s="57">
        <f t="shared" si="81"/>
        <v>0</v>
      </c>
      <c r="V133" s="58">
        <f t="shared" si="82"/>
        <v>0</v>
      </c>
    </row>
    <row r="134" spans="1:24">
      <c r="A134" s="138">
        <v>117</v>
      </c>
      <c r="B134" s="135" t="s">
        <v>300</v>
      </c>
      <c r="C134" s="136" t="s">
        <v>301</v>
      </c>
      <c r="D134" s="29">
        <f>60503.63*1517.93</f>
        <v>91840275.085899994</v>
      </c>
      <c r="E134" s="30">
        <f t="shared" ref="E134" si="83">(D134/$D$108)</f>
        <v>4.699004519509995E-4</v>
      </c>
      <c r="F134" s="35">
        <f>0.9874*1517.93</f>
        <v>1498.8040820000001</v>
      </c>
      <c r="G134" s="35">
        <f>0.9896*1517.93</f>
        <v>1502.1435280000001</v>
      </c>
      <c r="H134" s="32">
        <v>2</v>
      </c>
      <c r="I134" s="50">
        <v>1.214083367057972E-3</v>
      </c>
      <c r="J134" s="50">
        <v>4.8264779597216978E-2</v>
      </c>
      <c r="K134" s="29">
        <f>60598.42*1536.89</f>
        <v>93133105.713799998</v>
      </c>
      <c r="L134" s="30">
        <f t="shared" ref="L134" si="84">(K134/$K$108)</f>
        <v>4.6864408927954442E-4</v>
      </c>
      <c r="M134" s="35">
        <f>0.9907*1536.89</f>
        <v>1522.5969230000001</v>
      </c>
      <c r="N134" s="35">
        <f>0.9907*1536.89</f>
        <v>1522.5969230000001</v>
      </c>
      <c r="O134" s="32">
        <v>2</v>
      </c>
      <c r="P134" s="50">
        <v>1.111560226354058E-3</v>
      </c>
      <c r="Q134" s="50">
        <v>4.9368643119545141E-2</v>
      </c>
      <c r="R134" s="56">
        <f t="shared" si="78"/>
        <v>1.4076946379905709E-2</v>
      </c>
      <c r="S134" s="56">
        <f t="shared" si="79"/>
        <v>1.3616138949939276E-2</v>
      </c>
      <c r="T134" s="56">
        <f t="shared" si="80"/>
        <v>0</v>
      </c>
      <c r="U134" s="57">
        <f t="shared" si="81"/>
        <v>-1.02523140703914E-4</v>
      </c>
      <c r="V134" s="58">
        <f t="shared" si="82"/>
        <v>1.1038635223281634E-3</v>
      </c>
    </row>
    <row r="135" spans="1:24">
      <c r="A135" s="138">
        <v>118</v>
      </c>
      <c r="B135" s="135" t="s">
        <v>178</v>
      </c>
      <c r="C135" s="136" t="s">
        <v>65</v>
      </c>
      <c r="D135" s="33">
        <v>6844199990.3812046</v>
      </c>
      <c r="E135" s="30">
        <f t="shared" si="76"/>
        <v>3.7561053122434677E-3</v>
      </c>
      <c r="F135" s="33">
        <v>1943.2299646890253</v>
      </c>
      <c r="G135" s="33">
        <v>1943.2299646890253</v>
      </c>
      <c r="H135" s="32">
        <v>239</v>
      </c>
      <c r="I135" s="50">
        <v>5.8465400706000578E-2</v>
      </c>
      <c r="J135" s="50">
        <v>7.0458531211969488E-2</v>
      </c>
      <c r="K135" s="33">
        <v>6960569574.7245779</v>
      </c>
      <c r="L135" s="30">
        <f t="shared" si="77"/>
        <v>3.7771993258315785E-3</v>
      </c>
      <c r="M135" s="33">
        <v>1972.8736007707764</v>
      </c>
      <c r="N135" s="33">
        <v>1972.8736007707764</v>
      </c>
      <c r="O135" s="32">
        <v>243</v>
      </c>
      <c r="P135" s="50">
        <v>5.6596630500215392E-2</v>
      </c>
      <c r="Q135" s="50">
        <v>6.9315399920181167E-2</v>
      </c>
      <c r="R135" s="57">
        <f t="shared" si="78"/>
        <v>1.7002656922199582E-2</v>
      </c>
      <c r="S135" s="57">
        <f t="shared" si="79"/>
        <v>1.5254826562174254E-2</v>
      </c>
      <c r="T135" s="56">
        <f t="shared" si="80"/>
        <v>1.6736401673640166E-2</v>
      </c>
      <c r="U135" s="57">
        <f t="shared" si="81"/>
        <v>-1.8687702057851863E-3</v>
      </c>
      <c r="V135" s="58">
        <f t="shared" si="82"/>
        <v>-1.1431312917883213E-3</v>
      </c>
    </row>
    <row r="136" spans="1:24">
      <c r="A136" s="138">
        <v>119</v>
      </c>
      <c r="B136" s="135" t="s">
        <v>310</v>
      </c>
      <c r="C136" s="136" t="s">
        <v>37</v>
      </c>
      <c r="D136" s="33">
        <v>87449602650</v>
      </c>
      <c r="E136" s="30">
        <f t="shared" si="76"/>
        <v>4.7992448719919784E-2</v>
      </c>
      <c r="F136" s="33">
        <f>100*1517.93</f>
        <v>151793</v>
      </c>
      <c r="G136" s="33">
        <f>100*1517.93</f>
        <v>151793</v>
      </c>
      <c r="H136" s="32">
        <v>1891</v>
      </c>
      <c r="I136" s="50">
        <v>4.6699999999999998E-2</v>
      </c>
      <c r="J136" s="50">
        <v>5.0554500000000002E-2</v>
      </c>
      <c r="K136" s="33">
        <v>89881414290</v>
      </c>
      <c r="L136" s="30">
        <f t="shared" si="77"/>
        <v>4.8774746637657226E-2</v>
      </c>
      <c r="M136" s="33">
        <f>100*1500</f>
        <v>150000</v>
      </c>
      <c r="N136" s="33">
        <f>100*1500</f>
        <v>150000</v>
      </c>
      <c r="O136" s="32">
        <v>1896</v>
      </c>
      <c r="P136" s="50">
        <v>4.5900000000000003E-2</v>
      </c>
      <c r="Q136" s="50">
        <v>5.01495E-2</v>
      </c>
      <c r="R136" s="57">
        <f t="shared" si="78"/>
        <v>2.7808149680597777E-2</v>
      </c>
      <c r="S136" s="57">
        <f t="shared" si="79"/>
        <v>-1.1812138899685756E-2</v>
      </c>
      <c r="T136" s="57">
        <f t="shared" si="80"/>
        <v>2.6441036488630354E-3</v>
      </c>
      <c r="U136" s="57">
        <f t="shared" si="81"/>
        <v>-7.9999999999999516E-4</v>
      </c>
      <c r="V136" s="58">
        <f t="shared" si="82"/>
        <v>-4.0500000000000258E-4</v>
      </c>
    </row>
    <row r="137" spans="1:24" ht="15.6">
      <c r="A137" s="138">
        <v>120</v>
      </c>
      <c r="B137" s="135" t="s">
        <v>179</v>
      </c>
      <c r="C137" s="136" t="s">
        <v>135</v>
      </c>
      <c r="D137" s="33">
        <f>1061060.12*1517.93</f>
        <v>1610614987.9516003</v>
      </c>
      <c r="E137" s="30">
        <f t="shared" si="76"/>
        <v>8.8390747212619151E-4</v>
      </c>
      <c r="F137" s="33">
        <f>1.09*1517.93</f>
        <v>1654.5437000000002</v>
      </c>
      <c r="G137" s="33">
        <f>1.13*1517.93</f>
        <v>1715.2609</v>
      </c>
      <c r="H137" s="32">
        <v>47</v>
      </c>
      <c r="I137" s="50">
        <v>1.9E-3</v>
      </c>
      <c r="J137" s="50">
        <v>9.9599999999999994E-2</v>
      </c>
      <c r="K137" s="33">
        <f>1065354.67*1536.89</f>
        <v>1637332938.7763</v>
      </c>
      <c r="L137" s="30">
        <f t="shared" si="77"/>
        <v>8.8850959768653601E-4</v>
      </c>
      <c r="M137" s="33">
        <f>1.08*1536.89</f>
        <v>1659.8412000000003</v>
      </c>
      <c r="N137" s="33">
        <f>1.08*1536.89</f>
        <v>1659.8412000000003</v>
      </c>
      <c r="O137" s="32">
        <v>47</v>
      </c>
      <c r="P137" s="50">
        <v>1.9E-3</v>
      </c>
      <c r="Q137" s="50">
        <v>9.9599999999999994E-2</v>
      </c>
      <c r="R137" s="57">
        <f t="shared" si="78"/>
        <v>1.6588663972809451E-2</v>
      </c>
      <c r="S137" s="57">
        <f t="shared" si="79"/>
        <v>-3.230977864650194E-2</v>
      </c>
      <c r="T137" s="57">
        <f t="shared" si="80"/>
        <v>0</v>
      </c>
      <c r="U137" s="57">
        <f t="shared" si="81"/>
        <v>0</v>
      </c>
      <c r="V137" s="58">
        <f t="shared" si="82"/>
        <v>0</v>
      </c>
      <c r="X137" s="67"/>
    </row>
    <row r="138" spans="1:24" ht="15.6">
      <c r="A138" s="138">
        <v>121</v>
      </c>
      <c r="B138" s="135" t="s">
        <v>180</v>
      </c>
      <c r="C138" s="136" t="s">
        <v>43</v>
      </c>
      <c r="D138" s="29">
        <f>2990336.69*1517.93</f>
        <v>4539121771.8516998</v>
      </c>
      <c r="E138" s="30">
        <f t="shared" si="76"/>
        <v>2.4910755711600036E-3</v>
      </c>
      <c r="F138" s="33">
        <f>10.50384*1517.93</f>
        <v>15944.093851200001</v>
      </c>
      <c r="G138" s="33">
        <f>10.50384*1517.93</f>
        <v>15944.093851200001</v>
      </c>
      <c r="H138" s="32">
        <v>68</v>
      </c>
      <c r="I138" s="50">
        <v>7.4999999999999997E-2</v>
      </c>
      <c r="J138" s="50">
        <v>9.4899999999999998E-2</v>
      </c>
      <c r="K138" s="29">
        <f>2685142.4*1536.89</f>
        <v>4126768503.1360002</v>
      </c>
      <c r="L138" s="30">
        <f t="shared" si="77"/>
        <v>2.239418346525913E-3</v>
      </c>
      <c r="M138" s="33">
        <f>10.51883*1536.89</f>
        <v>16166.284638700001</v>
      </c>
      <c r="N138" s="33">
        <f>10.51883*1536.89</f>
        <v>16166.284638700001</v>
      </c>
      <c r="O138" s="32">
        <v>68</v>
      </c>
      <c r="P138" s="50">
        <v>7.5999999999999998E-2</v>
      </c>
      <c r="Q138" s="50">
        <v>9.6100000000000005E-2</v>
      </c>
      <c r="R138" s="57">
        <f t="shared" si="78"/>
        <v>-9.0844284300282893E-2</v>
      </c>
      <c r="S138" s="57">
        <f t="shared" si="79"/>
        <v>1.3935617136578569E-2</v>
      </c>
      <c r="T138" s="57">
        <f t="shared" si="80"/>
        <v>0</v>
      </c>
      <c r="U138" s="57">
        <f t="shared" si="81"/>
        <v>1.0000000000000009E-3</v>
      </c>
      <c r="V138" s="58">
        <f t="shared" si="82"/>
        <v>1.2000000000000066E-3</v>
      </c>
      <c r="X138" s="67"/>
    </row>
    <row r="139" spans="1:24" ht="15.6">
      <c r="A139" s="138">
        <v>122</v>
      </c>
      <c r="B139" s="136" t="s">
        <v>181</v>
      </c>
      <c r="C139" s="144" t="s">
        <v>47</v>
      </c>
      <c r="D139" s="33">
        <v>25107140303.639999</v>
      </c>
      <c r="E139" s="30">
        <f t="shared" si="76"/>
        <v>1.3778829257222175E-2</v>
      </c>
      <c r="F139" s="33">
        <f>1.06*1517.93</f>
        <v>1609.0058000000001</v>
      </c>
      <c r="G139" s="33">
        <f>1.06*1517.93</f>
        <v>1609.0058000000001</v>
      </c>
      <c r="H139" s="32">
        <v>460</v>
      </c>
      <c r="I139" s="50">
        <v>-4.5999999999999999E-3</v>
      </c>
      <c r="J139" s="50">
        <v>2.1399999999999999E-2</v>
      </c>
      <c r="K139" s="33">
        <v>25481310655.959999</v>
      </c>
      <c r="L139" s="30">
        <f t="shared" si="77"/>
        <v>1.3827602525588656E-2</v>
      </c>
      <c r="M139" s="33">
        <f>1.06*1536.89</f>
        <v>1629.1034000000002</v>
      </c>
      <c r="N139" s="33">
        <f>1.06*1536.89</f>
        <v>1629.1034000000002</v>
      </c>
      <c r="O139" s="32">
        <v>460</v>
      </c>
      <c r="P139" s="50">
        <v>2.5000000000000001E-3</v>
      </c>
      <c r="Q139" s="50">
        <v>2.3900000000000001E-2</v>
      </c>
      <c r="R139" s="57">
        <f t="shared" si="78"/>
        <v>1.4902945847072555E-2</v>
      </c>
      <c r="S139" s="57">
        <f t="shared" si="79"/>
        <v>1.2490694564308007E-2</v>
      </c>
      <c r="T139" s="57">
        <f t="shared" si="80"/>
        <v>0</v>
      </c>
      <c r="U139" s="57">
        <f t="shared" si="81"/>
        <v>7.1000000000000004E-3</v>
      </c>
      <c r="V139" s="58">
        <f t="shared" si="82"/>
        <v>2.5000000000000022E-3</v>
      </c>
      <c r="X139" s="67"/>
    </row>
    <row r="140" spans="1:24">
      <c r="A140" s="138">
        <v>123</v>
      </c>
      <c r="B140" s="135" t="s">
        <v>182</v>
      </c>
      <c r="C140" s="136" t="s">
        <v>91</v>
      </c>
      <c r="D140" s="29">
        <f>271978.93*1519</f>
        <v>413135994.67000002</v>
      </c>
      <c r="E140" s="30">
        <f t="shared" si="76"/>
        <v>2.2672953835946365E-4</v>
      </c>
      <c r="F140" s="33">
        <f>1.13*1519</f>
        <v>1716.4699999999998</v>
      </c>
      <c r="G140" s="33">
        <f>1.13*1519</f>
        <v>1716.4699999999998</v>
      </c>
      <c r="H140" s="32">
        <v>2</v>
      </c>
      <c r="I140" s="50">
        <v>-3.1719999999999999E-3</v>
      </c>
      <c r="J140" s="50">
        <v>2.0698999999999999E-2</v>
      </c>
      <c r="K140" s="29">
        <f>269662.49*1540.5</f>
        <v>415415065.84499997</v>
      </c>
      <c r="L140" s="30">
        <f t="shared" si="77"/>
        <v>2.2542774550344215E-4</v>
      </c>
      <c r="M140" s="33">
        <f>1.12*1536.89</f>
        <v>1721.3168000000003</v>
      </c>
      <c r="N140" s="33">
        <f>1.12*1536.89</f>
        <v>1721.3168000000003</v>
      </c>
      <c r="O140" s="32">
        <v>2</v>
      </c>
      <c r="P140" s="50">
        <v>-8.5170000000000003E-3</v>
      </c>
      <c r="Q140" s="50">
        <v>1.2005999999999999E-2</v>
      </c>
      <c r="R140" s="57">
        <f t="shared" si="78"/>
        <v>5.5165156374728432E-3</v>
      </c>
      <c r="S140" s="57">
        <f t="shared" si="79"/>
        <v>2.8237021328659899E-3</v>
      </c>
      <c r="T140" s="57">
        <f t="shared" si="80"/>
        <v>0</v>
      </c>
      <c r="U140" s="57">
        <f t="shared" si="81"/>
        <v>-5.3450000000000008E-3</v>
      </c>
      <c r="V140" s="58">
        <f t="shared" si="82"/>
        <v>-8.6929999999999993E-3</v>
      </c>
    </row>
    <row r="141" spans="1:24">
      <c r="A141" s="138">
        <v>124</v>
      </c>
      <c r="B141" s="135" t="s">
        <v>183</v>
      </c>
      <c r="C141" s="136" t="s">
        <v>49</v>
      </c>
      <c r="D141" s="29">
        <v>1010402296683.15</v>
      </c>
      <c r="E141" s="30">
        <f t="shared" si="76"/>
        <v>0.55451001423224022</v>
      </c>
      <c r="F141" s="33">
        <v>2424.3200000000002</v>
      </c>
      <c r="G141" s="33">
        <v>2424.3200000000002</v>
      </c>
      <c r="H141" s="32">
        <v>10187</v>
      </c>
      <c r="I141" s="50">
        <v>1.1999999999999999E-3</v>
      </c>
      <c r="J141" s="50">
        <v>1.3599999999999999E-2</v>
      </c>
      <c r="K141" s="29">
        <v>1017604995573.46</v>
      </c>
      <c r="L141" s="30">
        <f t="shared" si="77"/>
        <v>0.55221011182766755</v>
      </c>
      <c r="M141" s="33">
        <v>2461.56</v>
      </c>
      <c r="N141" s="33">
        <v>2461.56</v>
      </c>
      <c r="O141" s="32">
        <v>10264</v>
      </c>
      <c r="P141" s="50">
        <v>1.1999999999999999E-3</v>
      </c>
      <c r="Q141" s="50">
        <v>1.4800000000000001E-2</v>
      </c>
      <c r="R141" s="57">
        <f t="shared" si="78"/>
        <v>7.1285456436057729E-3</v>
      </c>
      <c r="S141" s="57">
        <f t="shared" si="79"/>
        <v>1.5361008447729581E-2</v>
      </c>
      <c r="T141" s="57">
        <f t="shared" si="80"/>
        <v>7.5586531854324136E-3</v>
      </c>
      <c r="U141" s="57">
        <f t="shared" si="81"/>
        <v>0</v>
      </c>
      <c r="V141" s="58">
        <f t="shared" si="82"/>
        <v>1.2000000000000014E-3</v>
      </c>
    </row>
    <row r="142" spans="1:24">
      <c r="A142" s="138">
        <v>125</v>
      </c>
      <c r="B142" s="135" t="s">
        <v>292</v>
      </c>
      <c r="C142" s="135" t="s">
        <v>101</v>
      </c>
      <c r="D142" s="29">
        <f>284812.66*1517.93</f>
        <v>432325680.99379998</v>
      </c>
      <c r="E142" s="30">
        <f t="shared" si="76"/>
        <v>2.3726086164668634E-4</v>
      </c>
      <c r="F142" s="33">
        <f>101.24*1517.93</f>
        <v>153675.23319999999</v>
      </c>
      <c r="G142" s="33">
        <f>101.24*1517.93</f>
        <v>153675.23319999999</v>
      </c>
      <c r="H142" s="32">
        <v>15</v>
      </c>
      <c r="I142" s="50">
        <v>0</v>
      </c>
      <c r="J142" s="50">
        <v>0</v>
      </c>
      <c r="K142" s="29">
        <f>285162.61*1536.89</f>
        <v>438263563.68290001</v>
      </c>
      <c r="L142" s="30">
        <f t="shared" si="77"/>
        <v>2.378266346608708E-4</v>
      </c>
      <c r="M142" s="33">
        <f>101.6*1536.89</f>
        <v>156148.024</v>
      </c>
      <c r="N142" s="33">
        <f>101.6*1536.89</f>
        <v>156148.024</v>
      </c>
      <c r="O142" s="32">
        <v>18</v>
      </c>
      <c r="P142" s="50">
        <v>0</v>
      </c>
      <c r="Q142" s="50">
        <v>0</v>
      </c>
      <c r="R142" s="57">
        <f t="shared" ref="R142" si="85">((K142-D142)/D142)</f>
        <v>1.3734744314634371E-2</v>
      </c>
      <c r="S142" s="57">
        <f t="shared" ref="S142" si="86">((N142-G142)/G142)</f>
        <v>1.6091017065722059E-2</v>
      </c>
      <c r="T142" s="57">
        <f t="shared" ref="T142" si="87">((O142-H142)/H142)</f>
        <v>0.2</v>
      </c>
      <c r="U142" s="57">
        <f t="shared" ref="U142" si="88">P142-I142</f>
        <v>0</v>
      </c>
      <c r="V142" s="58">
        <f t="shared" ref="V142" si="89">Q142-J142</f>
        <v>0</v>
      </c>
    </row>
    <row r="143" spans="1:24" ht="16.5" customHeight="1">
      <c r="A143" s="138">
        <v>126</v>
      </c>
      <c r="B143" s="135" t="s">
        <v>184</v>
      </c>
      <c r="C143" s="136" t="s">
        <v>52</v>
      </c>
      <c r="D143" s="29">
        <f>135939136.76*1519</f>
        <v>206491548738.43997</v>
      </c>
      <c r="E143" s="30">
        <f t="shared" si="76"/>
        <v>0.11332281409658751</v>
      </c>
      <c r="F143" s="33">
        <f>1.1873*1519</f>
        <v>1803.5087000000001</v>
      </c>
      <c r="G143" s="33">
        <f>1.1873*1519</f>
        <v>1803.5087000000001</v>
      </c>
      <c r="H143" s="32">
        <v>601</v>
      </c>
      <c r="I143" s="50">
        <v>8.2299999999999998E-2</v>
      </c>
      <c r="J143" s="50">
        <v>8.2100000000000006E-2</v>
      </c>
      <c r="K143" s="29">
        <f>138258762*1540.5</f>
        <v>212987622861</v>
      </c>
      <c r="L143" s="30">
        <f t="shared" si="77"/>
        <v>0.11557914863782864</v>
      </c>
      <c r="M143" s="33">
        <f>1.1887*1540.5</f>
        <v>1831.19235</v>
      </c>
      <c r="N143" s="33">
        <f>1.1887*1540.5</f>
        <v>1831.19235</v>
      </c>
      <c r="O143" s="32">
        <v>612</v>
      </c>
      <c r="P143" s="50">
        <v>6.3399999999999998E-2</v>
      </c>
      <c r="Q143" s="50">
        <v>8.0500000000000002E-2</v>
      </c>
      <c r="R143" s="57">
        <f t="shared" si="78"/>
        <v>3.1459273574380116E-2</v>
      </c>
      <c r="S143" s="57">
        <f t="shared" si="79"/>
        <v>1.5349884367067341E-2</v>
      </c>
      <c r="T143" s="57">
        <f t="shared" si="80"/>
        <v>1.8302828618968387E-2</v>
      </c>
      <c r="U143" s="57">
        <f t="shared" si="81"/>
        <v>-1.89E-2</v>
      </c>
      <c r="V143" s="58">
        <f t="shared" si="82"/>
        <v>-1.6000000000000042E-3</v>
      </c>
    </row>
    <row r="144" spans="1:24" ht="16.5" customHeight="1">
      <c r="A144" s="138">
        <v>127</v>
      </c>
      <c r="B144" s="135" t="s">
        <v>185</v>
      </c>
      <c r="C144" s="136" t="s">
        <v>96</v>
      </c>
      <c r="D144" s="33">
        <v>822985598.49786901</v>
      </c>
      <c r="E144" s="30">
        <v>0</v>
      </c>
      <c r="F144" s="33">
        <v>158401.32</v>
      </c>
      <c r="G144" s="33">
        <v>158401.32</v>
      </c>
      <c r="H144" s="32">
        <v>23</v>
      </c>
      <c r="I144" s="50">
        <v>1.1999999999999999E-3</v>
      </c>
      <c r="J144" s="50">
        <v>6.6600000000000006E-2</v>
      </c>
      <c r="K144" s="33">
        <v>835430384.65875506</v>
      </c>
      <c r="L144" s="30">
        <f t="shared" si="77"/>
        <v>4.5335184884451486E-4</v>
      </c>
      <c r="M144" s="33">
        <v>160806.79999999999</v>
      </c>
      <c r="N144" s="33">
        <v>160806.79999999999</v>
      </c>
      <c r="O144" s="32">
        <v>23</v>
      </c>
      <c r="P144" s="50">
        <v>1.2999999999999999E-3</v>
      </c>
      <c r="Q144" s="50">
        <v>6.6699999999999995E-2</v>
      </c>
      <c r="R144" s="57">
        <f t="shared" si="78"/>
        <v>1.5121511462169617E-2</v>
      </c>
      <c r="S144" s="57">
        <f t="shared" si="79"/>
        <v>1.518598456123965E-2</v>
      </c>
      <c r="T144" s="57">
        <f t="shared" si="80"/>
        <v>0</v>
      </c>
      <c r="U144" s="57">
        <f t="shared" si="81"/>
        <v>1.0000000000000005E-4</v>
      </c>
      <c r="V144" s="58">
        <f t="shared" si="82"/>
        <v>9.9999999999988987E-5</v>
      </c>
    </row>
    <row r="145" spans="1:22">
      <c r="A145" s="138">
        <v>128</v>
      </c>
      <c r="B145" s="135" t="s">
        <v>186</v>
      </c>
      <c r="C145" s="136" t="s">
        <v>110</v>
      </c>
      <c r="D145" s="33">
        <f>1367519.92*1517.93</f>
        <v>2075799512.1656001</v>
      </c>
      <c r="E145" s="30">
        <f>(D145/$D$146)</f>
        <v>1.1392013070563912E-3</v>
      </c>
      <c r="F145" s="33">
        <f>1.2625*1517.93</f>
        <v>1916.3866250000001</v>
      </c>
      <c r="G145" s="33">
        <f>1.2625*1517.93</f>
        <v>1916.3866250000001</v>
      </c>
      <c r="H145" s="32">
        <v>90</v>
      </c>
      <c r="I145" s="50">
        <v>1.4716E-2</v>
      </c>
      <c r="J145" s="50">
        <v>1.5204000000000001E-2</v>
      </c>
      <c r="K145" s="33">
        <f>1372453.35*1536.89</f>
        <v>2109309829.0815003</v>
      </c>
      <c r="L145" s="30">
        <f t="shared" si="77"/>
        <v>1.1446309930307423E-3</v>
      </c>
      <c r="M145" s="33">
        <f>1.2633*1536.89</f>
        <v>1941.5531370000003</v>
      </c>
      <c r="N145" s="33">
        <f>1.2633*1536.89</f>
        <v>1941.5531370000003</v>
      </c>
      <c r="O145" s="32">
        <v>94</v>
      </c>
      <c r="P145" s="50">
        <v>3.3199999999999999E-4</v>
      </c>
      <c r="Q145" s="50">
        <v>1.5890000000000001E-2</v>
      </c>
      <c r="R145" s="57">
        <f t="shared" si="78"/>
        <v>1.6143330181699597E-2</v>
      </c>
      <c r="S145" s="57">
        <f t="shared" si="79"/>
        <v>1.3132272826210233E-2</v>
      </c>
      <c r="T145" s="57">
        <f t="shared" si="80"/>
        <v>4.4444444444444446E-2</v>
      </c>
      <c r="U145" s="57">
        <f t="shared" si="81"/>
        <v>-1.4383999999999999E-2</v>
      </c>
      <c r="V145" s="58">
        <f t="shared" si="82"/>
        <v>6.8600000000000085E-4</v>
      </c>
    </row>
    <row r="146" spans="1:22">
      <c r="A146" s="36"/>
      <c r="B146" s="37"/>
      <c r="C146" s="71" t="s">
        <v>53</v>
      </c>
      <c r="D146" s="48">
        <f>SUM(D112:D145)</f>
        <v>1822153380010.8662</v>
      </c>
      <c r="E146" s="40">
        <f>(D146/$D$217)</f>
        <v>0.39547728817428091</v>
      </c>
      <c r="F146" s="41"/>
      <c r="G146" s="45"/>
      <c r="H146" s="43">
        <f>SUM(H112:H145)</f>
        <v>23492</v>
      </c>
      <c r="I146" s="80"/>
      <c r="J146" s="80"/>
      <c r="K146" s="48">
        <f>SUM(K112:K145)</f>
        <v>1842785877653.4534</v>
      </c>
      <c r="L146" s="40">
        <f>(K146/$K$217)</f>
        <v>0.39050184058990617</v>
      </c>
      <c r="M146" s="41"/>
      <c r="N146" s="45"/>
      <c r="O146" s="43">
        <f>SUM(O112:O145)</f>
        <v>23635</v>
      </c>
      <c r="P146" s="80"/>
      <c r="Q146" s="80"/>
      <c r="R146" s="57">
        <f t="shared" si="78"/>
        <v>1.1323139900804684E-2</v>
      </c>
      <c r="S146" s="57" t="e">
        <f t="shared" si="79"/>
        <v>#DIV/0!</v>
      </c>
      <c r="T146" s="57">
        <f t="shared" si="80"/>
        <v>6.0871786139962544E-3</v>
      </c>
      <c r="U146" s="57">
        <f t="shared" si="81"/>
        <v>0</v>
      </c>
      <c r="V146" s="58">
        <f t="shared" si="82"/>
        <v>0</v>
      </c>
    </row>
    <row r="147" spans="1:22" ht="6" customHeight="1">
      <c r="A147" s="36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</row>
    <row r="148" spans="1:22">
      <c r="A148" s="181" t="s">
        <v>187</v>
      </c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</row>
    <row r="149" spans="1:22">
      <c r="A149" s="138">
        <v>129</v>
      </c>
      <c r="B149" s="135" t="s">
        <v>188</v>
      </c>
      <c r="C149" s="136" t="s">
        <v>189</v>
      </c>
      <c r="D149" s="72">
        <v>2317478893.1474924</v>
      </c>
      <c r="E149" s="30">
        <f>(D149/$D$154)</f>
        <v>2.2893755114455197E-2</v>
      </c>
      <c r="F149" s="60">
        <v>109.21201192966505</v>
      </c>
      <c r="G149" s="60">
        <v>109.21201192966505</v>
      </c>
      <c r="H149" s="32">
        <v>8</v>
      </c>
      <c r="I149" s="50">
        <v>3.3681532132208147E-3</v>
      </c>
      <c r="J149" s="50">
        <v>3.5999999999999997E-2</v>
      </c>
      <c r="K149" s="72">
        <v>2325256195.5286121</v>
      </c>
      <c r="L149" s="30">
        <f>(K149/$K$154)</f>
        <v>2.2957840008614561E-2</v>
      </c>
      <c r="M149" s="60">
        <v>109.57852005318625</v>
      </c>
      <c r="N149" s="60">
        <v>109.57852005318625</v>
      </c>
      <c r="O149" s="32">
        <v>8</v>
      </c>
      <c r="P149" s="50">
        <v>3.368399084300755E-3</v>
      </c>
      <c r="Q149" s="50">
        <v>3.949919424561088E-2</v>
      </c>
      <c r="R149" s="57">
        <f t="shared" ref="R149:R154" si="90">((K149-D149)/D149)</f>
        <v>3.3559323470501844E-3</v>
      </c>
      <c r="S149" s="57">
        <f t="shared" ref="S149:T154" si="91">((N149-G149)/G149)</f>
        <v>3.355932347050243E-3</v>
      </c>
      <c r="T149" s="57">
        <f t="shared" si="91"/>
        <v>0</v>
      </c>
      <c r="U149" s="57">
        <f t="shared" ref="U149:V154" si="92">P149-I149</f>
        <v>2.4587107994022972E-7</v>
      </c>
      <c r="V149" s="58">
        <f t="shared" si="92"/>
        <v>3.4991942456108829E-3</v>
      </c>
    </row>
    <row r="150" spans="1:22">
      <c r="A150" s="138">
        <v>130</v>
      </c>
      <c r="B150" s="135" t="s">
        <v>190</v>
      </c>
      <c r="C150" s="136" t="s">
        <v>47</v>
      </c>
      <c r="D150" s="29">
        <v>54160728474</v>
      </c>
      <c r="E150" s="30">
        <f>(D150/$D$154)</f>
        <v>0.53503937324763484</v>
      </c>
      <c r="F150" s="60">
        <v>102.07</v>
      </c>
      <c r="G150" s="60">
        <v>102.07</v>
      </c>
      <c r="H150" s="32">
        <v>645</v>
      </c>
      <c r="I150" s="50">
        <v>8.3900000000000002E-2</v>
      </c>
      <c r="J150" s="50">
        <v>8.3900000000000002E-2</v>
      </c>
      <c r="K150" s="29">
        <v>54160728474</v>
      </c>
      <c r="L150" s="30">
        <f>(K150/$K$154)</f>
        <v>0.53474251200669765</v>
      </c>
      <c r="M150" s="60">
        <v>102.07</v>
      </c>
      <c r="N150" s="60">
        <v>102.07</v>
      </c>
      <c r="O150" s="32">
        <v>645</v>
      </c>
      <c r="P150" s="50">
        <v>8.3900000000000002E-2</v>
      </c>
      <c r="Q150" s="50">
        <v>8.3900000000000002E-2</v>
      </c>
      <c r="R150" s="57">
        <f t="shared" si="90"/>
        <v>0</v>
      </c>
      <c r="S150" s="57">
        <f t="shared" si="91"/>
        <v>0</v>
      </c>
      <c r="T150" s="57">
        <f t="shared" si="91"/>
        <v>0</v>
      </c>
      <c r="U150" s="57">
        <f t="shared" si="92"/>
        <v>0</v>
      </c>
      <c r="V150" s="58">
        <f t="shared" si="92"/>
        <v>0</v>
      </c>
    </row>
    <row r="151" spans="1:22" ht="15.75" customHeight="1">
      <c r="A151" s="138">
        <v>131</v>
      </c>
      <c r="B151" s="135" t="s">
        <v>191</v>
      </c>
      <c r="C151" s="136" t="s">
        <v>145</v>
      </c>
      <c r="D151" s="29">
        <v>2848988953.3759108</v>
      </c>
      <c r="E151" s="30">
        <f>(D151/$D$154)</f>
        <v>2.8144401062394072E-2</v>
      </c>
      <c r="F151" s="60">
        <v>206</v>
      </c>
      <c r="G151" s="60">
        <v>206</v>
      </c>
      <c r="H151" s="32">
        <v>3040</v>
      </c>
      <c r="I151" s="50">
        <v>0.14286896042783934</v>
      </c>
      <c r="J151" s="50">
        <v>5.1411314841208783E-2</v>
      </c>
      <c r="K151" s="29">
        <v>2857376587.6269426</v>
      </c>
      <c r="L151" s="30">
        <f>(K151/$K$154)</f>
        <v>2.8211598648460918E-2</v>
      </c>
      <c r="M151" s="60">
        <v>206</v>
      </c>
      <c r="N151" s="60">
        <v>206</v>
      </c>
      <c r="O151" s="32">
        <v>3212</v>
      </c>
      <c r="P151" s="50">
        <v>0.19506194810492117</v>
      </c>
      <c r="Q151" s="50">
        <v>5.2956321312344019E-2</v>
      </c>
      <c r="R151" s="57">
        <f t="shared" si="90"/>
        <v>2.9440739814357458E-3</v>
      </c>
      <c r="S151" s="57">
        <f t="shared" si="91"/>
        <v>0</v>
      </c>
      <c r="T151" s="57">
        <f t="shared" si="91"/>
        <v>5.6578947368421055E-2</v>
      </c>
      <c r="U151" s="57">
        <f t="shared" si="92"/>
        <v>5.2192987677081831E-2</v>
      </c>
      <c r="V151" s="58">
        <f t="shared" si="92"/>
        <v>1.5450064711352365E-3</v>
      </c>
    </row>
    <row r="152" spans="1:22">
      <c r="A152" s="138">
        <v>132</v>
      </c>
      <c r="B152" s="135" t="s">
        <v>192</v>
      </c>
      <c r="C152" s="136" t="s">
        <v>145</v>
      </c>
      <c r="D152" s="29">
        <v>10853340658.16</v>
      </c>
      <c r="E152" s="30">
        <f>(D152/$D$154)</f>
        <v>0.10721725403255326</v>
      </c>
      <c r="F152" s="60">
        <v>56.9</v>
      </c>
      <c r="G152" s="60">
        <v>56.9</v>
      </c>
      <c r="H152" s="32">
        <v>5264</v>
      </c>
      <c r="I152" s="50">
        <v>5.1473699055136178E-2</v>
      </c>
      <c r="J152" s="50">
        <v>0.11115817457215794</v>
      </c>
      <c r="K152" s="29">
        <v>10870109619.379999</v>
      </c>
      <c r="L152" s="30">
        <f>(K152/$K$154)</f>
        <v>0.1073233297895141</v>
      </c>
      <c r="M152" s="60">
        <v>56.9</v>
      </c>
      <c r="N152" s="60">
        <v>56.9</v>
      </c>
      <c r="O152" s="32">
        <v>5264</v>
      </c>
      <c r="P152" s="50">
        <v>7.713440405748391E-2</v>
      </c>
      <c r="Q152" s="50">
        <v>0.11344349888490875</v>
      </c>
      <c r="R152" s="57">
        <f t="shared" si="90"/>
        <v>1.5450506667172286E-3</v>
      </c>
      <c r="S152" s="57">
        <f t="shared" si="91"/>
        <v>0</v>
      </c>
      <c r="T152" s="57">
        <f t="shared" si="91"/>
        <v>0</v>
      </c>
      <c r="U152" s="57">
        <f t="shared" si="92"/>
        <v>2.5660705002347732E-2</v>
      </c>
      <c r="V152" s="58">
        <f t="shared" si="92"/>
        <v>2.2853243127508027E-3</v>
      </c>
    </row>
    <row r="153" spans="1:22">
      <c r="A153" s="138">
        <v>133</v>
      </c>
      <c r="B153" s="135" t="s">
        <v>193</v>
      </c>
      <c r="C153" s="136" t="s">
        <v>49</v>
      </c>
      <c r="D153" s="29">
        <v>31047019687.380001</v>
      </c>
      <c r="E153" s="30">
        <f>(D153/$D$154)</f>
        <v>0.30670521654296268</v>
      </c>
      <c r="F153" s="60">
        <v>6.5</v>
      </c>
      <c r="G153" s="60">
        <v>6.5</v>
      </c>
      <c r="H153" s="32">
        <v>208137</v>
      </c>
      <c r="I153" s="50">
        <v>0.1017</v>
      </c>
      <c r="J153" s="50">
        <v>0.3</v>
      </c>
      <c r="K153" s="29">
        <v>31070282066.080002</v>
      </c>
      <c r="L153" s="30">
        <f>(K153/$K$154)</f>
        <v>0.30676471954671275</v>
      </c>
      <c r="M153" s="60">
        <v>6.05</v>
      </c>
      <c r="N153" s="60">
        <v>6.05</v>
      </c>
      <c r="O153" s="32">
        <v>208137</v>
      </c>
      <c r="P153" s="50">
        <v>-6.9199999999999998E-2</v>
      </c>
      <c r="Q153" s="50">
        <v>0.21</v>
      </c>
      <c r="R153" s="57">
        <f t="shared" si="90"/>
        <v>7.4926285789216865E-4</v>
      </c>
      <c r="S153" s="57">
        <f t="shared" si="91"/>
        <v>-6.9230769230769262E-2</v>
      </c>
      <c r="T153" s="57">
        <f t="shared" si="91"/>
        <v>0</v>
      </c>
      <c r="U153" s="57">
        <f t="shared" si="92"/>
        <v>-0.1709</v>
      </c>
      <c r="V153" s="58">
        <f t="shared" si="92"/>
        <v>-0.09</v>
      </c>
    </row>
    <row r="154" spans="1:22">
      <c r="A154" s="36"/>
      <c r="B154" s="73"/>
      <c r="C154" s="38" t="s">
        <v>53</v>
      </c>
      <c r="D154" s="39">
        <f>SUM(D149:D153)</f>
        <v>101227556666.0634</v>
      </c>
      <c r="E154" s="40">
        <f>(D154/$D$217)</f>
        <v>2.1970268824770597E-2</v>
      </c>
      <c r="F154" s="41"/>
      <c r="G154" s="74"/>
      <c r="H154" s="43">
        <f>SUM(H149:H153)</f>
        <v>217094</v>
      </c>
      <c r="I154" s="81"/>
      <c r="J154" s="81"/>
      <c r="K154" s="39">
        <f>SUM(K149:K153)</f>
        <v>101283752942.61555</v>
      </c>
      <c r="L154" s="40">
        <f>(K154/$K$217)</f>
        <v>2.1462879885051186E-2</v>
      </c>
      <c r="M154" s="41"/>
      <c r="N154" s="74"/>
      <c r="O154" s="43">
        <f>SUM(O149:O153)</f>
        <v>217266</v>
      </c>
      <c r="P154" s="81"/>
      <c r="Q154" s="81"/>
      <c r="R154" s="57">
        <f t="shared" si="90"/>
        <v>5.551480091289645E-4</v>
      </c>
      <c r="S154" s="57" t="e">
        <f t="shared" si="91"/>
        <v>#DIV/0!</v>
      </c>
      <c r="T154" s="57">
        <f t="shared" si="91"/>
        <v>7.9228352695145878E-4</v>
      </c>
      <c r="U154" s="57">
        <f t="shared" si="92"/>
        <v>0</v>
      </c>
      <c r="V154" s="58">
        <f t="shared" si="92"/>
        <v>0</v>
      </c>
    </row>
    <row r="155" spans="1:22" ht="5.25" customHeight="1">
      <c r="A155" s="36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</row>
    <row r="156" spans="1:22" ht="15" customHeight="1">
      <c r="A156" s="181" t="s">
        <v>194</v>
      </c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</row>
    <row r="157" spans="1:22">
      <c r="A157" s="139">
        <v>134</v>
      </c>
      <c r="B157" s="135" t="s">
        <v>195</v>
      </c>
      <c r="C157" s="136" t="s">
        <v>57</v>
      </c>
      <c r="D157" s="33">
        <v>265862238.47</v>
      </c>
      <c r="E157" s="30">
        <f t="shared" ref="E157:E184" si="93">(D157/$D$185)</f>
        <v>4.6482765591949722E-3</v>
      </c>
      <c r="F157" s="33">
        <v>5.9733999999999998</v>
      </c>
      <c r="G157" s="33">
        <v>6.0441000000000003</v>
      </c>
      <c r="H157" s="34">
        <v>11837</v>
      </c>
      <c r="I157" s="51">
        <v>-2.8530000000000001E-3</v>
      </c>
      <c r="J157" s="51">
        <v>4.5338999999999997E-2</v>
      </c>
      <c r="K157" s="33">
        <v>281739200.29000002</v>
      </c>
      <c r="L157" s="54">
        <f t="shared" ref="L157:L183" si="94">(K157/$K$185)</f>
        <v>4.9472249489660456E-3</v>
      </c>
      <c r="M157" s="33">
        <v>5.9821</v>
      </c>
      <c r="N157" s="33">
        <v>6.0484</v>
      </c>
      <c r="O157" s="34">
        <v>11841</v>
      </c>
      <c r="P157" s="51">
        <v>1.523E-3</v>
      </c>
      <c r="Q157" s="51">
        <v>4.6862000000000001E-2</v>
      </c>
      <c r="R157" s="57">
        <f>((K157-D157)/D157)</f>
        <v>5.9718754763255277E-2</v>
      </c>
      <c r="S157" s="57">
        <f>((N157-G157)/G157)</f>
        <v>7.1143760030438746E-4</v>
      </c>
      <c r="T157" s="57">
        <f>((O157-H157)/H157)</f>
        <v>3.3792346033623382E-4</v>
      </c>
      <c r="U157" s="57">
        <f>P157-I157</f>
        <v>4.3759999999999997E-3</v>
      </c>
      <c r="V157" s="58">
        <f>Q157-J157</f>
        <v>1.5230000000000035E-3</v>
      </c>
    </row>
    <row r="158" spans="1:22">
      <c r="A158" s="139">
        <v>135</v>
      </c>
      <c r="B158" s="135" t="s">
        <v>196</v>
      </c>
      <c r="C158" s="135" t="s">
        <v>197</v>
      </c>
      <c r="D158" s="33">
        <v>698536986.25138414</v>
      </c>
      <c r="E158" s="30">
        <f t="shared" si="93"/>
        <v>1.221306612631038E-2</v>
      </c>
      <c r="F158" s="33">
        <v>1601.715421312316</v>
      </c>
      <c r="G158" s="33">
        <v>1620.8711373270371</v>
      </c>
      <c r="H158" s="34">
        <v>171</v>
      </c>
      <c r="I158" s="51">
        <v>-8.4665458114588799E-3</v>
      </c>
      <c r="J158" s="51">
        <v>0.43189775401142227</v>
      </c>
      <c r="K158" s="33">
        <v>693302270.61378956</v>
      </c>
      <c r="L158" s="54">
        <f t="shared" si="94"/>
        <v>1.217410387629715E-2</v>
      </c>
      <c r="M158" s="33">
        <v>1589.7937020314534</v>
      </c>
      <c r="N158" s="33">
        <v>1608.7449096286191</v>
      </c>
      <c r="O158" s="34">
        <v>169</v>
      </c>
      <c r="P158" s="51">
        <v>-7.4663197867292849E-3</v>
      </c>
      <c r="Q158" s="51">
        <v>0.42120674747807357</v>
      </c>
      <c r="R158" s="57">
        <f>((K158-D158)/D158)</f>
        <v>-7.49382744310514E-3</v>
      </c>
      <c r="S158" s="57">
        <f>((N158-G158)/G158)</f>
        <v>-7.4813027508252453E-3</v>
      </c>
      <c r="T158" s="57">
        <f>((O158-H158)/H158)</f>
        <v>-1.1695906432748537E-2</v>
      </c>
      <c r="U158" s="57">
        <f>P158-I158</f>
        <v>1.000226024729595E-3</v>
      </c>
      <c r="V158" s="58">
        <f>Q158-J158</f>
        <v>-1.0691006533348701E-2</v>
      </c>
    </row>
    <row r="159" spans="1:22">
      <c r="A159" s="139">
        <v>136</v>
      </c>
      <c r="B159" s="135" t="s">
        <v>198</v>
      </c>
      <c r="C159" s="136" t="s">
        <v>23</v>
      </c>
      <c r="D159" s="33">
        <v>6987061694.8999996</v>
      </c>
      <c r="E159" s="30">
        <f t="shared" si="93"/>
        <v>0.12216024088624969</v>
      </c>
      <c r="F159" s="33">
        <v>817.89729999999997</v>
      </c>
      <c r="G159" s="33">
        <v>842.5575</v>
      </c>
      <c r="H159" s="34">
        <v>21407</v>
      </c>
      <c r="I159" s="51">
        <v>-0.21820000000000001</v>
      </c>
      <c r="J159" s="51">
        <v>0.14480000000000001</v>
      </c>
      <c r="K159" s="33">
        <v>6939859900.3000002</v>
      </c>
      <c r="L159" s="54">
        <f t="shared" si="94"/>
        <v>0.12186109709175524</v>
      </c>
      <c r="M159" s="33">
        <v>812.19619999999998</v>
      </c>
      <c r="N159" s="33">
        <v>836.68449999999996</v>
      </c>
      <c r="O159" s="34">
        <v>21405</v>
      </c>
      <c r="P159" s="51">
        <v>-0.36349999999999999</v>
      </c>
      <c r="Q159" s="51">
        <v>9.9400000000000002E-2</v>
      </c>
      <c r="R159" s="57">
        <f t="shared" ref="R159:R184" si="95">((K159-D159)/D159)</f>
        <v>-6.7556000878671203E-3</v>
      </c>
      <c r="S159" s="57">
        <f t="shared" ref="S159:T184" si="96">((N159-G159)/G159)</f>
        <v>-6.9704441536631596E-3</v>
      </c>
      <c r="T159" s="57">
        <f t="shared" si="96"/>
        <v>-9.3427383566123225E-5</v>
      </c>
      <c r="U159" s="57">
        <f t="shared" ref="U159:V184" si="97">P159-I159</f>
        <v>-0.14529999999999998</v>
      </c>
      <c r="V159" s="58">
        <f t="shared" si="97"/>
        <v>-4.540000000000001E-2</v>
      </c>
    </row>
    <row r="160" spans="1:22">
      <c r="A160" s="139">
        <v>137</v>
      </c>
      <c r="B160" s="135" t="s">
        <v>199</v>
      </c>
      <c r="C160" s="136" t="s">
        <v>112</v>
      </c>
      <c r="D160" s="33">
        <v>3959525937.5799999</v>
      </c>
      <c r="E160" s="30">
        <f t="shared" si="93"/>
        <v>6.9227475504214681E-2</v>
      </c>
      <c r="F160" s="33">
        <v>23.651599999999998</v>
      </c>
      <c r="G160" s="33">
        <v>23.945399999999999</v>
      </c>
      <c r="H160" s="32">
        <v>6159</v>
      </c>
      <c r="I160" s="50">
        <v>3.0000000000000001E-3</v>
      </c>
      <c r="J160" s="50">
        <v>0.1124</v>
      </c>
      <c r="K160" s="33">
        <v>3937723421.0999999</v>
      </c>
      <c r="L160" s="54">
        <f t="shared" si="94"/>
        <v>6.9144810274686136E-2</v>
      </c>
      <c r="M160" s="33">
        <v>23.548400000000001</v>
      </c>
      <c r="N160" s="33">
        <v>23.839700000000001</v>
      </c>
      <c r="O160" s="32">
        <v>6158</v>
      </c>
      <c r="P160" s="50">
        <v>8.9999999999999998E-4</v>
      </c>
      <c r="Q160" s="50">
        <v>0.1075</v>
      </c>
      <c r="R160" s="57">
        <f t="shared" si="95"/>
        <v>-5.5063451594221336E-3</v>
      </c>
      <c r="S160" s="57">
        <f t="shared" si="96"/>
        <v>-4.4142089921236976E-3</v>
      </c>
      <c r="T160" s="57">
        <f t="shared" si="96"/>
        <v>-1.623640201331385E-4</v>
      </c>
      <c r="U160" s="57">
        <f t="shared" si="97"/>
        <v>-2.1000000000000003E-3</v>
      </c>
      <c r="V160" s="58">
        <f t="shared" si="97"/>
        <v>-4.9000000000000016E-3</v>
      </c>
    </row>
    <row r="161" spans="1:22">
      <c r="A161" s="139">
        <v>138</v>
      </c>
      <c r="B161" s="135" t="s">
        <v>200</v>
      </c>
      <c r="C161" s="136" t="s">
        <v>121</v>
      </c>
      <c r="D161" s="29">
        <v>1969485233.8349612</v>
      </c>
      <c r="E161" s="30">
        <f t="shared" si="93"/>
        <v>3.4434044107955177E-2</v>
      </c>
      <c r="F161" s="33">
        <v>4.6925999999999997</v>
      </c>
      <c r="G161" s="33">
        <v>4.7965</v>
      </c>
      <c r="H161" s="32">
        <v>2740</v>
      </c>
      <c r="I161" s="50">
        <v>-0.21440000000000001</v>
      </c>
      <c r="J161" s="50">
        <v>0.14119999999999999</v>
      </c>
      <c r="K161" s="29">
        <v>1976571832.6210871</v>
      </c>
      <c r="L161" s="54">
        <f t="shared" si="94"/>
        <v>3.4707791722633267E-2</v>
      </c>
      <c r="M161" s="33">
        <v>4.7072000000000003</v>
      </c>
      <c r="N161" s="33">
        <v>4.8113999999999999</v>
      </c>
      <c r="O161" s="32">
        <v>2740</v>
      </c>
      <c r="P161" s="50">
        <v>0.16200000000000001</v>
      </c>
      <c r="Q161" s="50">
        <v>0.1434</v>
      </c>
      <c r="R161" s="57">
        <f t="shared" si="95"/>
        <v>3.598198485767241E-3</v>
      </c>
      <c r="S161" s="57">
        <f t="shared" si="96"/>
        <v>3.1064317731679171E-3</v>
      </c>
      <c r="T161" s="57">
        <f t="shared" si="96"/>
        <v>0</v>
      </c>
      <c r="U161" s="57">
        <f t="shared" si="97"/>
        <v>0.37640000000000001</v>
      </c>
      <c r="V161" s="58">
        <f t="shared" si="97"/>
        <v>2.2000000000000075E-3</v>
      </c>
    </row>
    <row r="162" spans="1:22">
      <c r="A162" s="139">
        <v>139</v>
      </c>
      <c r="B162" s="135" t="s">
        <v>201</v>
      </c>
      <c r="C162" s="136" t="s">
        <v>65</v>
      </c>
      <c r="D162" s="33">
        <v>3822966495.1990399</v>
      </c>
      <c r="E162" s="30">
        <f t="shared" si="93"/>
        <v>6.6839900425447796E-2</v>
      </c>
      <c r="F162" s="33">
        <v>8584.3037252150698</v>
      </c>
      <c r="G162" s="33">
        <v>8667.5271430178309</v>
      </c>
      <c r="H162" s="32">
        <v>1002</v>
      </c>
      <c r="I162" s="50">
        <v>-1.3535425097126215E-2</v>
      </c>
      <c r="J162" s="50">
        <v>0.61691951341524187</v>
      </c>
      <c r="K162" s="33">
        <v>3773620366.2427201</v>
      </c>
      <c r="L162" s="54">
        <f t="shared" si="94"/>
        <v>6.626322785251762E-2</v>
      </c>
      <c r="M162" s="33">
        <v>8499.0048260910407</v>
      </c>
      <c r="N162" s="33">
        <v>8580.9826657491794</v>
      </c>
      <c r="O162" s="32">
        <v>997</v>
      </c>
      <c r="P162" s="50">
        <v>-0.51812336257426583</v>
      </c>
      <c r="Q162" s="50">
        <v>0.51200955454341324</v>
      </c>
      <c r="R162" s="57">
        <f t="shared" si="95"/>
        <v>-1.2907810993972793E-2</v>
      </c>
      <c r="S162" s="57">
        <f t="shared" si="96"/>
        <v>-9.9849098642128611E-3</v>
      </c>
      <c r="T162" s="57">
        <f t="shared" si="96"/>
        <v>-4.9900199600798403E-3</v>
      </c>
      <c r="U162" s="57">
        <f t="shared" si="97"/>
        <v>-0.50458793747713959</v>
      </c>
      <c r="V162" s="58">
        <f t="shared" si="97"/>
        <v>-0.10490995887182863</v>
      </c>
    </row>
    <row r="163" spans="1:22">
      <c r="A163" s="139">
        <v>140</v>
      </c>
      <c r="B163" s="135" t="s">
        <v>202</v>
      </c>
      <c r="C163" s="136" t="s">
        <v>67</v>
      </c>
      <c r="D163" s="33">
        <v>879756282.26999998</v>
      </c>
      <c r="E163" s="30">
        <f t="shared" si="93"/>
        <v>1.5381464205724725E-2</v>
      </c>
      <c r="F163" s="33">
        <v>215.2</v>
      </c>
      <c r="G163" s="33">
        <v>217.05</v>
      </c>
      <c r="H163" s="32">
        <v>689</v>
      </c>
      <c r="I163" s="50">
        <v>4.4000000000000003E-3</v>
      </c>
      <c r="J163" s="50">
        <v>5.3699999999999998E-2</v>
      </c>
      <c r="K163" s="33">
        <v>867232372.97000003</v>
      </c>
      <c r="L163" s="54">
        <f t="shared" si="94"/>
        <v>1.5228245227117913E-2</v>
      </c>
      <c r="M163" s="33">
        <v>211.92</v>
      </c>
      <c r="N163" s="33">
        <v>213.71</v>
      </c>
      <c r="O163" s="32">
        <v>689</v>
      </c>
      <c r="P163" s="50">
        <v>-1.5299999999999999E-2</v>
      </c>
      <c r="Q163" s="50">
        <v>3.7600000000000001E-2</v>
      </c>
      <c r="R163" s="57">
        <f t="shared" si="95"/>
        <v>-1.4235657707024278E-2</v>
      </c>
      <c r="S163" s="57">
        <f t="shared" si="96"/>
        <v>-1.5388159410274145E-2</v>
      </c>
      <c r="T163" s="57">
        <f t="shared" si="96"/>
        <v>0</v>
      </c>
      <c r="U163" s="57">
        <f t="shared" si="97"/>
        <v>-1.9699999999999999E-2</v>
      </c>
      <c r="V163" s="58">
        <f t="shared" si="97"/>
        <v>-1.6099999999999996E-2</v>
      </c>
    </row>
    <row r="164" spans="1:22">
      <c r="A164" s="139">
        <v>141</v>
      </c>
      <c r="B164" s="135" t="s">
        <v>203</v>
      </c>
      <c r="C164" s="136" t="s">
        <v>69</v>
      </c>
      <c r="D164" s="33">
        <v>3734808.11</v>
      </c>
      <c r="E164" s="30">
        <f t="shared" si="93"/>
        <v>6.5298558722408533E-5</v>
      </c>
      <c r="F164" s="33">
        <v>102.747</v>
      </c>
      <c r="G164" s="33">
        <v>102.99</v>
      </c>
      <c r="H164" s="32">
        <v>0</v>
      </c>
      <c r="I164" s="50">
        <v>0</v>
      </c>
      <c r="J164" s="50">
        <v>0</v>
      </c>
      <c r="K164" s="33">
        <v>3734808.11</v>
      </c>
      <c r="L164" s="54">
        <f t="shared" si="94"/>
        <v>6.5581700531463236E-5</v>
      </c>
      <c r="M164" s="33">
        <v>102.747</v>
      </c>
      <c r="N164" s="33">
        <v>102.99</v>
      </c>
      <c r="O164" s="32">
        <v>0</v>
      </c>
      <c r="P164" s="50">
        <v>0</v>
      </c>
      <c r="Q164" s="50">
        <v>0</v>
      </c>
      <c r="R164" s="57">
        <f t="shared" si="95"/>
        <v>0</v>
      </c>
      <c r="S164" s="57">
        <f t="shared" si="96"/>
        <v>0</v>
      </c>
      <c r="T164" s="57" t="e">
        <f t="shared" si="96"/>
        <v>#DIV/0!</v>
      </c>
      <c r="U164" s="57">
        <f t="shared" si="97"/>
        <v>0</v>
      </c>
      <c r="V164" s="58">
        <f t="shared" si="97"/>
        <v>0</v>
      </c>
    </row>
    <row r="165" spans="1:22">
      <c r="A165" s="139">
        <v>142</v>
      </c>
      <c r="B165" s="135" t="s">
        <v>204</v>
      </c>
      <c r="C165" s="136" t="s">
        <v>126</v>
      </c>
      <c r="D165" s="33">
        <v>226760502.97999999</v>
      </c>
      <c r="E165" s="30">
        <f t="shared" si="93"/>
        <v>3.9646304665870574E-3</v>
      </c>
      <c r="F165" s="33">
        <v>1.5807</v>
      </c>
      <c r="G165" s="33">
        <v>1.5961000000000001</v>
      </c>
      <c r="H165" s="32">
        <v>385</v>
      </c>
      <c r="I165" s="50">
        <v>-2.9016589919889091E-3</v>
      </c>
      <c r="J165" s="50">
        <v>7.9786870687888589E-2</v>
      </c>
      <c r="K165" s="33">
        <v>225306115.13</v>
      </c>
      <c r="L165" s="54">
        <f t="shared" si="94"/>
        <v>3.9562830901004545E-3</v>
      </c>
      <c r="M165" s="33">
        <v>1.5719000000000001</v>
      </c>
      <c r="N165" s="33">
        <v>1.5871</v>
      </c>
      <c r="O165" s="32">
        <v>389</v>
      </c>
      <c r="P165" s="50">
        <v>-5.5671537926235137E-3</v>
      </c>
      <c r="Q165" s="50">
        <v>7.3775531115513493E-2</v>
      </c>
      <c r="R165" s="57">
        <f t="shared" si="95"/>
        <v>-6.4137617922300572E-3</v>
      </c>
      <c r="S165" s="57">
        <f t="shared" si="96"/>
        <v>-5.6387444395715296E-3</v>
      </c>
      <c r="T165" s="57">
        <f t="shared" si="96"/>
        <v>1.038961038961039E-2</v>
      </c>
      <c r="U165" s="57">
        <f t="shared" si="97"/>
        <v>-2.6654948006346046E-3</v>
      </c>
      <c r="V165" s="58">
        <f t="shared" si="97"/>
        <v>-6.0113395723750962E-3</v>
      </c>
    </row>
    <row r="166" spans="1:22">
      <c r="A166" s="139">
        <v>143</v>
      </c>
      <c r="B166" s="135" t="s">
        <v>205</v>
      </c>
      <c r="C166" s="136" t="s">
        <v>29</v>
      </c>
      <c r="D166" s="44">
        <v>129985965.19</v>
      </c>
      <c r="E166" s="30">
        <f t="shared" si="93"/>
        <v>2.2726458578478793E-3</v>
      </c>
      <c r="F166" s="33">
        <v>164.79830000000001</v>
      </c>
      <c r="G166" s="33">
        <v>165.60570000000001</v>
      </c>
      <c r="H166" s="32">
        <v>106</v>
      </c>
      <c r="I166" s="50">
        <v>-1.284E-3</v>
      </c>
      <c r="J166" s="50">
        <v>3.1E-2</v>
      </c>
      <c r="K166" s="44">
        <v>129545620.54000001</v>
      </c>
      <c r="L166" s="54">
        <f t="shared" si="94"/>
        <v>2.274768031232762E-3</v>
      </c>
      <c r="M166" s="33">
        <v>164.42949999999999</v>
      </c>
      <c r="N166" s="33">
        <v>165.23429999999999</v>
      </c>
      <c r="O166" s="32">
        <v>106</v>
      </c>
      <c r="P166" s="50">
        <v>-1.8749999999999999E-3</v>
      </c>
      <c r="Q166" s="50">
        <v>2.87E-2</v>
      </c>
      <c r="R166" s="57">
        <f t="shared" si="95"/>
        <v>-3.3876322675016565E-3</v>
      </c>
      <c r="S166" s="57">
        <f t="shared" si="96"/>
        <v>-2.2426764296157838E-3</v>
      </c>
      <c r="T166" s="57">
        <f t="shared" si="96"/>
        <v>0</v>
      </c>
      <c r="U166" s="57">
        <f t="shared" si="97"/>
        <v>-5.9099999999999995E-4</v>
      </c>
      <c r="V166" s="58">
        <f t="shared" si="97"/>
        <v>-2.3E-3</v>
      </c>
    </row>
    <row r="167" spans="1:22">
      <c r="A167" s="139">
        <v>144</v>
      </c>
      <c r="B167" s="135" t="s">
        <v>206</v>
      </c>
      <c r="C167" s="136" t="s">
        <v>72</v>
      </c>
      <c r="D167" s="44">
        <v>253138073.77000001</v>
      </c>
      <c r="E167" s="30">
        <f t="shared" si="93"/>
        <v>4.4258100786194691E-3</v>
      </c>
      <c r="F167" s="33">
        <v>128.12</v>
      </c>
      <c r="G167" s="33">
        <v>128.91</v>
      </c>
      <c r="H167" s="32">
        <v>34</v>
      </c>
      <c r="I167" s="50">
        <v>-8.0000000000000004E-4</v>
      </c>
      <c r="J167" s="50">
        <v>8.1100000000000005E-2</v>
      </c>
      <c r="K167" s="44">
        <v>252615894.59999999</v>
      </c>
      <c r="L167" s="54">
        <f t="shared" si="94"/>
        <v>4.4358316307567622E-3</v>
      </c>
      <c r="M167" s="33">
        <v>127.87</v>
      </c>
      <c r="N167" s="33">
        <v>128.72</v>
      </c>
      <c r="O167" s="32">
        <v>34</v>
      </c>
      <c r="P167" s="50">
        <v>-1.8E-3</v>
      </c>
      <c r="Q167" s="50">
        <v>7.9299999999999995E-2</v>
      </c>
      <c r="R167" s="57">
        <f t="shared" si="95"/>
        <v>-2.0628235105970903E-3</v>
      </c>
      <c r="S167" s="57">
        <f t="shared" si="96"/>
        <v>-1.4738965169497924E-3</v>
      </c>
      <c r="T167" s="57">
        <f t="shared" si="96"/>
        <v>0</v>
      </c>
      <c r="U167" s="57">
        <f t="shared" si="97"/>
        <v>-1E-3</v>
      </c>
      <c r="V167" s="58">
        <f t="shared" si="97"/>
        <v>-1.8000000000000099E-3</v>
      </c>
    </row>
    <row r="168" spans="1:22" ht="15.75" customHeight="1">
      <c r="A168" s="139">
        <v>145</v>
      </c>
      <c r="B168" s="135" t="s">
        <v>207</v>
      </c>
      <c r="C168" s="136" t="s">
        <v>75</v>
      </c>
      <c r="D168" s="29">
        <v>334056408.12</v>
      </c>
      <c r="E168" s="30">
        <f t="shared" si="93"/>
        <v>5.8405683343717195E-3</v>
      </c>
      <c r="F168" s="33">
        <v>1.3375999999999999</v>
      </c>
      <c r="G168" s="33">
        <v>1.3502000000000001</v>
      </c>
      <c r="H168" s="32">
        <v>101</v>
      </c>
      <c r="I168" s="50">
        <v>-6.4000000000000003E-3</v>
      </c>
      <c r="J168" s="50">
        <v>0.27329999999999999</v>
      </c>
      <c r="K168" s="29">
        <v>334140027.55000001</v>
      </c>
      <c r="L168" s="54">
        <f t="shared" si="94"/>
        <v>5.867362010831388E-3</v>
      </c>
      <c r="M168" s="33">
        <v>1.3380000000000001</v>
      </c>
      <c r="N168" s="33">
        <v>1.3506</v>
      </c>
      <c r="O168" s="32">
        <v>100</v>
      </c>
      <c r="P168" s="50">
        <v>-2.0000000000000001E-4</v>
      </c>
      <c r="Q168" s="50">
        <v>4.9799999999999997E-2</v>
      </c>
      <c r="R168" s="57">
        <f t="shared" si="95"/>
        <v>2.5031529995368123E-4</v>
      </c>
      <c r="S168" s="57">
        <f t="shared" si="96"/>
        <v>2.9625240705077465E-4</v>
      </c>
      <c r="T168" s="57">
        <f t="shared" si="96"/>
        <v>-9.9009900990099011E-3</v>
      </c>
      <c r="U168" s="57">
        <f t="shared" si="97"/>
        <v>6.2000000000000006E-3</v>
      </c>
      <c r="V168" s="58">
        <f t="shared" si="97"/>
        <v>-0.22349999999999998</v>
      </c>
    </row>
    <row r="169" spans="1:22">
      <c r="A169" s="139">
        <v>146</v>
      </c>
      <c r="B169" s="135" t="s">
        <v>208</v>
      </c>
      <c r="C169" s="136" t="s">
        <v>31</v>
      </c>
      <c r="D169" s="33">
        <v>9924661092.3899994</v>
      </c>
      <c r="E169" s="30">
        <f t="shared" si="93"/>
        <v>0.17352057885014918</v>
      </c>
      <c r="F169" s="33">
        <v>341.8</v>
      </c>
      <c r="G169" s="33">
        <v>344.41</v>
      </c>
      <c r="H169" s="32">
        <v>5477</v>
      </c>
      <c r="I169" s="50">
        <v>-1.9E-3</v>
      </c>
      <c r="J169" s="50">
        <v>5.4600000000000003E-2</v>
      </c>
      <c r="K169" s="33">
        <v>9915401232.8899994</v>
      </c>
      <c r="L169" s="54">
        <f t="shared" si="94"/>
        <v>0.17411038402845636</v>
      </c>
      <c r="M169" s="33">
        <v>341.58</v>
      </c>
      <c r="N169" s="33">
        <v>344.18</v>
      </c>
      <c r="O169" s="32">
        <v>5477</v>
      </c>
      <c r="P169" s="50">
        <v>-6.9999999999999999E-4</v>
      </c>
      <c r="Q169" s="50">
        <v>5.3900000000000003E-2</v>
      </c>
      <c r="R169" s="57">
        <f t="shared" si="95"/>
        <v>-9.3301518447821313E-4</v>
      </c>
      <c r="S169" s="57">
        <f t="shared" si="96"/>
        <v>-6.6780871635555928E-4</v>
      </c>
      <c r="T169" s="57">
        <f t="shared" si="96"/>
        <v>0</v>
      </c>
      <c r="U169" s="57">
        <f t="shared" si="97"/>
        <v>1.2000000000000001E-3</v>
      </c>
      <c r="V169" s="58">
        <f t="shared" si="97"/>
        <v>-6.9999999999999923E-4</v>
      </c>
    </row>
    <row r="170" spans="1:22">
      <c r="A170" s="139">
        <v>147</v>
      </c>
      <c r="B170" s="135" t="s">
        <v>209</v>
      </c>
      <c r="C170" s="136" t="s">
        <v>80</v>
      </c>
      <c r="D170" s="33">
        <v>3508046797.5500002</v>
      </c>
      <c r="E170" s="30">
        <f t="shared" si="93"/>
        <v>6.1333914103227083E-2</v>
      </c>
      <c r="F170" s="33">
        <v>2.4578000000000002</v>
      </c>
      <c r="G170" s="33">
        <v>2.5015000000000001</v>
      </c>
      <c r="H170" s="32">
        <v>10306</v>
      </c>
      <c r="I170" s="50">
        <v>-3.5000000000000001E-3</v>
      </c>
      <c r="J170" s="50">
        <v>6.0199999999999997E-2</v>
      </c>
      <c r="K170" s="33">
        <v>3485450257.04</v>
      </c>
      <c r="L170" s="54">
        <f t="shared" si="94"/>
        <v>6.1203078777321396E-2</v>
      </c>
      <c r="M170" s="33">
        <v>2.4422999999999999</v>
      </c>
      <c r="N170" s="33">
        <v>2.4851999999999999</v>
      </c>
      <c r="O170" s="32">
        <v>10305</v>
      </c>
      <c r="P170" s="50">
        <v>-6.4000000000000003E-3</v>
      </c>
      <c r="Q170" s="50">
        <v>5.3400000000000003E-2</v>
      </c>
      <c r="R170" s="57">
        <f t="shared" si="95"/>
        <v>-6.441345231135891E-3</v>
      </c>
      <c r="S170" s="57">
        <f t="shared" si="96"/>
        <v>-6.5160903457926059E-3</v>
      </c>
      <c r="T170" s="57">
        <f t="shared" si="96"/>
        <v>-9.7030855812148264E-5</v>
      </c>
      <c r="U170" s="57">
        <f t="shared" si="97"/>
        <v>-2.9000000000000002E-3</v>
      </c>
      <c r="V170" s="58">
        <f t="shared" si="97"/>
        <v>-6.7999999999999935E-3</v>
      </c>
    </row>
    <row r="171" spans="1:22">
      <c r="A171" s="139">
        <v>148</v>
      </c>
      <c r="B171" s="135" t="s">
        <v>210</v>
      </c>
      <c r="C171" s="136" t="s">
        <v>82</v>
      </c>
      <c r="D171" s="33">
        <v>261838245.94715121</v>
      </c>
      <c r="E171" s="30">
        <f t="shared" si="93"/>
        <v>4.5779219641762271E-3</v>
      </c>
      <c r="F171" s="33">
        <v>340.68897956819336</v>
      </c>
      <c r="G171" s="33">
        <v>343.81562158585774</v>
      </c>
      <c r="H171" s="32">
        <v>40</v>
      </c>
      <c r="I171" s="50">
        <v>-9.1959029624738564E-3</v>
      </c>
      <c r="J171" s="50">
        <v>1.8045658354081562E-2</v>
      </c>
      <c r="K171" s="33">
        <v>261254653.72811836</v>
      </c>
      <c r="L171" s="54">
        <f t="shared" si="94"/>
        <v>4.5875247023731518E-3</v>
      </c>
      <c r="M171" s="33">
        <v>339.92964268496979</v>
      </c>
      <c r="N171" s="33">
        <v>343.07981236647839</v>
      </c>
      <c r="O171" s="32">
        <v>40</v>
      </c>
      <c r="P171" s="50">
        <v>-2.2288272552460908E-3</v>
      </c>
      <c r="Q171" s="50">
        <v>1.604986455335311E-2</v>
      </c>
      <c r="R171" s="57">
        <f t="shared" si="95"/>
        <v>-2.2288272552461442E-3</v>
      </c>
      <c r="S171" s="57">
        <f t="shared" si="96"/>
        <v>-2.1401273624084057E-3</v>
      </c>
      <c r="T171" s="57">
        <f t="shared" si="96"/>
        <v>0</v>
      </c>
      <c r="U171" s="57">
        <f t="shared" si="97"/>
        <v>6.9670757072277656E-3</v>
      </c>
      <c r="V171" s="58">
        <f t="shared" si="97"/>
        <v>-1.9957938007284515E-3</v>
      </c>
    </row>
    <row r="172" spans="1:22">
      <c r="A172" s="139">
        <v>149</v>
      </c>
      <c r="B172" s="135" t="s">
        <v>211</v>
      </c>
      <c r="C172" s="135" t="s">
        <v>84</v>
      </c>
      <c r="D172" s="140">
        <v>61740786.891960129</v>
      </c>
      <c r="E172" s="30">
        <f t="shared" si="93"/>
        <v>1.0794622587537355E-3</v>
      </c>
      <c r="F172" s="33">
        <v>1.2029149723446304</v>
      </c>
      <c r="G172" s="33">
        <v>1.2169748860102918</v>
      </c>
      <c r="H172" s="32">
        <v>29</v>
      </c>
      <c r="I172" s="50">
        <v>1.139886546092107E-3</v>
      </c>
      <c r="J172" s="50">
        <v>1.0479480569729227E-2</v>
      </c>
      <c r="K172" s="140">
        <v>61892237.757407799</v>
      </c>
      <c r="L172" s="54">
        <f t="shared" si="94"/>
        <v>1.0868023422570003E-3</v>
      </c>
      <c r="M172" s="33">
        <v>1.2042386504223701</v>
      </c>
      <c r="N172" s="33">
        <v>1.2182791913353099</v>
      </c>
      <c r="O172" s="32">
        <v>29</v>
      </c>
      <c r="P172" s="50">
        <v>2.4530115839419601E-3</v>
      </c>
      <c r="Q172" s="50">
        <v>1.29581984409024E-2</v>
      </c>
      <c r="R172" s="57">
        <f t="shared" si="95"/>
        <v>2.4530115839419618E-3</v>
      </c>
      <c r="S172" s="57">
        <f t="shared" si="96"/>
        <v>1.0717602639230624E-3</v>
      </c>
      <c r="T172" s="57">
        <f t="shared" si="96"/>
        <v>0</v>
      </c>
      <c r="U172" s="57">
        <f t="shared" si="97"/>
        <v>1.3131250378498531E-3</v>
      </c>
      <c r="V172" s="58">
        <f t="shared" si="97"/>
        <v>2.4787178711731736E-3</v>
      </c>
    </row>
    <row r="173" spans="1:22" ht="13.5" customHeight="1">
      <c r="A173" s="139">
        <v>150</v>
      </c>
      <c r="B173" s="135" t="s">
        <v>212</v>
      </c>
      <c r="C173" s="136" t="s">
        <v>37</v>
      </c>
      <c r="D173" s="29">
        <v>3263496117.1300001</v>
      </c>
      <c r="E173" s="30">
        <f t="shared" si="93"/>
        <v>5.7058244110101158E-2</v>
      </c>
      <c r="F173" s="33">
        <v>4.6057709999999998</v>
      </c>
      <c r="G173" s="33">
        <v>4.7361019999999998</v>
      </c>
      <c r="H173" s="32">
        <v>2356</v>
      </c>
      <c r="I173" s="50">
        <v>1.3678678717710113E-5</v>
      </c>
      <c r="J173" s="50">
        <v>8.6449699312572958E-2</v>
      </c>
      <c r="K173" s="29">
        <v>3260021619.3400002</v>
      </c>
      <c r="L173" s="54">
        <f t="shared" si="94"/>
        <v>5.7244644241080361E-2</v>
      </c>
      <c r="M173" s="33">
        <v>4.6002340000000004</v>
      </c>
      <c r="N173" s="33">
        <v>4.7256270000000002</v>
      </c>
      <c r="O173" s="32">
        <v>2362</v>
      </c>
      <c r="P173" s="50">
        <v>-1.2021874296397339E-3</v>
      </c>
      <c r="Q173" s="50">
        <v>8.5143583141123358E-2</v>
      </c>
      <c r="R173" s="57">
        <f t="shared" si="95"/>
        <v>-1.0646551015527244E-3</v>
      </c>
      <c r="S173" s="57">
        <f t="shared" si="96"/>
        <v>-2.2117344601107762E-3</v>
      </c>
      <c r="T173" s="57">
        <f t="shared" si="96"/>
        <v>2.5466893039049238E-3</v>
      </c>
      <c r="U173" s="57">
        <f t="shared" si="97"/>
        <v>-1.215866108357444E-3</v>
      </c>
      <c r="V173" s="58">
        <f t="shared" si="97"/>
        <v>-1.3061161714496006E-3</v>
      </c>
    </row>
    <row r="174" spans="1:22" ht="13.5" customHeight="1">
      <c r="A174" s="139">
        <v>151</v>
      </c>
      <c r="B174" s="135" t="s">
        <v>213</v>
      </c>
      <c r="C174" s="136" t="s">
        <v>214</v>
      </c>
      <c r="D174" s="29">
        <v>77356815.650000006</v>
      </c>
      <c r="E174" s="30">
        <f t="shared" si="93"/>
        <v>1.3524894507364817E-3</v>
      </c>
      <c r="F174" s="33">
        <v>2.2637999999999998</v>
      </c>
      <c r="G174" s="33">
        <v>2.2745000000000002</v>
      </c>
      <c r="H174" s="32">
        <v>86</v>
      </c>
      <c r="I174" s="50">
        <v>1E-3</v>
      </c>
      <c r="J174" s="50">
        <v>7.1999999999999995E-2</v>
      </c>
      <c r="K174" s="29">
        <v>78436678.760000005</v>
      </c>
      <c r="L174" s="54">
        <f t="shared" si="94"/>
        <v>1.3773159492043898E-3</v>
      </c>
      <c r="M174" s="33">
        <v>2.25</v>
      </c>
      <c r="N174" s="33">
        <v>2.27</v>
      </c>
      <c r="O174" s="32">
        <v>86</v>
      </c>
      <c r="P174" s="50">
        <v>-3.8E-3</v>
      </c>
      <c r="Q174" s="50">
        <v>7.17E-2</v>
      </c>
      <c r="R174" s="57">
        <f t="shared" si="95"/>
        <v>1.3959508298348619E-2</v>
      </c>
      <c r="S174" s="57">
        <f t="shared" si="96"/>
        <v>-1.978456803693194E-3</v>
      </c>
      <c r="T174" s="57">
        <f t="shared" si="96"/>
        <v>0</v>
      </c>
      <c r="U174" s="57">
        <f t="shared" si="97"/>
        <v>-4.8000000000000004E-3</v>
      </c>
      <c r="V174" s="58">
        <f t="shared" si="97"/>
        <v>-2.9999999999999472E-4</v>
      </c>
    </row>
    <row r="175" spans="1:22">
      <c r="A175" s="139">
        <v>152</v>
      </c>
      <c r="B175" s="135" t="s">
        <v>215</v>
      </c>
      <c r="C175" s="136" t="s">
        <v>135</v>
      </c>
      <c r="D175" s="29">
        <v>505599381.56999999</v>
      </c>
      <c r="E175" s="30">
        <f t="shared" si="93"/>
        <v>8.8397877307442394E-3</v>
      </c>
      <c r="F175" s="33">
        <v>239.2</v>
      </c>
      <c r="G175" s="33">
        <v>241.94</v>
      </c>
      <c r="H175" s="32">
        <v>143</v>
      </c>
      <c r="I175" s="50">
        <v>1.37E-2</v>
      </c>
      <c r="J175" s="50">
        <v>0.25030000000000002</v>
      </c>
      <c r="K175" s="29">
        <v>505599381.56999999</v>
      </c>
      <c r="L175" s="54">
        <f t="shared" si="94"/>
        <v>8.8781180329547786E-3</v>
      </c>
      <c r="M175" s="33">
        <v>237.2</v>
      </c>
      <c r="N175" s="33">
        <v>238.87</v>
      </c>
      <c r="O175" s="32">
        <v>143</v>
      </c>
      <c r="P175" s="50">
        <v>1.37E-2</v>
      </c>
      <c r="Q175" s="50">
        <v>0.25030000000000002</v>
      </c>
      <c r="R175" s="57">
        <f t="shared" si="95"/>
        <v>0</v>
      </c>
      <c r="S175" s="57">
        <f t="shared" si="96"/>
        <v>-1.2689096470199194E-2</v>
      </c>
      <c r="T175" s="57">
        <f t="shared" si="96"/>
        <v>0</v>
      </c>
      <c r="U175" s="57">
        <f t="shared" si="97"/>
        <v>0</v>
      </c>
      <c r="V175" s="58">
        <f t="shared" si="97"/>
        <v>0</v>
      </c>
    </row>
    <row r="176" spans="1:22">
      <c r="A176" s="139">
        <v>153</v>
      </c>
      <c r="B176" s="135" t="s">
        <v>216</v>
      </c>
      <c r="C176" s="136" t="s">
        <v>33</v>
      </c>
      <c r="D176" s="29">
        <v>2187741276.7600002</v>
      </c>
      <c r="E176" s="30">
        <f t="shared" si="93"/>
        <v>3.8249984476431347E-2</v>
      </c>
      <c r="F176" s="33">
        <v>552.22</v>
      </c>
      <c r="G176" s="33">
        <v>552.22</v>
      </c>
      <c r="H176" s="32">
        <v>823</v>
      </c>
      <c r="I176" s="50">
        <v>7.9299999999999995E-3</v>
      </c>
      <c r="J176" s="50">
        <v>0.39939999999999998</v>
      </c>
      <c r="K176" s="29">
        <v>2186811753.5300002</v>
      </c>
      <c r="L176" s="54">
        <f t="shared" si="94"/>
        <v>3.8399518613739025E-2</v>
      </c>
      <c r="M176" s="33">
        <v>552.22</v>
      </c>
      <c r="N176" s="33">
        <v>552.22</v>
      </c>
      <c r="O176" s="32">
        <v>823</v>
      </c>
      <c r="P176" s="50">
        <v>-4.0000000000000002E-4</v>
      </c>
      <c r="Q176" s="50">
        <v>0.39879999999999999</v>
      </c>
      <c r="R176" s="57">
        <f t="shared" si="95"/>
        <v>-4.248780419669294E-4</v>
      </c>
      <c r="S176" s="57">
        <f t="shared" si="96"/>
        <v>0</v>
      </c>
      <c r="T176" s="57">
        <f t="shared" si="96"/>
        <v>0</v>
      </c>
      <c r="U176" s="57">
        <f t="shared" si="97"/>
        <v>-8.3299999999999989E-3</v>
      </c>
      <c r="V176" s="58">
        <f t="shared" si="97"/>
        <v>-5.9999999999998943E-4</v>
      </c>
    </row>
    <row r="177" spans="1:22">
      <c r="A177" s="139">
        <v>154</v>
      </c>
      <c r="B177" s="135" t="s">
        <v>217</v>
      </c>
      <c r="C177" s="136" t="s">
        <v>91</v>
      </c>
      <c r="D177" s="33">
        <v>29442866.210000001</v>
      </c>
      <c r="E177" s="30">
        <f t="shared" si="93"/>
        <v>5.1477255900295854E-4</v>
      </c>
      <c r="F177" s="33">
        <v>1.88</v>
      </c>
      <c r="G177" s="33">
        <v>1.88</v>
      </c>
      <c r="H177" s="32">
        <v>8</v>
      </c>
      <c r="I177" s="50">
        <v>-1.0695E-2</v>
      </c>
      <c r="J177" s="50">
        <v>3.6779999999999998E-3</v>
      </c>
      <c r="K177" s="33">
        <v>29593659.210000001</v>
      </c>
      <c r="L177" s="54">
        <f t="shared" si="94"/>
        <v>5.1965253335074259E-4</v>
      </c>
      <c r="M177" s="33">
        <v>1.88</v>
      </c>
      <c r="N177" s="33">
        <v>1.88</v>
      </c>
      <c r="O177" s="32">
        <v>8</v>
      </c>
      <c r="P177" s="50">
        <v>-1.4E-5</v>
      </c>
      <c r="Q177" s="50">
        <v>3.6640000000000002E-3</v>
      </c>
      <c r="R177" s="57">
        <f t="shared" si="95"/>
        <v>5.1215462151162627E-3</v>
      </c>
      <c r="S177" s="57">
        <f t="shared" si="96"/>
        <v>0</v>
      </c>
      <c r="T177" s="57">
        <f t="shared" si="96"/>
        <v>0</v>
      </c>
      <c r="U177" s="57">
        <f t="shared" si="97"/>
        <v>1.0681E-2</v>
      </c>
      <c r="V177" s="58">
        <f t="shared" si="97"/>
        <v>-1.399999999999969E-5</v>
      </c>
    </row>
    <row r="178" spans="1:22">
      <c r="A178" s="139">
        <v>155</v>
      </c>
      <c r="B178" s="135" t="s">
        <v>218</v>
      </c>
      <c r="C178" s="136" t="s">
        <v>45</v>
      </c>
      <c r="D178" s="33">
        <v>243090159.09999999</v>
      </c>
      <c r="E178" s="30">
        <f t="shared" si="93"/>
        <v>4.2501345614864754E-3</v>
      </c>
      <c r="F178" s="33">
        <v>2.4388610000000002</v>
      </c>
      <c r="G178" s="33">
        <v>2.4981330000000002</v>
      </c>
      <c r="H178" s="32">
        <v>121</v>
      </c>
      <c r="I178" s="50">
        <v>-2.5000000000000001E-3</v>
      </c>
      <c r="J178" s="50">
        <v>-6.5699999999999995E-2</v>
      </c>
      <c r="K178" s="33">
        <v>241559498.75999999</v>
      </c>
      <c r="L178" s="54">
        <f t="shared" si="94"/>
        <v>4.2416858488102307E-3</v>
      </c>
      <c r="M178" s="33">
        <v>2.4247909999999999</v>
      </c>
      <c r="N178" s="33">
        <v>2.4849890000000001</v>
      </c>
      <c r="O178" s="32">
        <v>121</v>
      </c>
      <c r="P178" s="50">
        <v>-0.1134</v>
      </c>
      <c r="Q178" s="50">
        <v>4.7300000000000002E-2</v>
      </c>
      <c r="R178" s="57">
        <f t="shared" si="95"/>
        <v>-6.2966775194315287E-3</v>
      </c>
      <c r="S178" s="57">
        <f t="shared" si="96"/>
        <v>-5.2615293100887915E-3</v>
      </c>
      <c r="T178" s="57">
        <f t="shared" si="96"/>
        <v>0</v>
      </c>
      <c r="U178" s="57">
        <f t="shared" si="97"/>
        <v>-0.1109</v>
      </c>
      <c r="V178" s="58">
        <f t="shared" si="97"/>
        <v>0.11299999999999999</v>
      </c>
    </row>
    <row r="179" spans="1:22">
      <c r="A179" s="139">
        <v>156</v>
      </c>
      <c r="B179" s="135" t="s">
        <v>219</v>
      </c>
      <c r="C179" s="136" t="s">
        <v>49</v>
      </c>
      <c r="D179" s="29">
        <v>2633906239.23</v>
      </c>
      <c r="E179" s="30">
        <f t="shared" si="93"/>
        <v>4.6050633972645617E-2</v>
      </c>
      <c r="F179" s="33">
        <v>6734.47</v>
      </c>
      <c r="G179" s="33">
        <v>6800.19</v>
      </c>
      <c r="H179" s="32">
        <v>2310</v>
      </c>
      <c r="I179" s="50">
        <v>5.0000000000000001E-4</v>
      </c>
      <c r="J179" s="50">
        <v>5.6500000000000002E-2</v>
      </c>
      <c r="K179" s="29">
        <v>2622624746.9400001</v>
      </c>
      <c r="L179" s="30">
        <f t="shared" si="94"/>
        <v>4.6052216257028433E-2</v>
      </c>
      <c r="M179" s="33">
        <v>6725.09</v>
      </c>
      <c r="N179" s="33">
        <v>6790.74</v>
      </c>
      <c r="O179" s="32">
        <v>2307</v>
      </c>
      <c r="P179" s="50">
        <v>-1.4E-3</v>
      </c>
      <c r="Q179" s="50">
        <v>5.5E-2</v>
      </c>
      <c r="R179" s="57">
        <f t="shared" si="95"/>
        <v>-4.2831791511675106E-3</v>
      </c>
      <c r="S179" s="57">
        <f t="shared" si="96"/>
        <v>-1.3896670534205395E-3</v>
      </c>
      <c r="T179" s="57">
        <f t="shared" si="96"/>
        <v>-1.2987012987012987E-3</v>
      </c>
      <c r="U179" s="57">
        <f t="shared" si="97"/>
        <v>-1.9E-3</v>
      </c>
      <c r="V179" s="58">
        <f t="shared" si="97"/>
        <v>-1.5000000000000013E-3</v>
      </c>
    </row>
    <row r="180" spans="1:22">
      <c r="A180" s="139">
        <v>157</v>
      </c>
      <c r="B180" s="135" t="s">
        <v>220</v>
      </c>
      <c r="C180" s="135" t="s">
        <v>101</v>
      </c>
      <c r="D180" s="29">
        <v>108891822.89</v>
      </c>
      <c r="E180" s="30">
        <f t="shared" si="93"/>
        <v>1.9038405406517057E-3</v>
      </c>
      <c r="F180" s="33">
        <v>1147.3</v>
      </c>
      <c r="G180" s="33">
        <v>1163.3</v>
      </c>
      <c r="H180" s="32">
        <v>10</v>
      </c>
      <c r="I180" s="50">
        <v>-3.1909318924139285E-4</v>
      </c>
      <c r="J180" s="50">
        <v>3.6327999999999999E-2</v>
      </c>
      <c r="K180" s="29">
        <v>108722053.92</v>
      </c>
      <c r="L180" s="30">
        <f t="shared" si="94"/>
        <v>1.9091147312912519E-3</v>
      </c>
      <c r="M180" s="33">
        <v>1145.58</v>
      </c>
      <c r="N180" s="33">
        <v>1161.44</v>
      </c>
      <c r="O180" s="32">
        <v>10</v>
      </c>
      <c r="P180" s="50">
        <v>-1.8660759125192999E-3</v>
      </c>
      <c r="Q180" s="50">
        <v>3.4532E-2</v>
      </c>
      <c r="R180" s="57">
        <f t="shared" si="95"/>
        <v>-1.5590607769648186E-3</v>
      </c>
      <c r="S180" s="57">
        <f t="shared" si="96"/>
        <v>-1.5988996819392247E-3</v>
      </c>
      <c r="T180" s="57">
        <f t="shared" si="96"/>
        <v>0</v>
      </c>
      <c r="U180" s="57">
        <f t="shared" si="97"/>
        <v>-1.5469827232779071E-3</v>
      </c>
      <c r="V180" s="58">
        <f t="shared" si="97"/>
        <v>-1.795999999999999E-3</v>
      </c>
    </row>
    <row r="181" spans="1:22">
      <c r="A181" s="139">
        <v>158</v>
      </c>
      <c r="B181" s="135" t="s">
        <v>221</v>
      </c>
      <c r="C181" s="135" t="s">
        <v>84</v>
      </c>
      <c r="D181" s="29">
        <v>740341698.52139699</v>
      </c>
      <c r="E181" s="30">
        <f t="shared" si="93"/>
        <v>1.2943970466945119E-2</v>
      </c>
      <c r="F181" s="33">
        <v>1.4128833118666799</v>
      </c>
      <c r="G181" s="33">
        <v>1.4128833118666799</v>
      </c>
      <c r="H181" s="32">
        <v>44</v>
      </c>
      <c r="I181" s="50">
        <v>2.8884719688259302E-3</v>
      </c>
      <c r="J181" s="50">
        <v>5.0142671132555897E-2</v>
      </c>
      <c r="K181" s="29">
        <v>742335221.48000002</v>
      </c>
      <c r="L181" s="30">
        <f t="shared" si="94"/>
        <v>1.3035102408262361E-2</v>
      </c>
      <c r="M181" s="33">
        <v>1.41668779204986</v>
      </c>
      <c r="N181" s="33">
        <v>1.41668779204986</v>
      </c>
      <c r="O181" s="32">
        <v>44</v>
      </c>
      <c r="P181" s="50">
        <v>2.6927065747220798E-3</v>
      </c>
      <c r="Q181" s="50">
        <v>5.2970397207510803E-2</v>
      </c>
      <c r="R181" s="57">
        <f t="shared" si="95"/>
        <v>2.6927065739839706E-3</v>
      </c>
      <c r="S181" s="57">
        <f t="shared" si="96"/>
        <v>2.6927065747231484E-3</v>
      </c>
      <c r="T181" s="57">
        <f t="shared" si="96"/>
        <v>0</v>
      </c>
      <c r="U181" s="57">
        <f t="shared" si="97"/>
        <v>-1.9576539410385034E-4</v>
      </c>
      <c r="V181" s="58">
        <f t="shared" si="97"/>
        <v>2.827726074954906E-3</v>
      </c>
    </row>
    <row r="182" spans="1:22">
      <c r="A182" s="139">
        <v>159</v>
      </c>
      <c r="B182" s="135" t="s">
        <v>222</v>
      </c>
      <c r="C182" s="136" t="s">
        <v>52</v>
      </c>
      <c r="D182" s="33">
        <v>2341884736.5599999</v>
      </c>
      <c r="E182" s="30">
        <f t="shared" si="93"/>
        <v>4.094499462554059E-2</v>
      </c>
      <c r="F182" s="33">
        <v>2.1034999999999999</v>
      </c>
      <c r="G182" s="33">
        <v>2.1177000000000001</v>
      </c>
      <c r="H182" s="32">
        <v>2281</v>
      </c>
      <c r="I182" s="50">
        <v>3.2000000000000002E-3</v>
      </c>
      <c r="J182" s="50">
        <v>6.3799999999999996E-2</v>
      </c>
      <c r="K182" s="33">
        <v>2333188895.2199998</v>
      </c>
      <c r="L182" s="54">
        <f t="shared" si="94"/>
        <v>4.0969841261711722E-2</v>
      </c>
      <c r="M182" s="33">
        <v>2.0956999999999999</v>
      </c>
      <c r="N182" s="33">
        <v>2.1097000000000001</v>
      </c>
      <c r="O182" s="32">
        <v>2281</v>
      </c>
      <c r="P182" s="50">
        <v>-3.7000000000000002E-3</v>
      </c>
      <c r="Q182" s="50">
        <v>5.9900000000000002E-2</v>
      </c>
      <c r="R182" s="57">
        <f t="shared" si="95"/>
        <v>-3.7131807574669515E-3</v>
      </c>
      <c r="S182" s="57">
        <f t="shared" si="96"/>
        <v>-3.7776833356943885E-3</v>
      </c>
      <c r="T182" s="57">
        <f t="shared" si="96"/>
        <v>0</v>
      </c>
      <c r="U182" s="57">
        <f t="shared" si="97"/>
        <v>-6.8999999999999999E-3</v>
      </c>
      <c r="V182" s="58">
        <f t="shared" si="97"/>
        <v>-3.8999999999999937E-3</v>
      </c>
    </row>
    <row r="183" spans="1:22">
      <c r="A183" s="139">
        <v>160</v>
      </c>
      <c r="B183" s="135" t="s">
        <v>223</v>
      </c>
      <c r="C183" s="136" t="s">
        <v>52</v>
      </c>
      <c r="D183" s="33">
        <v>1339738537.01</v>
      </c>
      <c r="E183" s="30">
        <f t="shared" si="93"/>
        <v>2.3423692183109558E-2</v>
      </c>
      <c r="F183" s="33">
        <v>1.6220000000000001</v>
      </c>
      <c r="G183" s="33">
        <v>1.6315</v>
      </c>
      <c r="H183" s="32">
        <v>887</v>
      </c>
      <c r="I183" s="50">
        <v>2.5000000000000001E-3</v>
      </c>
      <c r="J183" s="50">
        <v>6.7599999999999993E-2</v>
      </c>
      <c r="K183" s="33">
        <v>1329942835.72</v>
      </c>
      <c r="L183" s="54">
        <f t="shared" si="94"/>
        <v>2.3353251414074402E-2</v>
      </c>
      <c r="M183" s="33">
        <v>1.611</v>
      </c>
      <c r="N183" s="33">
        <v>1.6204000000000001</v>
      </c>
      <c r="O183" s="32">
        <v>887</v>
      </c>
      <c r="P183" s="50">
        <v>-6.7999999999999996E-3</v>
      </c>
      <c r="Q183" s="50">
        <v>6.0299999999999999E-2</v>
      </c>
      <c r="R183" s="57">
        <f t="shared" si="95"/>
        <v>-7.3116515046747852E-3</v>
      </c>
      <c r="S183" s="57">
        <f t="shared" si="96"/>
        <v>-6.8035550107262569E-3</v>
      </c>
      <c r="T183" s="57">
        <f t="shared" si="96"/>
        <v>0</v>
      </c>
      <c r="U183" s="57">
        <f t="shared" si="97"/>
        <v>-9.2999999999999992E-3</v>
      </c>
      <c r="V183" s="58">
        <f t="shared" si="97"/>
        <v>-7.299999999999994E-3</v>
      </c>
    </row>
    <row r="184" spans="1:22">
      <c r="A184" s="139">
        <v>161</v>
      </c>
      <c r="B184" s="135" t="s">
        <v>224</v>
      </c>
      <c r="C184" s="136" t="s">
        <v>106</v>
      </c>
      <c r="D184" s="29">
        <v>10437226385.379999</v>
      </c>
      <c r="E184" s="30">
        <f t="shared" si="93"/>
        <v>0.18248215703505249</v>
      </c>
      <c r="F184" s="33">
        <v>566.9</v>
      </c>
      <c r="G184" s="33">
        <v>573.70000000000005</v>
      </c>
      <c r="H184" s="32">
        <v>39</v>
      </c>
      <c r="I184" s="50">
        <v>2.4484253481145135E-3</v>
      </c>
      <c r="J184" s="50">
        <v>9.6054741104973251E-2</v>
      </c>
      <c r="K184" s="29">
        <v>10370710109.84</v>
      </c>
      <c r="L184" s="54">
        <v>5.2058</v>
      </c>
      <c r="M184" s="33">
        <v>563.33000000000004</v>
      </c>
      <c r="N184" s="33">
        <v>570.02</v>
      </c>
      <c r="O184" s="32">
        <v>39</v>
      </c>
      <c r="P184" s="50">
        <v>-6.3730038750803297E-3</v>
      </c>
      <c r="Q184" s="50">
        <v>8.9069579992611114E-2</v>
      </c>
      <c r="R184" s="57">
        <f t="shared" si="95"/>
        <v>-6.3729838832634732E-3</v>
      </c>
      <c r="S184" s="57">
        <f t="shared" si="96"/>
        <v>-6.4145023531463541E-3</v>
      </c>
      <c r="T184" s="57">
        <f t="shared" si="96"/>
        <v>0</v>
      </c>
      <c r="U184" s="57">
        <f t="shared" si="97"/>
        <v>-8.8214292231948432E-3</v>
      </c>
      <c r="V184" s="58">
        <f t="shared" si="97"/>
        <v>-6.9851611123621371E-3</v>
      </c>
    </row>
    <row r="185" spans="1:22">
      <c r="A185" s="36"/>
      <c r="B185" s="37"/>
      <c r="C185" s="38" t="s">
        <v>53</v>
      </c>
      <c r="D185" s="75">
        <f>SUM(D157:D184)</f>
        <v>57195873585.465897</v>
      </c>
      <c r="E185" s="40">
        <f>(D185/$D$217)</f>
        <v>1.2413701957518059E-2</v>
      </c>
      <c r="F185" s="41"/>
      <c r="G185" s="76"/>
      <c r="H185" s="43">
        <f>SUM(H157:H184)</f>
        <v>69591</v>
      </c>
      <c r="I185" s="82"/>
      <c r="J185" s="82"/>
      <c r="K185" s="75">
        <f>SUM(K157:K184)</f>
        <v>56948936665.773132</v>
      </c>
      <c r="L185" s="40">
        <f>(K185/$K$217)</f>
        <v>1.2067959092426099E-2</v>
      </c>
      <c r="M185" s="41"/>
      <c r="N185" s="76"/>
      <c r="O185" s="43">
        <f>SUM(O157:O184)</f>
        <v>69590</v>
      </c>
      <c r="P185" s="82"/>
      <c r="Q185" s="82"/>
      <c r="R185" s="57">
        <f t="shared" ref="R185" si="98">((K185-D185)/D185)</f>
        <v>-4.3173904726496511E-3</v>
      </c>
      <c r="S185" s="57" t="e">
        <f t="shared" ref="S185" si="99">((N185-G185)/G185)</f>
        <v>#DIV/0!</v>
      </c>
      <c r="T185" s="57">
        <f t="shared" ref="T185" si="100">((O185-H185)/H185)</f>
        <v>-1.4369674239484991E-5</v>
      </c>
      <c r="U185" s="57">
        <f t="shared" ref="U185" si="101">P185-I185</f>
        <v>0</v>
      </c>
      <c r="V185" s="58">
        <f t="shared" ref="V185" si="102">Q185-J185</f>
        <v>0</v>
      </c>
    </row>
    <row r="186" spans="1:22" ht="5.25" customHeight="1">
      <c r="A186" s="36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</row>
    <row r="187" spans="1:22" ht="15" customHeight="1">
      <c r="A187" s="181" t="s">
        <v>225</v>
      </c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</row>
    <row r="188" spans="1:22" ht="16.2" customHeight="1">
      <c r="A188" s="138">
        <v>162</v>
      </c>
      <c r="B188" s="135" t="s">
        <v>226</v>
      </c>
      <c r="C188" s="136" t="s">
        <v>23</v>
      </c>
      <c r="D188" s="78">
        <v>1061076180.04</v>
      </c>
      <c r="E188" s="30">
        <f>(D188/$D$191)</f>
        <v>0.15961177261113746</v>
      </c>
      <c r="F188" s="77">
        <v>71.868899999999996</v>
      </c>
      <c r="G188" s="77">
        <v>74.035799999999995</v>
      </c>
      <c r="H188" s="34">
        <v>1715</v>
      </c>
      <c r="I188" s="51">
        <v>-0.40250000000000002</v>
      </c>
      <c r="J188" s="51">
        <v>0.24060000000000001</v>
      </c>
      <c r="K188" s="78">
        <v>1055970432.98</v>
      </c>
      <c r="L188" s="54">
        <f>(K188/$K$191)</f>
        <v>0.16079753589639981</v>
      </c>
      <c r="M188" s="77">
        <v>71.767399999999995</v>
      </c>
      <c r="N188" s="77">
        <v>73.931200000000004</v>
      </c>
      <c r="O188" s="34">
        <v>1720</v>
      </c>
      <c r="P188" s="51">
        <v>-7.3700000000000002E-2</v>
      </c>
      <c r="Q188" s="51">
        <v>0.21279999999999999</v>
      </c>
      <c r="R188" s="57">
        <f>((K188-D188)/D188)</f>
        <v>-4.8118572031345275E-3</v>
      </c>
      <c r="S188" s="57">
        <f t="shared" ref="S188:T191" si="103">((N188-G188)/G188)</f>
        <v>-1.4128300092656621E-3</v>
      </c>
      <c r="T188" s="57">
        <f t="shared" si="103"/>
        <v>2.9154518950437317E-3</v>
      </c>
      <c r="U188" s="57">
        <f t="shared" ref="U188:V191" si="104">P188-I188</f>
        <v>0.32880000000000004</v>
      </c>
      <c r="V188" s="58">
        <f t="shared" si="104"/>
        <v>-2.7800000000000019E-2</v>
      </c>
    </row>
    <row r="189" spans="1:22">
      <c r="A189" s="138">
        <v>163</v>
      </c>
      <c r="B189" s="135" t="s">
        <v>227</v>
      </c>
      <c r="C189" s="136" t="s">
        <v>228</v>
      </c>
      <c r="D189" s="78">
        <v>1042448128.24</v>
      </c>
      <c r="E189" s="30">
        <f>(D189/$D$191)</f>
        <v>0.15680965865926455</v>
      </c>
      <c r="F189" s="77">
        <v>29.729900000000001</v>
      </c>
      <c r="G189" s="77">
        <v>30.0228</v>
      </c>
      <c r="H189" s="32">
        <v>1486</v>
      </c>
      <c r="I189" s="50">
        <v>3.5999999999999999E-3</v>
      </c>
      <c r="J189" s="50">
        <v>0.1168</v>
      </c>
      <c r="K189" s="78">
        <v>1035785389.88</v>
      </c>
      <c r="L189" s="54">
        <f>(K189/$K$191)</f>
        <v>0.15772386537393726</v>
      </c>
      <c r="M189" s="77">
        <v>29.5884</v>
      </c>
      <c r="N189" s="77">
        <v>29.877800000000001</v>
      </c>
      <c r="O189" s="32">
        <v>1486</v>
      </c>
      <c r="P189" s="50">
        <v>-1.5E-3</v>
      </c>
      <c r="Q189" s="50">
        <v>0.1115</v>
      </c>
      <c r="R189" s="57">
        <f>((K189-D189)/D189)</f>
        <v>-6.3914339519693299E-3</v>
      </c>
      <c r="S189" s="57">
        <f t="shared" si="103"/>
        <v>-4.8296627896132127E-3</v>
      </c>
      <c r="T189" s="57">
        <f t="shared" si="103"/>
        <v>0</v>
      </c>
      <c r="U189" s="57">
        <f t="shared" si="104"/>
        <v>-5.1000000000000004E-3</v>
      </c>
      <c r="V189" s="58">
        <f t="shared" si="104"/>
        <v>-5.2999999999999992E-3</v>
      </c>
    </row>
    <row r="190" spans="1:22">
      <c r="A190" s="138">
        <v>164</v>
      </c>
      <c r="B190" s="135" t="s">
        <v>229</v>
      </c>
      <c r="C190" s="136" t="s">
        <v>49</v>
      </c>
      <c r="D190" s="44">
        <v>4544332317.0900002</v>
      </c>
      <c r="E190" s="30">
        <f>(D190/$D$191)</f>
        <v>0.68357856872959799</v>
      </c>
      <c r="F190" s="77">
        <v>3.11</v>
      </c>
      <c r="G190" s="77">
        <v>3.15</v>
      </c>
      <c r="H190" s="32">
        <v>10311</v>
      </c>
      <c r="I190" s="50">
        <v>-3.2000000000000002E-3</v>
      </c>
      <c r="J190" s="50">
        <v>8.6199999999999999E-2</v>
      </c>
      <c r="K190" s="44">
        <v>4475325115.8699999</v>
      </c>
      <c r="L190" s="54">
        <f>(K190/$K$191)</f>
        <v>0.68147859872966299</v>
      </c>
      <c r="M190" s="77">
        <v>3.07</v>
      </c>
      <c r="N190" s="77">
        <v>3.11</v>
      </c>
      <c r="O190" s="32">
        <v>10317</v>
      </c>
      <c r="P190" s="50">
        <v>-1.2699999999999999E-2</v>
      </c>
      <c r="Q190" s="50">
        <v>7.2400000000000006E-2</v>
      </c>
      <c r="R190" s="57">
        <f>((K190-D190)/D190)</f>
        <v>-1.5185333379005518E-2</v>
      </c>
      <c r="S190" s="57">
        <f t="shared" si="103"/>
        <v>-1.2698412698412711E-2</v>
      </c>
      <c r="T190" s="57">
        <f t="shared" si="103"/>
        <v>5.8190282222868783E-4</v>
      </c>
      <c r="U190" s="57">
        <f t="shared" si="104"/>
        <v>-9.4999999999999998E-3</v>
      </c>
      <c r="V190" s="58">
        <f t="shared" si="104"/>
        <v>-1.3799999999999993E-2</v>
      </c>
    </row>
    <row r="191" spans="1:22">
      <c r="A191" s="36"/>
      <c r="B191" s="37"/>
      <c r="C191" s="71" t="s">
        <v>53</v>
      </c>
      <c r="D191" s="75">
        <f>SUM(D188:D190)</f>
        <v>6647856625.3699999</v>
      </c>
      <c r="E191" s="40">
        <f>(D191/$D$217)</f>
        <v>1.4428402895244065E-3</v>
      </c>
      <c r="F191" s="41"/>
      <c r="G191" s="76"/>
      <c r="H191" s="43">
        <f>SUM(H188:H190)</f>
        <v>13512</v>
      </c>
      <c r="I191" s="82"/>
      <c r="J191" s="82"/>
      <c r="K191" s="75">
        <f>SUM(K188:K190)</f>
        <v>6567080938.7299995</v>
      </c>
      <c r="L191" s="40">
        <f>(K191/$K$217)</f>
        <v>1.3916197345415161E-3</v>
      </c>
      <c r="M191" s="41"/>
      <c r="N191" s="76"/>
      <c r="O191" s="43">
        <f>SUM(O188:O190)</f>
        <v>13523</v>
      </c>
      <c r="P191" s="82"/>
      <c r="Q191" s="82"/>
      <c r="R191" s="57">
        <f>((K191-D191)/D191)</f>
        <v>-1.2150636090997917E-2</v>
      </c>
      <c r="S191" s="57" t="e">
        <f t="shared" si="103"/>
        <v>#DIV/0!</v>
      </c>
      <c r="T191" s="57">
        <f t="shared" si="103"/>
        <v>8.140911782119597E-4</v>
      </c>
      <c r="U191" s="57">
        <f t="shared" si="104"/>
        <v>0</v>
      </c>
      <c r="V191" s="58">
        <f t="shared" si="104"/>
        <v>0</v>
      </c>
    </row>
    <row r="192" spans="1:22" ht="6" customHeight="1">
      <c r="A192" s="36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</row>
    <row r="193" spans="1:24" ht="15" customHeight="1">
      <c r="A193" s="182" t="s">
        <v>230</v>
      </c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</row>
    <row r="194" spans="1:24">
      <c r="A194" s="183" t="s">
        <v>231</v>
      </c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</row>
    <row r="195" spans="1:24">
      <c r="A195" s="138">
        <v>165</v>
      </c>
      <c r="B195" s="135" t="s">
        <v>232</v>
      </c>
      <c r="C195" s="136" t="s">
        <v>233</v>
      </c>
      <c r="D195" s="47">
        <v>5367421550.7700005</v>
      </c>
      <c r="E195" s="30">
        <f>(D195/$D$216)</f>
        <v>9.7664301544746604E-2</v>
      </c>
      <c r="F195" s="79">
        <v>2.35</v>
      </c>
      <c r="G195" s="79">
        <v>2.39</v>
      </c>
      <c r="H195" s="46">
        <v>15018</v>
      </c>
      <c r="I195" s="53">
        <v>-1.2999999999999999E-3</v>
      </c>
      <c r="J195" s="53">
        <v>3.6900000000000002E-2</v>
      </c>
      <c r="K195" s="47">
        <v>5373365135.6300001</v>
      </c>
      <c r="L195" s="30">
        <f>(K195/$K$216)</f>
        <v>9.6407621995546228E-2</v>
      </c>
      <c r="M195" s="79">
        <v>2.34</v>
      </c>
      <c r="N195" s="79">
        <v>2.38</v>
      </c>
      <c r="O195" s="46">
        <v>15017</v>
      </c>
      <c r="P195" s="53">
        <v>-1.8E-3</v>
      </c>
      <c r="Q195" s="53">
        <v>3.2800000000000003E-2</v>
      </c>
      <c r="R195" s="57">
        <f>((K195-D195)/D195)</f>
        <v>1.1073445235817189E-3</v>
      </c>
      <c r="S195" s="57">
        <f>((N195-G195)/G195)</f>
        <v>-4.1841004184101386E-3</v>
      </c>
      <c r="T195" s="57">
        <f>((O195-H195)/H195)</f>
        <v>-6.6586762551604735E-5</v>
      </c>
      <c r="U195" s="57">
        <f>P195-I195</f>
        <v>-5.0000000000000001E-4</v>
      </c>
      <c r="V195" s="58">
        <f>Q195-J195</f>
        <v>-4.0999999999999995E-3</v>
      </c>
    </row>
    <row r="196" spans="1:24">
      <c r="A196" s="138">
        <v>166</v>
      </c>
      <c r="B196" s="135" t="s">
        <v>234</v>
      </c>
      <c r="C196" s="136" t="s">
        <v>49</v>
      </c>
      <c r="D196" s="47">
        <v>892285394.55999994</v>
      </c>
      <c r="E196" s="30">
        <f>(D196/$D$216)</f>
        <v>1.6235808761057617E-2</v>
      </c>
      <c r="F196" s="79">
        <v>554.28</v>
      </c>
      <c r="G196" s="79">
        <v>561.20000000000005</v>
      </c>
      <c r="H196" s="46">
        <v>908</v>
      </c>
      <c r="I196" s="53">
        <v>-7.6E-3</v>
      </c>
      <c r="J196" s="53">
        <v>0.112</v>
      </c>
      <c r="K196" s="47">
        <v>918613558.03999996</v>
      </c>
      <c r="L196" s="30">
        <f>(K196/$K$216)</f>
        <v>1.6481543023433621E-2</v>
      </c>
      <c r="M196" s="79">
        <v>552.96</v>
      </c>
      <c r="N196" s="79">
        <v>559.96</v>
      </c>
      <c r="O196" s="46">
        <v>915</v>
      </c>
      <c r="P196" s="53">
        <v>-2.2000000000000001E-3</v>
      </c>
      <c r="Q196" s="53">
        <v>0.1095</v>
      </c>
      <c r="R196" s="57">
        <f>((K196-D196)/D196)</f>
        <v>2.9506437783824595E-2</v>
      </c>
      <c r="S196" s="57">
        <f>((N196-G196)/G196)</f>
        <v>-2.2095509622238221E-3</v>
      </c>
      <c r="T196" s="57">
        <f>((O196-H196)/H196)</f>
        <v>7.709251101321586E-3</v>
      </c>
      <c r="U196" s="57">
        <f>P196-I196</f>
        <v>5.4000000000000003E-3</v>
      </c>
      <c r="V196" s="58">
        <f>Q196-J196</f>
        <v>-2.5000000000000022E-3</v>
      </c>
    </row>
    <row r="197" spans="1:24" ht="6" customHeight="1">
      <c r="A197" s="36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</row>
    <row r="198" spans="1:24" ht="15" customHeight="1">
      <c r="A198" s="183" t="s">
        <v>174</v>
      </c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</row>
    <row r="199" spans="1:24">
      <c r="A199" s="138">
        <v>167</v>
      </c>
      <c r="B199" s="135" t="s">
        <v>294</v>
      </c>
      <c r="C199" s="136" t="s">
        <v>23</v>
      </c>
      <c r="D199" s="29">
        <v>1166754279.78</v>
      </c>
      <c r="E199" s="30">
        <f>(D199/$D$216)</f>
        <v>2.1229978068838373E-2</v>
      </c>
      <c r="F199" s="77">
        <v>1.0468999999999999</v>
      </c>
      <c r="G199" s="77">
        <v>1.0468999999999999</v>
      </c>
      <c r="H199" s="32">
        <v>519</v>
      </c>
      <c r="I199" s="50">
        <v>0.15490000000000001</v>
      </c>
      <c r="J199" s="50">
        <v>0.1668</v>
      </c>
      <c r="K199" s="29">
        <v>1189118129.27</v>
      </c>
      <c r="L199" s="30">
        <f t="shared" ref="L199:L211" si="105">(K199/$K$216)</f>
        <v>2.1334870834396082E-2</v>
      </c>
      <c r="M199" s="77">
        <v>1.0495000000000001</v>
      </c>
      <c r="N199" s="77">
        <v>1.0495000000000001</v>
      </c>
      <c r="O199" s="32">
        <v>530</v>
      </c>
      <c r="P199" s="50">
        <v>0.1295</v>
      </c>
      <c r="Q199" s="50">
        <v>0.16389999999999999</v>
      </c>
      <c r="R199" s="57">
        <f>((K199-D199)/D199)</f>
        <v>1.9167574422111294E-2</v>
      </c>
      <c r="S199" s="57">
        <f>((N199-G199)/G199)</f>
        <v>2.483522781545666E-3</v>
      </c>
      <c r="T199" s="57">
        <f>((O199-H199)/H199)</f>
        <v>2.119460500963391E-2</v>
      </c>
      <c r="U199" s="57">
        <f>P199-I199</f>
        <v>-2.5400000000000006E-2</v>
      </c>
      <c r="V199" s="58">
        <f>Q199-J199</f>
        <v>-2.9000000000000137E-3</v>
      </c>
      <c r="X199" s="83"/>
    </row>
    <row r="200" spans="1:24">
      <c r="A200" s="138">
        <v>168</v>
      </c>
      <c r="B200" s="135" t="s">
        <v>235</v>
      </c>
      <c r="C200" s="136" t="s">
        <v>236</v>
      </c>
      <c r="D200" s="29">
        <v>348020499.83999997</v>
      </c>
      <c r="E200" s="30">
        <f>(D200/$D$216)</f>
        <v>6.3324966594530234E-3</v>
      </c>
      <c r="F200" s="77">
        <v>1063.58</v>
      </c>
      <c r="G200" s="77">
        <v>1063.58</v>
      </c>
      <c r="H200" s="32">
        <v>18</v>
      </c>
      <c r="I200" s="50">
        <v>1.4E-3</v>
      </c>
      <c r="J200" s="50">
        <v>2.29E-2</v>
      </c>
      <c r="K200" s="29">
        <v>348346061.95999998</v>
      </c>
      <c r="L200" s="30">
        <f t="shared" si="105"/>
        <v>6.249941073684236E-3</v>
      </c>
      <c r="M200" s="77">
        <v>1064.57</v>
      </c>
      <c r="N200" s="77">
        <v>1064.57</v>
      </c>
      <c r="O200" s="32">
        <v>18</v>
      </c>
      <c r="P200" s="50">
        <v>1.4E-3</v>
      </c>
      <c r="Q200" s="50">
        <v>2.4299999999999999E-2</v>
      </c>
      <c r="R200" s="57">
        <f>((K200-D200)/D200)</f>
        <v>9.3546822715811194E-4</v>
      </c>
      <c r="S200" s="57">
        <f>((N200-G200)/G200)</f>
        <v>9.3081855619700363E-4</v>
      </c>
      <c r="T200" s="57">
        <f>((O200-H200)/H200)</f>
        <v>0</v>
      </c>
      <c r="U200" s="57">
        <f>P200-I200</f>
        <v>0</v>
      </c>
      <c r="V200" s="58">
        <f>Q200-J200</f>
        <v>1.3999999999999985E-3</v>
      </c>
      <c r="X200" s="83"/>
    </row>
    <row r="201" spans="1:24">
      <c r="A201" s="138">
        <v>169</v>
      </c>
      <c r="B201" s="135" t="s">
        <v>237</v>
      </c>
      <c r="C201" s="136" t="s">
        <v>67</v>
      </c>
      <c r="D201" s="29">
        <v>135834586.16999999</v>
      </c>
      <c r="E201" s="30">
        <f>(D201/$D$216)</f>
        <v>2.4716132054151034E-3</v>
      </c>
      <c r="F201" s="77">
        <v>118.47</v>
      </c>
      <c r="G201" s="77">
        <v>118.47</v>
      </c>
      <c r="H201" s="32">
        <v>75</v>
      </c>
      <c r="I201" s="50">
        <v>1.1999999999999999E-3</v>
      </c>
      <c r="J201" s="50">
        <v>6.4899999999999999E-2</v>
      </c>
      <c r="K201" s="29">
        <v>136212814.00999999</v>
      </c>
      <c r="L201" s="30">
        <f t="shared" si="105"/>
        <v>2.4438974744056857E-3</v>
      </c>
      <c r="M201" s="77">
        <v>118.68</v>
      </c>
      <c r="N201" s="77">
        <v>118.68</v>
      </c>
      <c r="O201" s="32">
        <v>75</v>
      </c>
      <c r="P201" s="50">
        <v>1.8E-3</v>
      </c>
      <c r="Q201" s="50">
        <v>0.1171</v>
      </c>
      <c r="R201" s="57">
        <f t="shared" ref="R201:R217" si="106">((K201-D201)/D201)</f>
        <v>2.7844737534418744E-3</v>
      </c>
      <c r="S201" s="57">
        <f t="shared" ref="S201:S216" si="107">((N201-G201)/G201)</f>
        <v>1.7726006583945973E-3</v>
      </c>
      <c r="T201" s="57">
        <f t="shared" ref="T201:T216" si="108">((O201-H201)/H201)</f>
        <v>0</v>
      </c>
      <c r="U201" s="57">
        <f t="shared" ref="U201:U216" si="109">P201-I201</f>
        <v>6.0000000000000006E-4</v>
      </c>
      <c r="V201" s="58">
        <f t="shared" ref="V201:V216" si="110">Q201-J201</f>
        <v>5.2199999999999996E-2</v>
      </c>
    </row>
    <row r="202" spans="1:24">
      <c r="A202" s="138">
        <v>170</v>
      </c>
      <c r="B202" s="172" t="s">
        <v>238</v>
      </c>
      <c r="C202" s="136" t="s">
        <v>72</v>
      </c>
      <c r="D202" s="44">
        <v>61386706.68</v>
      </c>
      <c r="E202" s="30">
        <f>(D202/$D$216)</f>
        <v>1.1169776354112446E-3</v>
      </c>
      <c r="F202" s="77">
        <v>100.95</v>
      </c>
      <c r="G202" s="77">
        <v>100.95</v>
      </c>
      <c r="H202" s="32">
        <v>15</v>
      </c>
      <c r="I202" s="50">
        <v>1.1999999999999999E-3</v>
      </c>
      <c r="J202" s="50">
        <v>0.04</v>
      </c>
      <c r="K202" s="44">
        <v>61455137.310000002</v>
      </c>
      <c r="L202" s="30">
        <f t="shared" si="105"/>
        <v>1.1026132596463172E-3</v>
      </c>
      <c r="M202" s="77">
        <v>101.07</v>
      </c>
      <c r="N202" s="77">
        <v>101.07</v>
      </c>
      <c r="O202" s="32">
        <v>16</v>
      </c>
      <c r="P202" s="50">
        <v>1.1999999999999999E-3</v>
      </c>
      <c r="Q202" s="50">
        <v>4.1200000000000001E-2</v>
      </c>
      <c r="R202" s="57">
        <f t="shared" si="106"/>
        <v>1.1147467212522352E-3</v>
      </c>
      <c r="S202" s="57">
        <f t="shared" si="107"/>
        <v>1.1887072808319994E-3</v>
      </c>
      <c r="T202" s="57">
        <f t="shared" si="108"/>
        <v>6.6666666666666666E-2</v>
      </c>
      <c r="U202" s="57">
        <f t="shared" si="109"/>
        <v>0</v>
      </c>
      <c r="V202" s="58">
        <f t="shared" si="110"/>
        <v>1.1999999999999997E-3</v>
      </c>
    </row>
    <row r="203" spans="1:24">
      <c r="A203" s="138">
        <v>171</v>
      </c>
      <c r="B203" s="135" t="s">
        <v>239</v>
      </c>
      <c r="C203" s="136" t="s">
        <v>75</v>
      </c>
      <c r="D203" s="44">
        <v>115150225.29000001</v>
      </c>
      <c r="E203" s="30">
        <v>0</v>
      </c>
      <c r="F203" s="77">
        <v>1.0667</v>
      </c>
      <c r="G203" s="77">
        <v>1.0667</v>
      </c>
      <c r="H203" s="32">
        <v>27</v>
      </c>
      <c r="I203" s="50">
        <v>1.5E-3</v>
      </c>
      <c r="J203" s="50">
        <v>0.1221</v>
      </c>
      <c r="K203" s="44">
        <v>115960964.40000001</v>
      </c>
      <c r="L203" s="30">
        <f t="shared" si="105"/>
        <v>2.0805436704802401E-3</v>
      </c>
      <c r="M203" s="77">
        <v>1.069</v>
      </c>
      <c r="N203" s="77">
        <v>1.069</v>
      </c>
      <c r="O203" s="32">
        <v>32</v>
      </c>
      <c r="P203" s="50">
        <v>1.6000000000000001E-3</v>
      </c>
      <c r="Q203" s="50">
        <v>0.12180000000000001</v>
      </c>
      <c r="R203" s="57">
        <f t="shared" ref="R203:R204" si="111">((K203-D203)/D203)</f>
        <v>7.0407079791480571E-3</v>
      </c>
      <c r="S203" s="57">
        <f t="shared" ref="S203:S204" si="112">((N203-G203)/G203)</f>
        <v>2.1561826192931176E-3</v>
      </c>
      <c r="T203" s="57">
        <f t="shared" ref="T203" si="113">((O203-H203)/H203)</f>
        <v>0.18518518518518517</v>
      </c>
      <c r="U203" s="57">
        <f t="shared" ref="U203" si="114">P203-I203</f>
        <v>1.0000000000000005E-4</v>
      </c>
      <c r="V203" s="58">
        <f t="shared" ref="V203" si="115">Q203-J203</f>
        <v>-2.9999999999999472E-4</v>
      </c>
    </row>
    <row r="204" spans="1:24">
      <c r="A204" s="138">
        <v>172</v>
      </c>
      <c r="B204" s="135" t="s">
        <v>240</v>
      </c>
      <c r="C204" s="136" t="s">
        <v>31</v>
      </c>
      <c r="D204" s="29">
        <v>5194272255.1599998</v>
      </c>
      <c r="E204" s="30">
        <f t="shared" ref="E204:E211" si="116">(D204/$D$216)</f>
        <v>9.4513718930960736E-2</v>
      </c>
      <c r="F204" s="77">
        <v>148.56</v>
      </c>
      <c r="G204" s="77">
        <v>148.56</v>
      </c>
      <c r="H204" s="32">
        <v>700</v>
      </c>
      <c r="I204" s="50">
        <v>3.5000000000000001E-3</v>
      </c>
      <c r="J204" s="50">
        <v>3.5499999999999997E-2</v>
      </c>
      <c r="K204" s="29">
        <v>5245659655.6899996</v>
      </c>
      <c r="L204" s="30">
        <f t="shared" si="105"/>
        <v>9.4116361058302678E-2</v>
      </c>
      <c r="M204" s="77">
        <v>148.94999999999999</v>
      </c>
      <c r="N204" s="77">
        <v>148.94999999999999</v>
      </c>
      <c r="O204" s="32">
        <v>700</v>
      </c>
      <c r="P204" s="50">
        <v>2.5999999999999999E-3</v>
      </c>
      <c r="Q204" s="50">
        <v>3.8199999999999998E-2</v>
      </c>
      <c r="R204" s="57">
        <f t="shared" si="111"/>
        <v>9.8930895428038824E-3</v>
      </c>
      <c r="S204" s="57">
        <f t="shared" si="112"/>
        <v>2.6252019386105705E-3</v>
      </c>
      <c r="T204" s="57">
        <f t="shared" si="108"/>
        <v>0</v>
      </c>
      <c r="U204" s="57">
        <f t="shared" si="109"/>
        <v>-9.0000000000000019E-4</v>
      </c>
      <c r="V204" s="58">
        <f t="shared" si="110"/>
        <v>2.700000000000001E-3</v>
      </c>
    </row>
    <row r="205" spans="1:24">
      <c r="A205" s="138">
        <v>173</v>
      </c>
      <c r="B205" s="135" t="s">
        <v>241</v>
      </c>
      <c r="C205" s="136" t="s">
        <v>65</v>
      </c>
      <c r="D205" s="29">
        <v>813910991.69148302</v>
      </c>
      <c r="E205" s="30">
        <f t="shared" si="116"/>
        <v>1.4809727123396382E-2</v>
      </c>
      <c r="F205" s="35">
        <v>1223.9236408474401</v>
      </c>
      <c r="G205" s="35">
        <v>1223.9236408474401</v>
      </c>
      <c r="H205" s="32">
        <v>147</v>
      </c>
      <c r="I205" s="50">
        <v>0.11875855245826963</v>
      </c>
      <c r="J205" s="50">
        <v>0.15554989448067288</v>
      </c>
      <c r="K205" s="29">
        <v>817826303.07563198</v>
      </c>
      <c r="L205" s="30">
        <f t="shared" si="105"/>
        <v>1.4673242389973263E-2</v>
      </c>
      <c r="M205" s="35">
        <v>1226.8414260535999</v>
      </c>
      <c r="N205" s="35">
        <v>1226.8414260535999</v>
      </c>
      <c r="O205" s="32">
        <v>152</v>
      </c>
      <c r="P205" s="50">
        <v>0.12430649437655311</v>
      </c>
      <c r="Q205" s="50">
        <v>0.15315447455802431</v>
      </c>
      <c r="R205" s="57">
        <f t="shared" si="106"/>
        <v>4.8104908572522065E-3</v>
      </c>
      <c r="S205" s="57">
        <f t="shared" si="107"/>
        <v>2.3839601661256762E-3</v>
      </c>
      <c r="T205" s="57">
        <f t="shared" si="108"/>
        <v>3.4013605442176874E-2</v>
      </c>
      <c r="U205" s="57">
        <f t="shared" si="109"/>
        <v>5.5479419182834777E-3</v>
      </c>
      <c r="V205" s="58">
        <f t="shared" si="110"/>
        <v>-2.3954199226485784E-3</v>
      </c>
    </row>
    <row r="206" spans="1:24">
      <c r="A206" s="138">
        <v>174</v>
      </c>
      <c r="B206" s="135" t="s">
        <v>242</v>
      </c>
      <c r="C206" s="136" t="s">
        <v>233</v>
      </c>
      <c r="D206" s="29">
        <v>28458696557.400002</v>
      </c>
      <c r="E206" s="30">
        <f t="shared" si="116"/>
        <v>0.51782754454112667</v>
      </c>
      <c r="F206" s="35">
        <v>1250.6099999999999</v>
      </c>
      <c r="G206" s="35">
        <v>1250.6099999999999</v>
      </c>
      <c r="H206" s="32">
        <v>9774</v>
      </c>
      <c r="I206" s="50">
        <v>1.2999999999999999E-3</v>
      </c>
      <c r="J206" s="50">
        <v>2.41E-2</v>
      </c>
      <c r="K206" s="29">
        <v>29087480518.52</v>
      </c>
      <c r="L206" s="30">
        <f t="shared" si="105"/>
        <v>0.52188056382725356</v>
      </c>
      <c r="M206" s="35">
        <v>1258.6600000000001</v>
      </c>
      <c r="N206" s="35">
        <v>1258.6600000000001</v>
      </c>
      <c r="O206" s="32">
        <v>9915</v>
      </c>
      <c r="P206" s="50">
        <v>3.3E-3</v>
      </c>
      <c r="Q206" s="50">
        <v>2.92E-2</v>
      </c>
      <c r="R206" s="57">
        <f t="shared" si="106"/>
        <v>2.2094615607280817E-2</v>
      </c>
      <c r="S206" s="57">
        <f t="shared" si="107"/>
        <v>6.436858812899451E-3</v>
      </c>
      <c r="T206" s="57">
        <f t="shared" si="108"/>
        <v>1.4426028238182934E-2</v>
      </c>
      <c r="U206" s="57">
        <f t="shared" si="109"/>
        <v>2E-3</v>
      </c>
      <c r="V206" s="58">
        <f t="shared" si="110"/>
        <v>5.1000000000000004E-3</v>
      </c>
    </row>
    <row r="207" spans="1:24">
      <c r="A207" s="138">
        <v>175</v>
      </c>
      <c r="B207" s="135" t="s">
        <v>243</v>
      </c>
      <c r="C207" s="136" t="s">
        <v>244</v>
      </c>
      <c r="D207" s="29">
        <v>507346735.88999999</v>
      </c>
      <c r="E207" s="30">
        <f t="shared" si="116"/>
        <v>9.2315582320146947E-3</v>
      </c>
      <c r="F207" s="79">
        <v>122.47</v>
      </c>
      <c r="G207" s="79">
        <v>123.46</v>
      </c>
      <c r="H207" s="46">
        <v>149</v>
      </c>
      <c r="I207" s="50">
        <v>-1.8E-3</v>
      </c>
      <c r="J207" s="50">
        <v>-4.4000000000000003E-3</v>
      </c>
      <c r="K207" s="29">
        <v>521390589.04000002</v>
      </c>
      <c r="L207" s="30">
        <f t="shared" si="105"/>
        <v>9.3546642655822545E-3</v>
      </c>
      <c r="M207" s="79">
        <v>126.25</v>
      </c>
      <c r="N207" s="79">
        <v>127.28</v>
      </c>
      <c r="O207" s="46">
        <v>148</v>
      </c>
      <c r="P207" s="50">
        <v>3.09E-2</v>
      </c>
      <c r="Q207" s="50">
        <v>2.64E-2</v>
      </c>
      <c r="R207" s="57">
        <f t="shared" si="106"/>
        <v>2.768097665073959E-2</v>
      </c>
      <c r="S207" s="57">
        <f t="shared" si="107"/>
        <v>3.0941195528916311E-2</v>
      </c>
      <c r="T207" s="57">
        <f t="shared" si="108"/>
        <v>-6.7114093959731542E-3</v>
      </c>
      <c r="U207" s="57">
        <f t="shared" si="109"/>
        <v>3.27E-2</v>
      </c>
      <c r="V207" s="58">
        <f t="shared" si="110"/>
        <v>3.0800000000000001E-2</v>
      </c>
    </row>
    <row r="208" spans="1:24">
      <c r="A208" s="138">
        <v>176</v>
      </c>
      <c r="B208" s="135" t="s">
        <v>245</v>
      </c>
      <c r="C208" s="136" t="s">
        <v>244</v>
      </c>
      <c r="D208" s="29">
        <v>158157953.37</v>
      </c>
      <c r="E208" s="30">
        <f t="shared" si="116"/>
        <v>2.8778037840928934E-3</v>
      </c>
      <c r="F208" s="79">
        <v>116.97</v>
      </c>
      <c r="G208" s="79">
        <v>116.97</v>
      </c>
      <c r="H208" s="46">
        <v>72</v>
      </c>
      <c r="I208" s="50">
        <v>4.0000000000000001E-3</v>
      </c>
      <c r="J208" s="50">
        <v>4.7199999999999999E-2</v>
      </c>
      <c r="K208" s="29">
        <v>158245881.16</v>
      </c>
      <c r="L208" s="30">
        <f t="shared" si="105"/>
        <v>2.8392094540652703E-3</v>
      </c>
      <c r="M208" s="79">
        <v>117.43</v>
      </c>
      <c r="N208" s="79">
        <v>117.43</v>
      </c>
      <c r="O208" s="46">
        <v>72</v>
      </c>
      <c r="P208" s="50">
        <v>4.0000000000000001E-3</v>
      </c>
      <c r="Q208" s="50">
        <v>5.1400000000000001E-2</v>
      </c>
      <c r="R208" s="57">
        <f t="shared" si="106"/>
        <v>5.5594921486047839E-4</v>
      </c>
      <c r="S208" s="57">
        <f t="shared" si="107"/>
        <v>3.932632298880123E-3</v>
      </c>
      <c r="T208" s="57">
        <f t="shared" si="108"/>
        <v>0</v>
      </c>
      <c r="U208" s="57">
        <f t="shared" si="109"/>
        <v>0</v>
      </c>
      <c r="V208" s="58">
        <f t="shared" si="110"/>
        <v>4.2000000000000023E-3</v>
      </c>
    </row>
    <row r="209" spans="1:22" ht="13.5" customHeight="1">
      <c r="A209" s="138">
        <v>177</v>
      </c>
      <c r="B209" s="135" t="s">
        <v>246</v>
      </c>
      <c r="C209" s="136" t="s">
        <v>89</v>
      </c>
      <c r="D209" s="29">
        <v>1449020144</v>
      </c>
      <c r="E209" s="30">
        <f t="shared" si="116"/>
        <v>2.6366019316616991E-2</v>
      </c>
      <c r="F209" s="60">
        <v>105.8</v>
      </c>
      <c r="G209" s="60">
        <v>105.8</v>
      </c>
      <c r="H209" s="32">
        <v>617</v>
      </c>
      <c r="I209" s="50">
        <v>2.7000000000000001E-3</v>
      </c>
      <c r="J209" s="50">
        <v>0.1424</v>
      </c>
      <c r="K209" s="29">
        <v>1471365206</v>
      </c>
      <c r="L209" s="30">
        <f t="shared" si="105"/>
        <v>2.6398879848468684E-2</v>
      </c>
      <c r="M209" s="60">
        <v>106.11</v>
      </c>
      <c r="N209" s="60">
        <v>106.11</v>
      </c>
      <c r="O209" s="32">
        <v>617</v>
      </c>
      <c r="P209" s="50">
        <v>2.8999999999999998E-3</v>
      </c>
      <c r="Q209" s="50">
        <v>0.14349999999999999</v>
      </c>
      <c r="R209" s="57">
        <f t="shared" si="106"/>
        <v>1.5420808394227541E-2</v>
      </c>
      <c r="S209" s="57">
        <f t="shared" si="107"/>
        <v>2.9300567107750689E-3</v>
      </c>
      <c r="T209" s="57">
        <f t="shared" si="108"/>
        <v>0</v>
      </c>
      <c r="U209" s="57">
        <f t="shared" si="109"/>
        <v>1.9999999999999966E-4</v>
      </c>
      <c r="V209" s="58">
        <f t="shared" si="110"/>
        <v>1.0999999999999899E-3</v>
      </c>
    </row>
    <row r="210" spans="1:22" ht="15.75" customHeight="1">
      <c r="A210" s="138">
        <v>178</v>
      </c>
      <c r="B210" s="135" t="s">
        <v>247</v>
      </c>
      <c r="C210" s="136" t="s">
        <v>49</v>
      </c>
      <c r="D210" s="29">
        <v>6112371487.6700001</v>
      </c>
      <c r="E210" s="30">
        <f t="shared" si="116"/>
        <v>0.1112192300304185</v>
      </c>
      <c r="F210" s="60">
        <v>135.75</v>
      </c>
      <c r="G210" s="60">
        <v>135.75</v>
      </c>
      <c r="H210" s="32">
        <v>1284</v>
      </c>
      <c r="I210" s="50">
        <v>2.9999999999999997E-4</v>
      </c>
      <c r="J210" s="50">
        <v>1.0800000000000001E-2</v>
      </c>
      <c r="K210" s="29">
        <v>6095737670.1499996</v>
      </c>
      <c r="L210" s="30">
        <f t="shared" si="105"/>
        <v>0.10936825587954964</v>
      </c>
      <c r="M210" s="60">
        <v>135.78</v>
      </c>
      <c r="N210" s="60">
        <v>135.78</v>
      </c>
      <c r="O210" s="32">
        <v>1292</v>
      </c>
      <c r="P210" s="50">
        <v>2.0000000000000001E-4</v>
      </c>
      <c r="Q210" s="50">
        <v>1.0999999999999999E-2</v>
      </c>
      <c r="R210" s="57">
        <f t="shared" si="106"/>
        <v>-2.7213361546421927E-3</v>
      </c>
      <c r="S210" s="57">
        <f t="shared" si="107"/>
        <v>2.2099447513812992E-4</v>
      </c>
      <c r="T210" s="57">
        <f t="shared" si="108"/>
        <v>6.2305295950155761E-3</v>
      </c>
      <c r="U210" s="57">
        <f t="shared" si="109"/>
        <v>-9.9999999999999964E-5</v>
      </c>
      <c r="V210" s="58">
        <f t="shared" si="110"/>
        <v>1.9999999999999879E-4</v>
      </c>
    </row>
    <row r="211" spans="1:22">
      <c r="A211" s="138">
        <v>179</v>
      </c>
      <c r="B211" s="135" t="s">
        <v>248</v>
      </c>
      <c r="C211" s="136" t="s">
        <v>52</v>
      </c>
      <c r="D211" s="29">
        <v>3929803558.4499998</v>
      </c>
      <c r="E211" s="30">
        <f t="shared" si="116"/>
        <v>7.1505753016365844E-2</v>
      </c>
      <c r="F211" s="60">
        <v>1.2403999999999999</v>
      </c>
      <c r="G211" s="60">
        <v>1.2403999999999999</v>
      </c>
      <c r="H211" s="32">
        <v>1413</v>
      </c>
      <c r="I211" s="50">
        <v>0.11559999999999999</v>
      </c>
      <c r="J211" s="50">
        <v>9.3600000000000003E-2</v>
      </c>
      <c r="K211" s="29">
        <v>3939477832.8000002</v>
      </c>
      <c r="L211" s="30">
        <f t="shared" si="105"/>
        <v>7.0681161651577756E-2</v>
      </c>
      <c r="M211" s="60">
        <v>1.2430000000000001</v>
      </c>
      <c r="N211" s="60">
        <v>1.2430000000000001</v>
      </c>
      <c r="O211" s="32">
        <v>1444</v>
      </c>
      <c r="P211" s="50">
        <v>0.1154</v>
      </c>
      <c r="Q211" s="50">
        <v>9.5500000000000002E-2</v>
      </c>
      <c r="R211" s="57">
        <f t="shared" si="106"/>
        <v>2.4617704692130021E-3</v>
      </c>
      <c r="S211" s="57">
        <f t="shared" si="107"/>
        <v>2.0960980328927426E-3</v>
      </c>
      <c r="T211" s="57">
        <f t="shared" si="108"/>
        <v>2.1939136588818117E-2</v>
      </c>
      <c r="U211" s="57">
        <f t="shared" si="109"/>
        <v>-1.9999999999999185E-4</v>
      </c>
      <c r="V211" s="58">
        <f t="shared" si="110"/>
        <v>1.8999999999999989E-3</v>
      </c>
    </row>
    <row r="212" spans="1:22" ht="6" customHeight="1">
      <c r="A212" s="36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</row>
    <row r="213" spans="1:22">
      <c r="A213" s="183" t="s">
        <v>249</v>
      </c>
      <c r="B213" s="183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</row>
    <row r="214" spans="1:22">
      <c r="A214" s="173">
        <v>180</v>
      </c>
      <c r="B214" s="135" t="s">
        <v>250</v>
      </c>
      <c r="C214" s="136" t="s">
        <v>233</v>
      </c>
      <c r="D214" s="29">
        <v>200413531.91999999</v>
      </c>
      <c r="E214" s="30">
        <f t="shared" ref="E214" si="117">(D214/$D$216)</f>
        <v>3.6466760491869017E-3</v>
      </c>
      <c r="F214" s="35">
        <v>1044.96</v>
      </c>
      <c r="G214" s="35">
        <v>1044.96</v>
      </c>
      <c r="H214" s="32">
        <v>96</v>
      </c>
      <c r="I214" s="50">
        <v>4.1000000000000003E-3</v>
      </c>
      <c r="J214" s="50">
        <v>-0.15820000000000001</v>
      </c>
      <c r="K214" s="29">
        <v>208501110.08000001</v>
      </c>
      <c r="L214" s="30">
        <f t="shared" ref="L214" si="118">(K214/$K$216)</f>
        <v>3.740876657154188E-3</v>
      </c>
      <c r="M214" s="35">
        <v>1085.56</v>
      </c>
      <c r="N214" s="35">
        <v>1085.56</v>
      </c>
      <c r="O214" s="32">
        <v>96</v>
      </c>
      <c r="P214" s="50">
        <v>3.6999999999999998E-2</v>
      </c>
      <c r="Q214" s="50">
        <v>-7.17E-2</v>
      </c>
      <c r="R214" s="57">
        <f t="shared" ref="R214" si="119">((K214-D214)/D214)</f>
        <v>4.0354451530889554E-2</v>
      </c>
      <c r="S214" s="57">
        <f t="shared" ref="S214" si="120">((N214-G214)/G214)</f>
        <v>3.8853161843515456E-2</v>
      </c>
      <c r="T214" s="57">
        <f t="shared" ref="T214" si="121">((O214-H214)/H214)</f>
        <v>0</v>
      </c>
      <c r="U214" s="57">
        <f t="shared" ref="U214" si="122">P214-I214</f>
        <v>3.2899999999999999E-2</v>
      </c>
      <c r="V214" s="58">
        <f t="shared" ref="V214" si="123">Q214-J214</f>
        <v>8.6500000000000007E-2</v>
      </c>
    </row>
    <row r="215" spans="1:22">
      <c r="A215" s="173">
        <v>181</v>
      </c>
      <c r="B215" s="135" t="s">
        <v>295</v>
      </c>
      <c r="C215" s="136" t="s">
        <v>296</v>
      </c>
      <c r="D215" s="29">
        <v>47019065.137671202</v>
      </c>
      <c r="E215" s="30">
        <f t="shared" ref="E215" si="124">(D215/$D$216)</f>
        <v>8.5554751243617727E-4</v>
      </c>
      <c r="F215" s="35">
        <v>101.75</v>
      </c>
      <c r="G215" s="35">
        <v>103.84856000000001</v>
      </c>
      <c r="H215" s="32">
        <v>149</v>
      </c>
      <c r="I215" s="50">
        <v>1.41E-2</v>
      </c>
      <c r="J215" s="50">
        <v>1.3100000000000001E-2</v>
      </c>
      <c r="K215" s="29">
        <v>47138836.219862998</v>
      </c>
      <c r="L215" s="30">
        <f t="shared" ref="L215" si="125">(K215/$K$216)</f>
        <v>8.4575363648011056E-4</v>
      </c>
      <c r="M215" s="35">
        <v>100.27</v>
      </c>
      <c r="N215" s="35">
        <v>102.33326</v>
      </c>
      <c r="O215" s="32">
        <v>150</v>
      </c>
      <c r="P215" s="50">
        <v>1.6199999999999999E-2</v>
      </c>
      <c r="Q215" s="50">
        <v>1.29E-2</v>
      </c>
      <c r="R215" s="57">
        <f t="shared" ref="R215" si="126">((K215-D215)/D215)</f>
        <v>2.5472876128248608E-3</v>
      </c>
      <c r="S215" s="57">
        <f t="shared" ref="S215" si="127">((N215-G215)/G215)</f>
        <v>-1.4591439688716054E-2</v>
      </c>
      <c r="T215" s="57">
        <f t="shared" ref="T215" si="128">((O215-H215)/H215)</f>
        <v>6.7114093959731542E-3</v>
      </c>
      <c r="U215" s="57">
        <f t="shared" ref="U215" si="129">P215-I215</f>
        <v>2.0999999999999994E-3</v>
      </c>
      <c r="V215" s="58">
        <f t="shared" ref="V215" si="130">Q215-J215</f>
        <v>-2.0000000000000052E-4</v>
      </c>
    </row>
    <row r="216" spans="1:22">
      <c r="A216" s="36"/>
      <c r="B216" s="37"/>
      <c r="C216" s="71" t="s">
        <v>53</v>
      </c>
      <c r="D216" s="48">
        <f>SUM(D195:D215)</f>
        <v>54957865523.779152</v>
      </c>
      <c r="E216" s="40">
        <f>(D216/$D$217)</f>
        <v>1.1927968226835752E-2</v>
      </c>
      <c r="F216" s="41"/>
      <c r="G216" s="74"/>
      <c r="H216" s="84">
        <f>SUM(H195:H215)</f>
        <v>30981</v>
      </c>
      <c r="I216" s="81"/>
      <c r="J216" s="81"/>
      <c r="K216" s="48">
        <f>SUM(K195:K215)</f>
        <v>55735895403.355507</v>
      </c>
      <c r="L216" s="40">
        <f>(K216/$K$217)</f>
        <v>1.1810905437180611E-2</v>
      </c>
      <c r="M216" s="41"/>
      <c r="N216" s="74"/>
      <c r="O216" s="43">
        <f>SUM(O195:O215)</f>
        <v>31189</v>
      </c>
      <c r="P216" s="81"/>
      <c r="Q216" s="81"/>
      <c r="R216" s="57">
        <f t="shared" si="106"/>
        <v>1.4156843104463678E-2</v>
      </c>
      <c r="S216" s="57" t="e">
        <f t="shared" si="107"/>
        <v>#DIV/0!</v>
      </c>
      <c r="T216" s="57">
        <f t="shared" si="108"/>
        <v>6.7137923243278134E-3</v>
      </c>
      <c r="U216" s="57">
        <f t="shared" si="109"/>
        <v>0</v>
      </c>
      <c r="V216" s="58">
        <f t="shared" si="110"/>
        <v>0</v>
      </c>
    </row>
    <row r="217" spans="1:22">
      <c r="A217" s="85"/>
      <c r="B217" s="85"/>
      <c r="C217" s="86" t="s">
        <v>251</v>
      </c>
      <c r="D217" s="87">
        <f>SUM(D25,D68,D108,D146,D154,D185,D191,D216)</f>
        <v>4607479201707.9639</v>
      </c>
      <c r="E217" s="88"/>
      <c r="F217" s="88"/>
      <c r="G217" s="89"/>
      <c r="H217" s="87">
        <f>SUM(H25,H68,H108,H146,H154,H185,H191,H216)</f>
        <v>849828</v>
      </c>
      <c r="I217" s="111"/>
      <c r="J217" s="111"/>
      <c r="K217" s="87">
        <f>SUM(K25,K68,K108,K146,K154,K185,K191,K216)</f>
        <v>4719019697499.1836</v>
      </c>
      <c r="L217" s="88"/>
      <c r="M217" s="88"/>
      <c r="N217" s="89"/>
      <c r="O217" s="87">
        <f>SUM(O25,O68,O108,O146,O154,O185,O191,O216)</f>
        <v>853890</v>
      </c>
      <c r="P217" s="112"/>
      <c r="Q217" s="87"/>
      <c r="R217" s="118">
        <f t="shared" si="106"/>
        <v>2.4208572824348802E-2</v>
      </c>
      <c r="S217" s="118"/>
      <c r="T217" s="118"/>
      <c r="U217" s="118"/>
      <c r="V217" s="118"/>
    </row>
    <row r="218" spans="1:22" ht="6.75" customHeight="1">
      <c r="A218" s="36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37"/>
    </row>
    <row r="219" spans="1:22" ht="14.4" customHeight="1">
      <c r="A219" s="182" t="s">
        <v>252</v>
      </c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</row>
    <row r="220" spans="1:22" ht="14.4" customHeight="1">
      <c r="A220" s="138">
        <v>1</v>
      </c>
      <c r="B220" s="135" t="s">
        <v>253</v>
      </c>
      <c r="C220" s="136" t="s">
        <v>189</v>
      </c>
      <c r="D220" s="29">
        <v>3961911180.243207</v>
      </c>
      <c r="E220" s="30">
        <f t="shared" ref="E220" si="131">(D220/$D$216)</f>
        <v>7.2089975520045785E-2</v>
      </c>
      <c r="F220" s="35">
        <v>123.2</v>
      </c>
      <c r="G220" s="35">
        <v>123.2</v>
      </c>
      <c r="H220" s="32">
        <v>9</v>
      </c>
      <c r="I220" s="50">
        <v>0.32956049740934679</v>
      </c>
      <c r="J220" s="50">
        <v>0.24772266579451746</v>
      </c>
      <c r="K220" s="29">
        <v>3987281325.2128215</v>
      </c>
      <c r="L220" s="30">
        <f>(K220/$K$222)</f>
        <v>0.26000701583286684</v>
      </c>
      <c r="M220" s="35">
        <v>123.2</v>
      </c>
      <c r="N220" s="35">
        <v>123.2</v>
      </c>
      <c r="O220" s="32">
        <v>9</v>
      </c>
      <c r="P220" s="50">
        <v>0.32746358050943702</v>
      </c>
      <c r="Q220" s="50">
        <v>0.24799072547225759</v>
      </c>
      <c r="R220" s="57">
        <f t="shared" ref="R220" si="132">((K220-D220)/D220)</f>
        <v>6.4035117940370199E-3</v>
      </c>
      <c r="S220" s="57">
        <f t="shared" ref="S220" si="133">((N220-G220)/G220)</f>
        <v>0</v>
      </c>
      <c r="T220" s="57">
        <f t="shared" ref="T220" si="134">((O220-H220)/H220)</f>
        <v>0</v>
      </c>
      <c r="U220" s="57">
        <f t="shared" ref="U220" si="135">P220-I220</f>
        <v>-2.096916899909762E-3</v>
      </c>
      <c r="V220" s="58">
        <f t="shared" ref="V220" si="136">Q220-J220</f>
        <v>2.6805967774012895E-4</v>
      </c>
    </row>
    <row r="221" spans="1:22" ht="14.4" customHeight="1">
      <c r="A221" s="138">
        <v>2</v>
      </c>
      <c r="B221" s="135" t="s">
        <v>302</v>
      </c>
      <c r="C221" s="136" t="s">
        <v>41</v>
      </c>
      <c r="D221" s="29">
        <v>11421020274.57</v>
      </c>
      <c r="E221" s="30">
        <f t="shared" ref="E221" si="137">(D221/$D$216)</f>
        <v>0.20781411660953891</v>
      </c>
      <c r="F221" s="35">
        <v>1.1000000000000001</v>
      </c>
      <c r="G221" s="35">
        <v>1.1000000000000001</v>
      </c>
      <c r="H221" s="32">
        <v>16</v>
      </c>
      <c r="I221" s="50">
        <v>1.21E-2</v>
      </c>
      <c r="J221" s="50">
        <v>0.2586</v>
      </c>
      <c r="K221" s="29">
        <v>11348002272.58</v>
      </c>
      <c r="L221" s="30">
        <f>(K221/$K$222)</f>
        <v>0.73999298416713311</v>
      </c>
      <c r="M221" s="35">
        <v>1.0900000000000001</v>
      </c>
      <c r="N221" s="35">
        <v>1.0900000000000001</v>
      </c>
      <c r="O221" s="32">
        <v>16</v>
      </c>
      <c r="P221" s="50">
        <v>-6.4000000000000003E-3</v>
      </c>
      <c r="Q221" s="50">
        <v>0.20530000000000001</v>
      </c>
      <c r="R221" s="57">
        <f t="shared" ref="R221:R222" si="138">((K221-D221)/D221)</f>
        <v>-6.3932993931007523E-3</v>
      </c>
      <c r="S221" s="57">
        <f t="shared" ref="S221" si="139">((N221-G221)/G221)</f>
        <v>-9.0909090909090974E-3</v>
      </c>
      <c r="T221" s="57">
        <f t="shared" ref="T221" si="140">((O221-H221)/H221)</f>
        <v>0</v>
      </c>
      <c r="U221" s="57">
        <f t="shared" ref="U221" si="141">P221-I221</f>
        <v>-1.8499999999999999E-2</v>
      </c>
      <c r="V221" s="58">
        <f t="shared" ref="V221" si="142">Q221-J221</f>
        <v>-5.3299999999999986E-2</v>
      </c>
    </row>
    <row r="222" spans="1:22" ht="14.4" customHeight="1">
      <c r="A222" s="90"/>
      <c r="B222" s="90"/>
      <c r="C222" s="90" t="s">
        <v>53</v>
      </c>
      <c r="D222" s="90">
        <f>SUM(D220:D221)</f>
        <v>15382931454.813206</v>
      </c>
      <c r="E222" s="90"/>
      <c r="F222" s="90"/>
      <c r="G222" s="90"/>
      <c r="H222" s="90">
        <f>SUM(H220:H221)</f>
        <v>25</v>
      </c>
      <c r="I222" s="90"/>
      <c r="J222" s="90"/>
      <c r="K222" s="90">
        <f>SUM(K220:K221)</f>
        <v>15335283597.792822</v>
      </c>
      <c r="L222" s="40"/>
      <c r="M222" s="90"/>
      <c r="N222" s="90"/>
      <c r="O222" s="90">
        <f>SUM(O220:O221)</f>
        <v>25</v>
      </c>
      <c r="P222" s="90"/>
      <c r="Q222" s="90"/>
      <c r="R222" s="118">
        <f t="shared" si="138"/>
        <v>-3.0974497390401602E-3</v>
      </c>
      <c r="S222" s="90"/>
      <c r="T222" s="90"/>
      <c r="U222" s="90"/>
      <c r="V222" s="90"/>
    </row>
    <row r="223" spans="1:22" ht="6" customHeight="1">
      <c r="A223" s="36"/>
      <c r="B223" s="141"/>
      <c r="C223" s="7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37"/>
    </row>
    <row r="224" spans="1:22" ht="15.6">
      <c r="A224" s="182" t="s">
        <v>254</v>
      </c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</row>
    <row r="225" spans="1:22">
      <c r="A225" s="138">
        <v>1</v>
      </c>
      <c r="B225" s="135" t="s">
        <v>255</v>
      </c>
      <c r="C225" s="136" t="s">
        <v>256</v>
      </c>
      <c r="D225" s="29">
        <v>117431274879</v>
      </c>
      <c r="E225" s="30">
        <f>(D225/$D$227)</f>
        <v>0.89770917687405938</v>
      </c>
      <c r="F225" s="60">
        <v>111.28</v>
      </c>
      <c r="G225" s="60">
        <v>111.28</v>
      </c>
      <c r="H225" s="32">
        <v>0</v>
      </c>
      <c r="I225" s="50">
        <v>0.23899999999999999</v>
      </c>
      <c r="J225" s="50">
        <v>0.23899999999999999</v>
      </c>
      <c r="K225" s="29">
        <v>117431274879</v>
      </c>
      <c r="L225" s="30">
        <f>(K225/$K$227)</f>
        <v>0.89731748125689148</v>
      </c>
      <c r="M225" s="60">
        <v>111.28</v>
      </c>
      <c r="N225" s="60">
        <v>111.28</v>
      </c>
      <c r="O225" s="32">
        <v>0</v>
      </c>
      <c r="P225" s="50">
        <v>0.23899999999999999</v>
      </c>
      <c r="Q225" s="50">
        <v>0.23899999999999999</v>
      </c>
      <c r="R225" s="57">
        <f>((K225-D225)/D225)</f>
        <v>0</v>
      </c>
      <c r="S225" s="57">
        <f>((N225-G225)/G225)</f>
        <v>0</v>
      </c>
      <c r="T225" s="57" t="e">
        <f>((O225-H225)/H225)</f>
        <v>#DIV/0!</v>
      </c>
      <c r="U225" s="57">
        <f>P225-I225</f>
        <v>0</v>
      </c>
      <c r="V225" s="58">
        <f>Q225-J225</f>
        <v>0</v>
      </c>
    </row>
    <row r="226" spans="1:22">
      <c r="A226" s="138">
        <v>2</v>
      </c>
      <c r="B226" s="135" t="s">
        <v>257</v>
      </c>
      <c r="C226" s="136" t="s">
        <v>52</v>
      </c>
      <c r="D226" s="29">
        <v>13380883339</v>
      </c>
      <c r="E226" s="30">
        <f>(D226/$D$227)</f>
        <v>0.10229082312594064</v>
      </c>
      <c r="F226" s="91">
        <v>1000000</v>
      </c>
      <c r="G226" s="91">
        <v>1000000</v>
      </c>
      <c r="H226" s="32">
        <v>26</v>
      </c>
      <c r="I226" s="50">
        <v>0.26819999999999999</v>
      </c>
      <c r="J226" s="50">
        <v>0.26819999999999999</v>
      </c>
      <c r="K226" s="29">
        <v>13437985256.790001</v>
      </c>
      <c r="L226" s="30">
        <f>(K226/$K$227)</f>
        <v>0.10268251874310851</v>
      </c>
      <c r="M226" s="91">
        <v>1000000</v>
      </c>
      <c r="N226" s="91">
        <v>1000000</v>
      </c>
      <c r="O226" s="32">
        <v>26</v>
      </c>
      <c r="P226" s="50">
        <v>0.2641</v>
      </c>
      <c r="Q226" s="50">
        <v>0.2641</v>
      </c>
      <c r="R226" s="57">
        <f>((K226-D226)/D226)</f>
        <v>4.2674251275751978E-3</v>
      </c>
      <c r="S226" s="57">
        <f>((N226-G226)/G226)</f>
        <v>0</v>
      </c>
      <c r="T226" s="57">
        <f>((O226-H226)/H226)</f>
        <v>0</v>
      </c>
      <c r="U226" s="57">
        <f>P226-I226</f>
        <v>-4.0999999999999925E-3</v>
      </c>
      <c r="V226" s="58">
        <f>Q226-J226</f>
        <v>-4.0999999999999925E-3</v>
      </c>
    </row>
    <row r="227" spans="1:22">
      <c r="A227" s="85"/>
      <c r="B227" s="85"/>
      <c r="C227" s="86" t="s">
        <v>258</v>
      </c>
      <c r="D227" s="90">
        <f>SUM(D225:D226)</f>
        <v>130812158218</v>
      </c>
      <c r="E227" s="92"/>
      <c r="F227" s="93"/>
      <c r="G227" s="93"/>
      <c r="H227" s="90">
        <f>SUM(H225:H226)</f>
        <v>26</v>
      </c>
      <c r="I227" s="113"/>
      <c r="J227" s="113"/>
      <c r="K227" s="90">
        <f>SUM(K225:K226)</f>
        <v>130869260135.79001</v>
      </c>
      <c r="L227" s="92"/>
      <c r="M227" s="93"/>
      <c r="N227" s="93"/>
      <c r="O227" s="90">
        <f>SUM(O225:O226)</f>
        <v>26</v>
      </c>
      <c r="P227" s="113"/>
      <c r="Q227" s="90"/>
      <c r="R227" s="118">
        <f>((K227-D227)/D227)</f>
        <v>4.3651842892804754E-4</v>
      </c>
      <c r="S227" s="119"/>
      <c r="T227" s="119"/>
      <c r="U227" s="118"/>
      <c r="V227" s="120"/>
    </row>
    <row r="228" spans="1:22" ht="4.5" customHeight="1">
      <c r="A228" s="36"/>
      <c r="B228" s="184"/>
      <c r="C228" s="184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</row>
    <row r="229" spans="1:22" ht="15.6">
      <c r="A229" s="182" t="s">
        <v>259</v>
      </c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</row>
    <row r="230" spans="1:22">
      <c r="A230" s="138">
        <v>1</v>
      </c>
      <c r="B230" s="135" t="s">
        <v>260</v>
      </c>
      <c r="C230" s="136" t="s">
        <v>82</v>
      </c>
      <c r="D230" s="94">
        <v>996654869.83979166</v>
      </c>
      <c r="E230" s="95">
        <f t="shared" ref="E230:E241" si="143">(D230/$D$242)</f>
        <v>7.5360256752653301E-2</v>
      </c>
      <c r="F230" s="91">
        <v>234.8662353811221</v>
      </c>
      <c r="G230" s="91">
        <v>238.62186162601628</v>
      </c>
      <c r="H230" s="96">
        <v>61</v>
      </c>
      <c r="I230" s="52">
        <v>-2.0280070101884595E-3</v>
      </c>
      <c r="J230" s="52">
        <v>2.409625613116817E-2</v>
      </c>
      <c r="K230" s="94">
        <v>988796803.48979151</v>
      </c>
      <c r="L230" s="95">
        <f t="shared" ref="L230:L241" si="144">(K230/$K$242)</f>
        <v>7.5388872723391995E-2</v>
      </c>
      <c r="M230" s="91">
        <v>233.01444644510227</v>
      </c>
      <c r="N230" s="91">
        <v>236.77007268999645</v>
      </c>
      <c r="O230" s="96">
        <v>61</v>
      </c>
      <c r="P230" s="52">
        <v>-7.8844408308197389E-3</v>
      </c>
      <c r="Q230" s="52">
        <v>1.6021829794637954E-2</v>
      </c>
      <c r="R230" s="57">
        <f>((K230-D230)/D230)</f>
        <v>-7.8844408308196955E-3</v>
      </c>
      <c r="S230" s="57">
        <f>((N230-G230)/G230)</f>
        <v>-7.7603490451435414E-3</v>
      </c>
      <c r="T230" s="57">
        <f>((O230-H230)/H230)</f>
        <v>0</v>
      </c>
      <c r="U230" s="57">
        <f>P230-I230</f>
        <v>-5.8564338206312794E-3</v>
      </c>
      <c r="V230" s="58">
        <f>Q230-J230</f>
        <v>-8.074426336530216E-3</v>
      </c>
    </row>
    <row r="231" spans="1:22">
      <c r="A231" s="138">
        <v>2</v>
      </c>
      <c r="B231" s="135" t="s">
        <v>261</v>
      </c>
      <c r="C231" s="136" t="s">
        <v>233</v>
      </c>
      <c r="D231" s="94">
        <v>1176283036.6600001</v>
      </c>
      <c r="E231" s="95">
        <f t="shared" si="143"/>
        <v>8.8942515949114509E-2</v>
      </c>
      <c r="F231" s="91">
        <v>33.46</v>
      </c>
      <c r="G231" s="91">
        <v>36.979999999999997</v>
      </c>
      <c r="H231" s="96">
        <v>220</v>
      </c>
      <c r="I231" s="52">
        <v>-9.4000000000000004E-3</v>
      </c>
      <c r="J231" s="52">
        <v>9.0999999999999998E-2</v>
      </c>
      <c r="K231" s="94">
        <v>1159366325.6400001</v>
      </c>
      <c r="L231" s="95">
        <f t="shared" si="144"/>
        <v>8.8393611361793772E-2</v>
      </c>
      <c r="M231" s="91">
        <v>32.979999999999997</v>
      </c>
      <c r="N231" s="91">
        <v>36.450000000000003</v>
      </c>
      <c r="O231" s="96">
        <v>220</v>
      </c>
      <c r="P231" s="52">
        <v>-5.1999999999999998E-3</v>
      </c>
      <c r="Q231" s="52">
        <v>7.5300000000000006E-2</v>
      </c>
      <c r="R231" s="57">
        <f t="shared" ref="R231:R242" si="145">((K231-D231)/D231)</f>
        <v>-1.4381497048562546E-2</v>
      </c>
      <c r="S231" s="57">
        <f t="shared" ref="S231:S242" si="146">((N231-G231)/G231)</f>
        <v>-1.4332071389940347E-2</v>
      </c>
      <c r="T231" s="57">
        <f t="shared" ref="T231:T242" si="147">((O231-H231)/H231)</f>
        <v>0</v>
      </c>
      <c r="U231" s="57">
        <f t="shared" ref="U231:U242" si="148">P231-I231</f>
        <v>4.2000000000000006E-3</v>
      </c>
      <c r="V231" s="58">
        <f t="shared" ref="V231:V242" si="149">Q231-J231</f>
        <v>-1.5699999999999992E-2</v>
      </c>
    </row>
    <row r="232" spans="1:22">
      <c r="A232" s="138">
        <v>3</v>
      </c>
      <c r="B232" s="135" t="s">
        <v>262</v>
      </c>
      <c r="C232" s="136" t="s">
        <v>43</v>
      </c>
      <c r="D232" s="94">
        <v>396662716.60000002</v>
      </c>
      <c r="E232" s="95">
        <f t="shared" si="143"/>
        <v>2.999293443675851E-2</v>
      </c>
      <c r="F232" s="91">
        <v>29.259018999999999</v>
      </c>
      <c r="G232" s="91">
        <v>29.596174000000001</v>
      </c>
      <c r="H232" s="96">
        <v>167</v>
      </c>
      <c r="I232" s="52">
        <v>6.3457244673892355E-4</v>
      </c>
      <c r="J232" s="52">
        <v>2.3132689460580336E-2</v>
      </c>
      <c r="K232" s="94">
        <v>388750651.76999998</v>
      </c>
      <c r="L232" s="95">
        <f t="shared" si="144"/>
        <v>2.9639530896528415E-2</v>
      </c>
      <c r="M232" s="91">
        <v>29.004975999999999</v>
      </c>
      <c r="N232" s="91">
        <v>29.357434000000001</v>
      </c>
      <c r="O232" s="96">
        <v>167</v>
      </c>
      <c r="P232" s="52">
        <v>-8.6825476358474152E-3</v>
      </c>
      <c r="Q232" s="52">
        <v>1.4249291146546161E-2</v>
      </c>
      <c r="R232" s="57">
        <f t="shared" si="145"/>
        <v>-1.9946580555436157E-2</v>
      </c>
      <c r="S232" s="57">
        <f t="shared" si="146"/>
        <v>-8.0665832009231987E-3</v>
      </c>
      <c r="T232" s="57">
        <f t="shared" si="147"/>
        <v>0</v>
      </c>
      <c r="U232" s="57">
        <f t="shared" si="148"/>
        <v>-9.3171200825863387E-3</v>
      </c>
      <c r="V232" s="58">
        <f t="shared" si="149"/>
        <v>-8.8833983140341743E-3</v>
      </c>
    </row>
    <row r="233" spans="1:22">
      <c r="A233" s="138">
        <v>4</v>
      </c>
      <c r="B233" s="135" t="s">
        <v>263</v>
      </c>
      <c r="C233" s="136" t="s">
        <v>43</v>
      </c>
      <c r="D233" s="94">
        <v>881382963.17999995</v>
      </c>
      <c r="E233" s="95">
        <f t="shared" si="143"/>
        <v>6.6644179858706881E-2</v>
      </c>
      <c r="F233" s="91">
        <v>65.629782000000006</v>
      </c>
      <c r="G233" s="91">
        <v>66.139602999999994</v>
      </c>
      <c r="H233" s="96">
        <v>460</v>
      </c>
      <c r="I233" s="52">
        <v>-1.0772319982041534E-2</v>
      </c>
      <c r="J233" s="52">
        <v>-1.0678628293887105E-2</v>
      </c>
      <c r="K233" s="94">
        <v>855539016.01999998</v>
      </c>
      <c r="L233" s="95">
        <f t="shared" si="144"/>
        <v>6.5228894107457219E-2</v>
      </c>
      <c r="M233" s="91">
        <v>64.198361000000006</v>
      </c>
      <c r="N233" s="91">
        <v>64.731042000000002</v>
      </c>
      <c r="O233" s="96">
        <v>460</v>
      </c>
      <c r="P233" s="52">
        <v>-2.1810542374183228E-2</v>
      </c>
      <c r="Q233" s="52">
        <v>-3.2256263993168277E-2</v>
      </c>
      <c r="R233" s="57">
        <f t="shared" si="145"/>
        <v>-2.9322040746914232E-2</v>
      </c>
      <c r="S233" s="57">
        <f t="shared" si="146"/>
        <v>-2.1296786435201189E-2</v>
      </c>
      <c r="T233" s="57">
        <f t="shared" si="147"/>
        <v>0</v>
      </c>
      <c r="U233" s="57">
        <f t="shared" si="148"/>
        <v>-1.1038222392141694E-2</v>
      </c>
      <c r="V233" s="58">
        <f t="shared" si="149"/>
        <v>-2.1577635699281172E-2</v>
      </c>
    </row>
    <row r="234" spans="1:22">
      <c r="A234" s="138">
        <v>5</v>
      </c>
      <c r="B234" s="135" t="s">
        <v>264</v>
      </c>
      <c r="C234" s="136" t="s">
        <v>265</v>
      </c>
      <c r="D234" s="94">
        <v>1430021919.1199999</v>
      </c>
      <c r="E234" s="95">
        <f t="shared" si="143"/>
        <v>0.10812852297017152</v>
      </c>
      <c r="F234" s="91">
        <v>41630</v>
      </c>
      <c r="G234" s="91">
        <v>43840</v>
      </c>
      <c r="H234" s="96">
        <v>225</v>
      </c>
      <c r="I234" s="52">
        <v>2.9000000000000001E-2</v>
      </c>
      <c r="J234" s="52">
        <v>0.14000000000000001</v>
      </c>
      <c r="K234" s="94">
        <v>1459706412.8699999</v>
      </c>
      <c r="L234" s="95">
        <f t="shared" si="144"/>
        <v>0.11129245218531052</v>
      </c>
      <c r="M234" s="91">
        <v>42250</v>
      </c>
      <c r="N234" s="91">
        <v>44200</v>
      </c>
      <c r="O234" s="96">
        <v>228</v>
      </c>
      <c r="P234" s="52">
        <v>2.1000000000000001E-2</v>
      </c>
      <c r="Q234" s="52">
        <v>0.16</v>
      </c>
      <c r="R234" s="57">
        <f t="shared" si="145"/>
        <v>2.0758069056918443E-2</v>
      </c>
      <c r="S234" s="57">
        <f t="shared" si="146"/>
        <v>8.2116788321167887E-3</v>
      </c>
      <c r="T234" s="57">
        <f t="shared" si="147"/>
        <v>1.3333333333333334E-2</v>
      </c>
      <c r="U234" s="57">
        <f t="shared" si="148"/>
        <v>-8.0000000000000002E-3</v>
      </c>
      <c r="V234" s="58">
        <f t="shared" si="149"/>
        <v>1.999999999999999E-2</v>
      </c>
    </row>
    <row r="235" spans="1:22">
      <c r="A235" s="138">
        <v>6</v>
      </c>
      <c r="B235" s="135" t="s">
        <v>266</v>
      </c>
      <c r="C235" s="136" t="s">
        <v>267</v>
      </c>
      <c r="D235" s="94">
        <v>1024360791.14</v>
      </c>
      <c r="E235" s="95">
        <f t="shared" si="143"/>
        <v>7.7455189919525935E-2</v>
      </c>
      <c r="F235" s="91">
        <v>300</v>
      </c>
      <c r="G235" s="91">
        <v>300</v>
      </c>
      <c r="H235" s="96">
        <v>136</v>
      </c>
      <c r="I235" s="52">
        <v>-4.1999999999999997E-3</v>
      </c>
      <c r="J235" s="52">
        <v>5.8999999999999997E-2</v>
      </c>
      <c r="K235" s="94">
        <v>1015912169.33</v>
      </c>
      <c r="L235" s="95">
        <f t="shared" si="144"/>
        <v>7.7456230604162887E-2</v>
      </c>
      <c r="M235" s="91">
        <v>300</v>
      </c>
      <c r="N235" s="91">
        <v>300</v>
      </c>
      <c r="O235" s="96">
        <v>136</v>
      </c>
      <c r="P235" s="52">
        <v>-8.2000000000000007E-3</v>
      </c>
      <c r="Q235" s="52">
        <v>5.04E-2</v>
      </c>
      <c r="R235" s="57">
        <f t="shared" si="145"/>
        <v>-8.2477012816915447E-3</v>
      </c>
      <c r="S235" s="57">
        <f t="shared" si="146"/>
        <v>0</v>
      </c>
      <c r="T235" s="57">
        <f t="shared" si="147"/>
        <v>0</v>
      </c>
      <c r="U235" s="57">
        <f t="shared" si="148"/>
        <v>-4.000000000000001E-3</v>
      </c>
      <c r="V235" s="58">
        <f t="shared" si="149"/>
        <v>-8.5999999999999965E-3</v>
      </c>
    </row>
    <row r="236" spans="1:22">
      <c r="A236" s="138">
        <v>7</v>
      </c>
      <c r="B236" s="135" t="s">
        <v>268</v>
      </c>
      <c r="C236" s="136" t="s">
        <v>267</v>
      </c>
      <c r="D236" s="94">
        <v>865503435.44000006</v>
      </c>
      <c r="E236" s="95">
        <f t="shared" si="143"/>
        <v>6.5443478067333874E-2</v>
      </c>
      <c r="F236" s="91">
        <v>320.95999999999998</v>
      </c>
      <c r="G236" s="91">
        <v>320.95999999999998</v>
      </c>
      <c r="H236" s="96">
        <v>618</v>
      </c>
      <c r="I236" s="52">
        <v>-3.8E-3</v>
      </c>
      <c r="J236" s="52">
        <v>3.39E-2</v>
      </c>
      <c r="K236" s="94">
        <v>857338649.87</v>
      </c>
      <c r="L236" s="95">
        <f t="shared" si="144"/>
        <v>6.5366103660307248E-2</v>
      </c>
      <c r="M236" s="91">
        <v>349.5</v>
      </c>
      <c r="N236" s="91">
        <v>349.5</v>
      </c>
      <c r="O236" s="96">
        <v>618</v>
      </c>
      <c r="P236" s="52">
        <v>-9.4000000000000004E-3</v>
      </c>
      <c r="Q236" s="52">
        <v>2.4199999999999999E-2</v>
      </c>
      <c r="R236" s="57">
        <f t="shared" si="145"/>
        <v>-9.4335680664852373E-3</v>
      </c>
      <c r="S236" s="57">
        <f t="shared" si="146"/>
        <v>8.8920737786640155E-2</v>
      </c>
      <c r="T236" s="57">
        <f t="shared" si="147"/>
        <v>0</v>
      </c>
      <c r="U236" s="57">
        <f t="shared" si="148"/>
        <v>-5.6000000000000008E-3</v>
      </c>
      <c r="V236" s="58">
        <f t="shared" si="149"/>
        <v>-9.7000000000000003E-3</v>
      </c>
    </row>
    <row r="237" spans="1:22">
      <c r="A237" s="138">
        <v>8</v>
      </c>
      <c r="B237" s="135" t="s">
        <v>269</v>
      </c>
      <c r="C237" s="136" t="s">
        <v>270</v>
      </c>
      <c r="D237" s="94">
        <v>63336428.219999999</v>
      </c>
      <c r="E237" s="95">
        <f t="shared" si="143"/>
        <v>4.7890695534578039E-3</v>
      </c>
      <c r="F237" s="91">
        <v>18.04</v>
      </c>
      <c r="G237" s="91">
        <v>18.14</v>
      </c>
      <c r="H237" s="96">
        <v>77</v>
      </c>
      <c r="I237" s="52">
        <v>2.06E-2</v>
      </c>
      <c r="J237" s="52">
        <v>0.15409999999999999</v>
      </c>
      <c r="K237" s="94">
        <v>63129244.950000003</v>
      </c>
      <c r="L237" s="95">
        <f t="shared" si="144"/>
        <v>4.8131654510435743E-3</v>
      </c>
      <c r="M237" s="91">
        <v>18.05</v>
      </c>
      <c r="N237" s="91">
        <v>18.149999999999999</v>
      </c>
      <c r="O237" s="96">
        <v>77</v>
      </c>
      <c r="P237" s="52">
        <v>-1.7600000000000001E-2</v>
      </c>
      <c r="Q237" s="52">
        <v>0.13370000000000001</v>
      </c>
      <c r="R237" s="57">
        <f t="shared" si="145"/>
        <v>-3.2711549391503691E-3</v>
      </c>
      <c r="S237" s="57">
        <f t="shared" si="146"/>
        <v>5.5126791620716703E-4</v>
      </c>
      <c r="T237" s="57">
        <f t="shared" si="147"/>
        <v>0</v>
      </c>
      <c r="U237" s="57">
        <f t="shared" si="148"/>
        <v>-3.8199999999999998E-2</v>
      </c>
      <c r="V237" s="58">
        <f t="shared" si="149"/>
        <v>-2.0399999999999974E-2</v>
      </c>
    </row>
    <row r="238" spans="1:22">
      <c r="A238" s="138">
        <v>9</v>
      </c>
      <c r="B238" s="135" t="s">
        <v>271</v>
      </c>
      <c r="C238" s="136" t="s">
        <v>270</v>
      </c>
      <c r="D238" s="97">
        <v>681097749.58000004</v>
      </c>
      <c r="E238" s="95">
        <f t="shared" si="143"/>
        <v>5.1499975402973644E-2</v>
      </c>
      <c r="F238" s="91">
        <v>11.22</v>
      </c>
      <c r="G238" s="91">
        <v>11.32</v>
      </c>
      <c r="H238" s="96">
        <v>124</v>
      </c>
      <c r="I238" s="52">
        <v>-5.8000000000000003E-2</v>
      </c>
      <c r="J238" s="52">
        <v>0.19270000000000001</v>
      </c>
      <c r="K238" s="97">
        <v>665225896.75</v>
      </c>
      <c r="L238" s="95">
        <f t="shared" si="144"/>
        <v>5.0718843634396736E-2</v>
      </c>
      <c r="M238" s="91">
        <v>10.93</v>
      </c>
      <c r="N238" s="91">
        <v>11.03</v>
      </c>
      <c r="O238" s="96">
        <v>124</v>
      </c>
      <c r="P238" s="52">
        <v>-2.3099999999999999E-2</v>
      </c>
      <c r="Q238" s="52">
        <v>0.1651</v>
      </c>
      <c r="R238" s="57">
        <f t="shared" si="145"/>
        <v>-2.3303340584794833E-2</v>
      </c>
      <c r="S238" s="57">
        <f t="shared" si="146"/>
        <v>-2.5618374558303968E-2</v>
      </c>
      <c r="T238" s="57">
        <f t="shared" si="147"/>
        <v>0</v>
      </c>
      <c r="U238" s="57">
        <f t="shared" si="148"/>
        <v>3.49E-2</v>
      </c>
      <c r="V238" s="58">
        <f t="shared" si="149"/>
        <v>-2.7600000000000013E-2</v>
      </c>
    </row>
    <row r="239" spans="1:22" ht="15" customHeight="1">
      <c r="A239" s="138">
        <v>10</v>
      </c>
      <c r="B239" s="135" t="s">
        <v>272</v>
      </c>
      <c r="C239" s="136" t="s">
        <v>270</v>
      </c>
      <c r="D239" s="94">
        <v>94370346.069999993</v>
      </c>
      <c r="E239" s="95">
        <f t="shared" si="143"/>
        <v>7.1356431648351209E-3</v>
      </c>
      <c r="F239" s="91">
        <v>128.97</v>
      </c>
      <c r="G239" s="91">
        <v>130.97</v>
      </c>
      <c r="H239" s="96">
        <v>300</v>
      </c>
      <c r="I239" s="52">
        <v>0.65690000000000004</v>
      </c>
      <c r="J239" s="52">
        <v>0.51219999999999999</v>
      </c>
      <c r="K239" s="94">
        <v>94871956.489999995</v>
      </c>
      <c r="L239" s="95">
        <f t="shared" si="144"/>
        <v>7.2333262279985046E-3</v>
      </c>
      <c r="M239" s="91">
        <v>129.66</v>
      </c>
      <c r="N239" s="91">
        <v>131.66</v>
      </c>
      <c r="O239" s="96">
        <v>300</v>
      </c>
      <c r="P239" s="52">
        <v>-0.38319999999999999</v>
      </c>
      <c r="Q239" s="52">
        <v>-6.7299999999999999E-2</v>
      </c>
      <c r="R239" s="57">
        <f t="shared" si="145"/>
        <v>5.3153394142258208E-3</v>
      </c>
      <c r="S239" s="57">
        <f t="shared" si="146"/>
        <v>5.2683820722302646E-3</v>
      </c>
      <c r="T239" s="57">
        <f t="shared" si="147"/>
        <v>0</v>
      </c>
      <c r="U239" s="57">
        <f t="shared" si="148"/>
        <v>-1.0401</v>
      </c>
      <c r="V239" s="58">
        <f t="shared" si="149"/>
        <v>-0.57950000000000002</v>
      </c>
    </row>
    <row r="240" spans="1:22">
      <c r="A240" s="138">
        <v>11</v>
      </c>
      <c r="B240" s="135" t="s">
        <v>273</v>
      </c>
      <c r="C240" s="136" t="s">
        <v>270</v>
      </c>
      <c r="D240" s="94">
        <v>5552330035.3500004</v>
      </c>
      <c r="E240" s="95">
        <f t="shared" si="143"/>
        <v>0.41982940103097555</v>
      </c>
      <c r="F240" s="91">
        <v>39.520000000000003</v>
      </c>
      <c r="G240" s="91">
        <v>39.72</v>
      </c>
      <c r="H240" s="96">
        <v>288</v>
      </c>
      <c r="I240" s="52">
        <v>-3.6600000000000001E-2</v>
      </c>
      <c r="J240" s="52">
        <v>5.0500000000000003E-2</v>
      </c>
      <c r="K240" s="94">
        <v>5506122209.8900003</v>
      </c>
      <c r="L240" s="95">
        <f t="shared" si="144"/>
        <v>0.41980348744637164</v>
      </c>
      <c r="M240" s="91">
        <v>39.18</v>
      </c>
      <c r="N240" s="91">
        <v>39.380000000000003</v>
      </c>
      <c r="O240" s="96">
        <v>288</v>
      </c>
      <c r="P240" s="52">
        <v>5.0599999999999999E-2</v>
      </c>
      <c r="Q240" s="52">
        <v>0.1037</v>
      </c>
      <c r="R240" s="57">
        <f t="shared" si="145"/>
        <v>-8.322240422634972E-3</v>
      </c>
      <c r="S240" s="57">
        <f t="shared" si="146"/>
        <v>-8.5599194360522733E-3</v>
      </c>
      <c r="T240" s="57">
        <f t="shared" si="147"/>
        <v>0</v>
      </c>
      <c r="U240" s="57">
        <f t="shared" si="148"/>
        <v>8.72E-2</v>
      </c>
      <c r="V240" s="58">
        <f t="shared" si="149"/>
        <v>5.3199999999999997E-2</v>
      </c>
    </row>
    <row r="241" spans="1:26">
      <c r="A241" s="138">
        <v>12</v>
      </c>
      <c r="B241" s="135" t="s">
        <v>274</v>
      </c>
      <c r="C241" s="136" t="s">
        <v>270</v>
      </c>
      <c r="D241" s="97">
        <v>63201046.289999999</v>
      </c>
      <c r="E241" s="95">
        <f t="shared" si="143"/>
        <v>4.7788328934933472E-3</v>
      </c>
      <c r="F241" s="91">
        <v>36.020000000000003</v>
      </c>
      <c r="G241" s="91">
        <v>36.22</v>
      </c>
      <c r="H241" s="96">
        <v>71</v>
      </c>
      <c r="I241" s="52">
        <v>4.7999999999999996E-3</v>
      </c>
      <c r="J241" s="52">
        <v>8.3999999999999995E-3</v>
      </c>
      <c r="K241" s="97">
        <v>61192232.039999999</v>
      </c>
      <c r="L241" s="95">
        <f t="shared" si="144"/>
        <v>4.6654817012375758E-3</v>
      </c>
      <c r="M241" s="91">
        <v>34.799999999999997</v>
      </c>
      <c r="N241" s="91">
        <v>35</v>
      </c>
      <c r="O241" s="96">
        <v>71</v>
      </c>
      <c r="P241" s="52">
        <v>0</v>
      </c>
      <c r="Q241" s="52">
        <v>8.3999999999999995E-3</v>
      </c>
      <c r="R241" s="57">
        <f t="shared" si="145"/>
        <v>-3.1784509401671809E-2</v>
      </c>
      <c r="S241" s="57">
        <f t="shared" si="146"/>
        <v>-3.368304803975701E-2</v>
      </c>
      <c r="T241" s="57">
        <f t="shared" si="147"/>
        <v>0</v>
      </c>
      <c r="U241" s="57">
        <f t="shared" si="148"/>
        <v>-4.7999999999999996E-3</v>
      </c>
      <c r="V241" s="58">
        <f t="shared" si="149"/>
        <v>0</v>
      </c>
    </row>
    <row r="242" spans="1:26">
      <c r="A242" s="130"/>
      <c r="B242" s="130"/>
      <c r="C242" s="131" t="s">
        <v>275</v>
      </c>
      <c r="D242" s="90">
        <f>SUM(D230:D241)</f>
        <v>13225205337.489792</v>
      </c>
      <c r="E242" s="92"/>
      <c r="F242" s="92"/>
      <c r="G242" s="93"/>
      <c r="H242" s="90">
        <f>SUM(H230:H241)</f>
        <v>2747</v>
      </c>
      <c r="I242" s="113"/>
      <c r="J242" s="113"/>
      <c r="K242" s="90">
        <f>SUM(K230:K241)</f>
        <v>13115951569.109791</v>
      </c>
      <c r="L242" s="92"/>
      <c r="M242" s="92"/>
      <c r="N242" s="93"/>
      <c r="O242" s="90">
        <f>SUM(O230:O241)</f>
        <v>2750</v>
      </c>
      <c r="P242" s="113"/>
      <c r="Q242" s="113"/>
      <c r="R242" s="57">
        <f t="shared" si="145"/>
        <v>-8.2610262443560643E-3</v>
      </c>
      <c r="S242" s="57" t="e">
        <f t="shared" si="146"/>
        <v>#DIV/0!</v>
      </c>
      <c r="T242" s="57">
        <f t="shared" si="147"/>
        <v>1.0921004732435385E-3</v>
      </c>
      <c r="U242" s="57">
        <f t="shared" si="148"/>
        <v>0</v>
      </c>
      <c r="V242" s="58">
        <f t="shared" si="149"/>
        <v>0</v>
      </c>
      <c r="Z242" s="65"/>
    </row>
    <row r="243" spans="1:26">
      <c r="A243" s="98"/>
      <c r="B243" s="98"/>
      <c r="C243" s="99" t="s">
        <v>276</v>
      </c>
      <c r="D243" s="100">
        <f>SUM(D217,D222,D227,D242)</f>
        <v>4766899496718.2676</v>
      </c>
      <c r="E243" s="101"/>
      <c r="F243" s="101"/>
      <c r="G243" s="102"/>
      <c r="H243" s="100">
        <f>SUM(H217,H222,H227,H242)</f>
        <v>852626</v>
      </c>
      <c r="I243" s="114"/>
      <c r="J243" s="114"/>
      <c r="K243" s="100">
        <f>SUM(K217,K222,K227,K242)</f>
        <v>4878340192801.876</v>
      </c>
      <c r="L243" s="101"/>
      <c r="M243" s="101"/>
      <c r="N243" s="100"/>
      <c r="O243" s="100">
        <f>SUM(O217,O222,O227,O242)</f>
        <v>856691</v>
      </c>
      <c r="P243" s="115"/>
      <c r="Q243" s="100"/>
      <c r="R243" s="121"/>
      <c r="S243" s="122"/>
      <c r="T243" s="122"/>
      <c r="U243" s="123"/>
      <c r="V243" s="123"/>
      <c r="Z243" s="65"/>
    </row>
    <row r="244" spans="1:26">
      <c r="A244" s="103" t="s">
        <v>277</v>
      </c>
      <c r="B244" s="128" t="s">
        <v>313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</row>
    <row r="245" spans="1:26">
      <c r="B245" s="127"/>
    </row>
    <row r="246" spans="1:26">
      <c r="B246" s="127"/>
      <c r="C246" s="105"/>
      <c r="D246" s="106"/>
      <c r="K246" s="106"/>
    </row>
    <row r="247" spans="1:26" ht="15">
      <c r="B247" s="107"/>
      <c r="C247" s="108"/>
      <c r="D247" s="109"/>
      <c r="F247" s="110"/>
      <c r="G247" s="110"/>
      <c r="I247" s="116"/>
      <c r="J247" s="117"/>
    </row>
    <row r="250" spans="1:26">
      <c r="B250" s="105"/>
    </row>
  </sheetData>
  <sheetProtection algorithmName="SHA-512" hashValue="zpQ2Cp5W8ZY6r2vBu+1MJOOwKP3hNUqmqpx8qefDggV05kPig/Xw86T4KL2oPlWjkF1pISAjAdbhRvJozs2Qcg==" saltValue="PZo+dNImttyi2BD9I8TBPg==" spinCount="100000" sheet="1" objects="1" scenarios="1"/>
  <sortState ref="A150:C177">
    <sortCondition descending="1" ref="A149"/>
  </sortState>
  <mergeCells count="34">
    <mergeCell ref="A219:V219"/>
    <mergeCell ref="A224:V224"/>
    <mergeCell ref="B228:V228"/>
    <mergeCell ref="A229:V229"/>
    <mergeCell ref="B197:V197"/>
    <mergeCell ref="A198:V198"/>
    <mergeCell ref="B212:V212"/>
    <mergeCell ref="A213:V213"/>
    <mergeCell ref="B218:U218"/>
    <mergeCell ref="B186:V186"/>
    <mergeCell ref="A187:V187"/>
    <mergeCell ref="B192:V192"/>
    <mergeCell ref="A193:V193"/>
    <mergeCell ref="A194:V194"/>
    <mergeCell ref="A130:V130"/>
    <mergeCell ref="B147:V147"/>
    <mergeCell ref="A148:V148"/>
    <mergeCell ref="B155:V155"/>
    <mergeCell ref="A156:V156"/>
    <mergeCell ref="A70:V70"/>
    <mergeCell ref="B109:V109"/>
    <mergeCell ref="A110:V110"/>
    <mergeCell ref="A111:V111"/>
    <mergeCell ref="B129:V129"/>
    <mergeCell ref="B4:V4"/>
    <mergeCell ref="A5:V5"/>
    <mergeCell ref="B26:V26"/>
    <mergeCell ref="A27:V27"/>
    <mergeCell ref="B69:V69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4 E94 E75 L49 E49 L34 E34 L134 E134" formula="1"/>
    <ignoredError sqref="S154 S25 T39 S68 S108 S146 S185 S191 S216 S242 T225:T226 R50:T50 R134 T164 R123:T123 R46:T46" evalError="1"/>
    <ignoredError sqref="P120:Q120 I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workbookViewId="0">
      <selection activeCell="H6" sqref="H6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46"/>
      <c r="B1" s="146"/>
      <c r="C1" s="146"/>
      <c r="D1" s="146"/>
      <c r="E1" s="19"/>
      <c r="F1" s="145"/>
    </row>
    <row r="2" spans="1:6" ht="27.6">
      <c r="A2" s="147" t="s">
        <v>278</v>
      </c>
      <c r="B2" s="148" t="s">
        <v>309</v>
      </c>
      <c r="C2" s="148" t="s">
        <v>315</v>
      </c>
      <c r="D2" s="149"/>
      <c r="E2" s="19"/>
      <c r="F2" s="145"/>
    </row>
    <row r="3" spans="1:6">
      <c r="A3" s="150" t="s">
        <v>17</v>
      </c>
      <c r="B3" s="151">
        <f t="shared" ref="B3:C10" si="0">B13</f>
        <v>37.398821266276308</v>
      </c>
      <c r="C3" s="151">
        <f t="shared" si="0"/>
        <v>36.993931889602301</v>
      </c>
      <c r="D3" s="149"/>
      <c r="E3" s="19"/>
      <c r="F3" s="145"/>
    </row>
    <row r="4" spans="1:6" ht="17.25" customHeight="1">
      <c r="A4" s="147" t="s">
        <v>54</v>
      </c>
      <c r="B4" s="152">
        <f t="shared" si="0"/>
        <v>2332.4516110567911</v>
      </c>
      <c r="C4" s="152">
        <f t="shared" si="0"/>
        <v>2419.9753617804545</v>
      </c>
      <c r="D4" s="149"/>
      <c r="E4" s="19"/>
      <c r="F4" s="145"/>
    </row>
    <row r="5" spans="1:6" ht="19.5" customHeight="1">
      <c r="A5" s="147" t="s">
        <v>279</v>
      </c>
      <c r="B5" s="151">
        <f t="shared" si="0"/>
        <v>195.44623697335143</v>
      </c>
      <c r="C5" s="151">
        <f t="shared" si="0"/>
        <v>198.72886022519842</v>
      </c>
      <c r="D5" s="149"/>
      <c r="E5" s="19"/>
      <c r="F5" s="145"/>
    </row>
    <row r="6" spans="1:6">
      <c r="A6" s="147" t="s">
        <v>157</v>
      </c>
      <c r="B6" s="152">
        <f t="shared" si="0"/>
        <v>1822.1533800108662</v>
      </c>
      <c r="C6" s="152">
        <f t="shared" si="0"/>
        <v>1842.7858776534533</v>
      </c>
      <c r="D6" s="149"/>
      <c r="E6" s="19"/>
      <c r="F6" s="145"/>
    </row>
    <row r="7" spans="1:6">
      <c r="A7" s="147" t="s">
        <v>280</v>
      </c>
      <c r="B7" s="151">
        <f t="shared" si="0"/>
        <v>101.22755666606341</v>
      </c>
      <c r="C7" s="151">
        <f t="shared" si="0"/>
        <v>101.28375294261555</v>
      </c>
      <c r="D7" s="149"/>
      <c r="E7" s="19"/>
      <c r="F7" s="145"/>
    </row>
    <row r="8" spans="1:6">
      <c r="A8" s="147" t="s">
        <v>194</v>
      </c>
      <c r="B8" s="153">
        <f t="shared" si="0"/>
        <v>57.195873585465897</v>
      </c>
      <c r="C8" s="153">
        <f t="shared" si="0"/>
        <v>56.948936665773132</v>
      </c>
      <c r="D8" s="149"/>
      <c r="E8" s="19"/>
      <c r="F8" s="145"/>
    </row>
    <row r="9" spans="1:6">
      <c r="A9" s="147" t="s">
        <v>225</v>
      </c>
      <c r="B9" s="151">
        <f t="shared" si="0"/>
        <v>6.6478566253700002</v>
      </c>
      <c r="C9" s="151">
        <f t="shared" si="0"/>
        <v>6.5670809387299993</v>
      </c>
      <c r="D9" s="149"/>
      <c r="E9" s="19"/>
      <c r="F9" s="145"/>
    </row>
    <row r="10" spans="1:6">
      <c r="A10" s="147" t="s">
        <v>281</v>
      </c>
      <c r="B10" s="151">
        <f t="shared" si="0"/>
        <v>54.957865523779155</v>
      </c>
      <c r="C10" s="151">
        <f t="shared" si="0"/>
        <v>55.735895403355507</v>
      </c>
      <c r="D10" s="149"/>
      <c r="E10" s="19"/>
      <c r="F10" s="145"/>
    </row>
    <row r="11" spans="1:6">
      <c r="A11" s="147"/>
      <c r="B11" s="151"/>
      <c r="C11" s="151"/>
      <c r="D11" s="149"/>
      <c r="E11" s="19"/>
      <c r="F11" s="145"/>
    </row>
    <row r="12" spans="1:6">
      <c r="A12" s="146"/>
      <c r="B12" s="146"/>
      <c r="C12" s="146"/>
      <c r="D12" s="146"/>
      <c r="E12" s="19"/>
      <c r="F12" s="145"/>
    </row>
    <row r="13" spans="1:6">
      <c r="A13" s="154" t="s">
        <v>17</v>
      </c>
      <c r="B13" s="155">
        <f>'Weekly Valuation'!D25/1000000000</f>
        <v>37.398821266276308</v>
      </c>
      <c r="C13" s="156">
        <f>'Weekly Valuation'!K25/1000000000</f>
        <v>36.993931889602301</v>
      </c>
      <c r="D13" s="146"/>
      <c r="E13" s="19"/>
      <c r="F13" s="145"/>
    </row>
    <row r="14" spans="1:6">
      <c r="A14" s="157" t="s">
        <v>54</v>
      </c>
      <c r="B14" s="155">
        <f>'Weekly Valuation'!D68/1000000000</f>
        <v>2332.4516110567911</v>
      </c>
      <c r="C14" s="158">
        <f>'Weekly Valuation'!K68/1000000000</f>
        <v>2419.9753617804545</v>
      </c>
      <c r="D14" s="146"/>
      <c r="E14" s="19"/>
      <c r="F14" s="145"/>
    </row>
    <row r="15" spans="1:6">
      <c r="A15" s="157" t="s">
        <v>279</v>
      </c>
      <c r="B15" s="155">
        <f>'Weekly Valuation'!D108/1000000000</f>
        <v>195.44623697335143</v>
      </c>
      <c r="C15" s="156">
        <f>'Weekly Valuation'!K108/1000000000</f>
        <v>198.72886022519842</v>
      </c>
      <c r="D15" s="146"/>
      <c r="E15" s="19"/>
      <c r="F15" s="145"/>
    </row>
    <row r="16" spans="1:6">
      <c r="A16" s="157" t="s">
        <v>157</v>
      </c>
      <c r="B16" s="155">
        <f>'Weekly Valuation'!D146/1000000000</f>
        <v>1822.1533800108662</v>
      </c>
      <c r="C16" s="158">
        <f>'Weekly Valuation'!K146/1000000000</f>
        <v>1842.7858776534533</v>
      </c>
      <c r="D16" s="146"/>
      <c r="E16" s="19"/>
      <c r="F16" s="145"/>
    </row>
    <row r="17" spans="1:6">
      <c r="A17" s="157" t="s">
        <v>280</v>
      </c>
      <c r="B17" s="155">
        <f>'Weekly Valuation'!D154/1000000000</f>
        <v>101.22755666606341</v>
      </c>
      <c r="C17" s="156">
        <f>'Weekly Valuation'!K154/1000000000</f>
        <v>101.28375294261555</v>
      </c>
      <c r="D17" s="146"/>
      <c r="E17" s="19"/>
      <c r="F17" s="145"/>
    </row>
    <row r="18" spans="1:6">
      <c r="A18" s="157" t="s">
        <v>194</v>
      </c>
      <c r="B18" s="155">
        <f>'Weekly Valuation'!D185/1000000000</f>
        <v>57.195873585465897</v>
      </c>
      <c r="C18" s="159">
        <f>'Weekly Valuation'!K185/1000000000</f>
        <v>56.948936665773132</v>
      </c>
      <c r="D18" s="146"/>
      <c r="E18" s="19"/>
      <c r="F18" s="145"/>
    </row>
    <row r="19" spans="1:6">
      <c r="A19" s="157" t="s">
        <v>225</v>
      </c>
      <c r="B19" s="155">
        <f>'Weekly Valuation'!D191/1000000000</f>
        <v>6.6478566253700002</v>
      </c>
      <c r="C19" s="156">
        <f>'Weekly Valuation'!K191/1000000000</f>
        <v>6.5670809387299993</v>
      </c>
      <c r="D19" s="146"/>
      <c r="E19" s="19"/>
      <c r="F19" s="145"/>
    </row>
    <row r="20" spans="1:6">
      <c r="A20" s="157" t="s">
        <v>281</v>
      </c>
      <c r="B20" s="155">
        <f>'Weekly Valuation'!D216/1000000000</f>
        <v>54.957865523779155</v>
      </c>
      <c r="C20" s="156">
        <f>'Weekly Valuation'!K216/1000000000</f>
        <v>55.735895403355507</v>
      </c>
      <c r="D20" s="146"/>
      <c r="E20" s="19"/>
      <c r="F20" s="145"/>
    </row>
    <row r="21" spans="1:6">
      <c r="A21" s="160"/>
      <c r="B21" s="146"/>
      <c r="C21" s="161"/>
      <c r="D21" s="146"/>
      <c r="E21" s="15"/>
      <c r="F21" s="145"/>
    </row>
    <row r="22" spans="1:6">
      <c r="A22" s="160"/>
      <c r="B22" s="146"/>
      <c r="C22" s="164"/>
      <c r="D22" s="146"/>
      <c r="E22" s="15"/>
      <c r="F22" s="145"/>
    </row>
    <row r="23" spans="1:6">
      <c r="A23" s="133"/>
      <c r="B23" s="134"/>
      <c r="C23" s="165"/>
      <c r="D23" s="19"/>
      <c r="E23" s="15"/>
      <c r="F23" s="145"/>
    </row>
    <row r="24" spans="1:6">
      <c r="A24" s="133"/>
      <c r="B24" s="134"/>
      <c r="C24" s="134"/>
      <c r="D24" s="19"/>
      <c r="E24" s="15"/>
    </row>
    <row r="25" spans="1:6">
      <c r="A25" s="133"/>
      <c r="B25" s="134"/>
      <c r="C25" s="134"/>
      <c r="D25" s="19"/>
      <c r="E25" s="19"/>
    </row>
    <row r="26" spans="1:6">
      <c r="A26" s="21"/>
      <c r="B26" s="22"/>
      <c r="C26" s="22"/>
      <c r="D26" s="15"/>
      <c r="E26" s="15"/>
    </row>
    <row r="27" spans="1:6">
      <c r="A27" s="21"/>
      <c r="B27" s="22"/>
      <c r="C27" s="22"/>
      <c r="D27" s="15"/>
      <c r="E27" s="15"/>
    </row>
    <row r="28" spans="1:6">
      <c r="A28" s="15"/>
      <c r="B28" s="15"/>
      <c r="C28" s="15"/>
      <c r="D28" s="15"/>
      <c r="E28" s="15"/>
    </row>
    <row r="29" spans="1:6">
      <c r="A29" s="15"/>
      <c r="B29" s="15"/>
      <c r="C29" s="15"/>
      <c r="D29" s="15"/>
    </row>
  </sheetData>
  <sheetProtection algorithmName="SHA-512" hashValue="7UZbpRfYkE1tWX9xbVabW89cBXaZmwsiauR+/3fqWjMJILzMJcm860YlyTwKQAzJ4zA/iRRZycXgq66sthBo+g==" saltValue="CL457bbfAgjRBFVqMksT/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2" sqref="I12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62" t="s">
        <v>278</v>
      </c>
      <c r="B1" s="163">
        <v>45737</v>
      </c>
      <c r="C1" s="19"/>
      <c r="D1" s="19"/>
      <c r="E1" s="19"/>
      <c r="F1" s="15"/>
      <c r="G1" s="15"/>
    </row>
    <row r="2" spans="1:7">
      <c r="A2" s="160" t="s">
        <v>225</v>
      </c>
      <c r="B2" s="164">
        <f>'Weekly Valuation'!K191</f>
        <v>6567080938.7299995</v>
      </c>
      <c r="C2" s="19"/>
      <c r="D2" s="19"/>
      <c r="E2" s="19"/>
      <c r="F2" s="15"/>
      <c r="G2" s="15"/>
    </row>
    <row r="3" spans="1:7">
      <c r="A3" s="160" t="s">
        <v>17</v>
      </c>
      <c r="B3" s="164">
        <f>'Weekly Valuation'!K25</f>
        <v>36993931889.602303</v>
      </c>
      <c r="C3" s="19"/>
      <c r="D3" s="19"/>
      <c r="E3" s="19"/>
      <c r="F3" s="15"/>
      <c r="G3" s="15"/>
    </row>
    <row r="4" spans="1:7">
      <c r="A4" s="160" t="s">
        <v>281</v>
      </c>
      <c r="B4" s="165">
        <f>'Weekly Valuation'!K216</f>
        <v>55735895403.355507</v>
      </c>
      <c r="C4" s="19"/>
      <c r="D4" s="19"/>
      <c r="E4" s="19"/>
      <c r="F4" s="15"/>
      <c r="G4" s="15"/>
    </row>
    <row r="5" spans="1:7">
      <c r="A5" s="160" t="s">
        <v>194</v>
      </c>
      <c r="B5" s="164">
        <f>'Weekly Valuation'!K185</f>
        <v>56948936665.773132</v>
      </c>
      <c r="C5" s="19"/>
      <c r="D5" s="19"/>
      <c r="E5" s="19"/>
      <c r="F5" s="15"/>
      <c r="G5" s="15"/>
    </row>
    <row r="6" spans="1:7">
      <c r="A6" s="160" t="s">
        <v>280</v>
      </c>
      <c r="B6" s="164">
        <f>'Weekly Valuation'!K154</f>
        <v>101283752942.61555</v>
      </c>
      <c r="C6" s="19"/>
      <c r="D6" s="19"/>
      <c r="E6" s="19"/>
      <c r="F6" s="15"/>
      <c r="G6" s="15"/>
    </row>
    <row r="7" spans="1:7">
      <c r="A7" s="160" t="s">
        <v>279</v>
      </c>
      <c r="B7" s="164">
        <f>'Weekly Valuation'!K108</f>
        <v>198728860225.19843</v>
      </c>
      <c r="C7" s="19"/>
      <c r="D7" s="19"/>
      <c r="E7" s="19"/>
      <c r="F7" s="15"/>
      <c r="G7" s="15"/>
    </row>
    <row r="8" spans="1:7">
      <c r="A8" s="160" t="s">
        <v>54</v>
      </c>
      <c r="B8" s="161">
        <f>'Weekly Valuation'!K68</f>
        <v>2419975361780.4546</v>
      </c>
      <c r="C8" s="19"/>
      <c r="D8" s="19"/>
      <c r="E8" s="19"/>
      <c r="F8" s="15"/>
      <c r="G8" s="15"/>
    </row>
    <row r="9" spans="1:7">
      <c r="A9" s="160" t="s">
        <v>157</v>
      </c>
      <c r="B9" s="161">
        <f>'Weekly Valuation'!K146</f>
        <v>1842785877653.4534</v>
      </c>
      <c r="C9" s="19"/>
      <c r="D9" s="19"/>
      <c r="E9" s="19"/>
      <c r="F9" s="15"/>
      <c r="G9" s="15"/>
    </row>
    <row r="10" spans="1:7">
      <c r="A10" s="146"/>
      <c r="B10" s="146"/>
      <c r="C10" s="19"/>
      <c r="D10" s="19"/>
      <c r="E10" s="19"/>
      <c r="F10" s="15"/>
      <c r="G10" s="15"/>
    </row>
    <row r="11" spans="1:7">
      <c r="A11" s="160"/>
      <c r="B11" s="166"/>
      <c r="C11" s="19"/>
      <c r="D11" s="19"/>
      <c r="E11" s="19"/>
      <c r="F11" s="15"/>
      <c r="G11" s="15"/>
    </row>
    <row r="12" spans="1:7">
      <c r="A12" s="160"/>
      <c r="B12" s="19"/>
      <c r="C12" s="19"/>
      <c r="D12" s="19"/>
      <c r="E12" s="19"/>
      <c r="F12" s="15"/>
      <c r="G12" s="15"/>
    </row>
    <row r="13" spans="1:7">
      <c r="A13" s="134"/>
      <c r="B13" s="134"/>
      <c r="C13" s="19"/>
      <c r="D13" s="19"/>
      <c r="E13" s="19"/>
      <c r="F13" s="15"/>
      <c r="G13" s="15"/>
    </row>
    <row r="14" spans="1:7">
      <c r="A14" s="134"/>
      <c r="B14" s="134"/>
      <c r="C14" s="19"/>
      <c r="D14" s="19"/>
      <c r="E14" s="19"/>
      <c r="F14" s="15"/>
      <c r="G14" s="15"/>
    </row>
    <row r="15" spans="1:7" ht="16.5" customHeight="1">
      <c r="A15" s="165"/>
      <c r="B15" s="165"/>
      <c r="C15" s="19"/>
      <c r="D15" s="19"/>
      <c r="E15" s="19"/>
      <c r="F15" s="15"/>
      <c r="G15" s="15"/>
    </row>
    <row r="16" spans="1:7">
      <c r="A16" s="134"/>
      <c r="B16" s="134"/>
      <c r="C16" s="19"/>
      <c r="D16" s="19"/>
      <c r="E16" s="19"/>
      <c r="F16" s="15"/>
      <c r="G16" s="15"/>
    </row>
    <row r="17" spans="1:17">
      <c r="A17" s="134"/>
      <c r="B17" s="134"/>
      <c r="C17" s="19"/>
      <c r="D17" s="19"/>
      <c r="E17" s="19"/>
      <c r="F17" s="15"/>
      <c r="G17" s="15"/>
    </row>
    <row r="18" spans="1:17">
      <c r="A18" s="187"/>
      <c r="B18" s="134"/>
      <c r="C18" s="19"/>
      <c r="D18" s="19"/>
      <c r="E18" s="19"/>
      <c r="F18" s="15"/>
      <c r="G18" s="15"/>
    </row>
    <row r="19" spans="1:17">
      <c r="A19" s="187"/>
      <c r="B19" s="187"/>
      <c r="C19" s="19"/>
      <c r="D19" s="19"/>
      <c r="E19" s="19"/>
      <c r="F19" s="15"/>
      <c r="G19" s="15"/>
    </row>
    <row r="20" spans="1:17">
      <c r="A20" s="125"/>
      <c r="B20" s="125"/>
      <c r="C20" s="15"/>
      <c r="D20" s="15"/>
      <c r="E20" s="15"/>
      <c r="F20" s="15"/>
      <c r="G20" s="15"/>
    </row>
    <row r="21" spans="1:17">
      <c r="A21" s="21"/>
      <c r="B21" s="125"/>
      <c r="C21" s="15"/>
      <c r="D21" s="15"/>
      <c r="E21" s="15"/>
      <c r="F21" s="15"/>
      <c r="G21" s="15"/>
    </row>
    <row r="22" spans="1:17">
      <c r="A22" s="15"/>
      <c r="B22" s="125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InrQw7xK4JlXt+KOGu/iTQhdpGkSBBqcQGAONLmCYWMq9VePEberAPlmqk4kMQaxwQc1u4r2BHL+9SNzQNdRNw==" saltValue="g8SracTZ2xU3jopbOfjwW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7" t="s">
        <v>282</v>
      </c>
      <c r="B2" s="168">
        <v>45688</v>
      </c>
      <c r="C2" s="168">
        <v>45695</v>
      </c>
      <c r="D2" s="168">
        <v>45702</v>
      </c>
      <c r="E2" s="168">
        <v>45709</v>
      </c>
      <c r="F2" s="168">
        <v>45716</v>
      </c>
      <c r="G2" s="168">
        <v>45723</v>
      </c>
      <c r="H2" s="168">
        <v>45730</v>
      </c>
      <c r="I2" s="168">
        <v>45737</v>
      </c>
      <c r="J2" s="19"/>
      <c r="K2" s="15"/>
      <c r="L2" s="15"/>
      <c r="M2" s="15"/>
    </row>
    <row r="3" spans="1:13">
      <c r="A3" s="167" t="s">
        <v>283</v>
      </c>
      <c r="B3" s="169">
        <f t="shared" ref="B3:I3" si="0">B4</f>
        <v>4111.8204981719919</v>
      </c>
      <c r="C3" s="169">
        <f t="shared" si="0"/>
        <v>4191.3962694654292</v>
      </c>
      <c r="D3" s="169">
        <f t="shared" si="0"/>
        <v>4269.5517023318498</v>
      </c>
      <c r="E3" s="169">
        <f t="shared" si="0"/>
        <v>4304.4471471275037</v>
      </c>
      <c r="F3" s="169">
        <f t="shared" si="0"/>
        <v>4378.8424481915499</v>
      </c>
      <c r="G3" s="169">
        <f t="shared" si="0"/>
        <v>4472.6943933207594</v>
      </c>
      <c r="H3" s="169">
        <f t="shared" si="0"/>
        <v>4607.4792017079635</v>
      </c>
      <c r="I3" s="169">
        <f t="shared" si="0"/>
        <v>4719.0196974991832</v>
      </c>
      <c r="J3" s="19"/>
      <c r="K3" s="15"/>
      <c r="L3" s="15"/>
      <c r="M3" s="15"/>
    </row>
    <row r="4" spans="1:13">
      <c r="A4" s="19"/>
      <c r="B4" s="170">
        <f>'NAV Trend'!C10/1000000000</f>
        <v>4111.8204981719919</v>
      </c>
      <c r="C4" s="170">
        <f>'NAV Trend'!D10/1000000000</f>
        <v>4191.3962694654292</v>
      </c>
      <c r="D4" s="170">
        <f>'NAV Trend'!E10/1000000000</f>
        <v>4269.5517023318498</v>
      </c>
      <c r="E4" s="170">
        <f>'NAV Trend'!F10/1000000000</f>
        <v>4304.4471471275037</v>
      </c>
      <c r="F4" s="170">
        <f>'NAV Trend'!G10/1000000000</f>
        <v>4378.8424481915499</v>
      </c>
      <c r="G4" s="170">
        <f>'NAV Trend'!H10/1000000000</f>
        <v>4472.6943933207594</v>
      </c>
      <c r="H4" s="171">
        <f>'NAV Trend'!I10/1000000000</f>
        <v>4607.4792017079635</v>
      </c>
      <c r="I4" s="171">
        <f>'NAV Trend'!J10/1000000000</f>
        <v>4719.0196974991832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Ye5snn8iwaCnxyC0mfkxu9g+FgS3lEswBVJw+QMct2UITlT0eLrrX/h87cExcA1GVwWyv32NqnuRmjgkuAP0wQ==" saltValue="7giCIiB47+AaoiVl1C4cn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F9" sqref="F9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67" t="s">
        <v>282</v>
      </c>
      <c r="B2" s="168">
        <v>45688</v>
      </c>
      <c r="C2" s="168">
        <v>45695</v>
      </c>
      <c r="D2" s="168">
        <v>45702</v>
      </c>
      <c r="E2" s="168">
        <v>45709</v>
      </c>
      <c r="F2" s="168">
        <v>45716</v>
      </c>
      <c r="G2" s="168">
        <v>45723</v>
      </c>
      <c r="H2" s="168">
        <v>45730</v>
      </c>
      <c r="I2" s="168">
        <v>45737</v>
      </c>
      <c r="J2" s="19"/>
      <c r="K2" s="19"/>
      <c r="L2" s="19"/>
    </row>
    <row r="3" spans="1:12">
      <c r="A3" s="167" t="s">
        <v>284</v>
      </c>
      <c r="B3" s="169">
        <f t="shared" ref="B3:I3" si="0">B4</f>
        <v>13.139930136069998</v>
      </c>
      <c r="C3" s="169">
        <f t="shared" si="0"/>
        <v>13.518762702094183</v>
      </c>
      <c r="D3" s="169">
        <f t="shared" si="0"/>
        <v>13.762029268867213</v>
      </c>
      <c r="E3" s="169">
        <f t="shared" si="0"/>
        <v>13.757028670379999</v>
      </c>
      <c r="F3" s="169">
        <f t="shared" si="0"/>
        <v>13.569005930702859</v>
      </c>
      <c r="G3" s="169">
        <f t="shared" si="0"/>
        <v>13.40889556580691</v>
      </c>
      <c r="H3" s="169">
        <f t="shared" si="0"/>
        <v>13.225205337489792</v>
      </c>
      <c r="I3" s="169">
        <f t="shared" si="0"/>
        <v>13.115951569109791</v>
      </c>
      <c r="J3" s="19"/>
      <c r="K3" s="19"/>
      <c r="L3" s="19"/>
    </row>
    <row r="4" spans="1:12">
      <c r="A4" s="19"/>
      <c r="B4" s="170">
        <f>'NAV Trend'!C16/1000000000</f>
        <v>13.139930136069998</v>
      </c>
      <c r="C4" s="170">
        <f>'NAV Trend'!D16/1000000000</f>
        <v>13.518762702094183</v>
      </c>
      <c r="D4" s="170">
        <f>'NAV Trend'!E16/1000000000</f>
        <v>13.762029268867213</v>
      </c>
      <c r="E4" s="170">
        <f>'NAV Trend'!F16/1000000000</f>
        <v>13.757028670379999</v>
      </c>
      <c r="F4" s="170">
        <f>'NAV Trend'!G16/1000000000</f>
        <v>13.569005930702859</v>
      </c>
      <c r="G4" s="170">
        <f>'NAV Trend'!H16/1000000000</f>
        <v>13.40889556580691</v>
      </c>
      <c r="H4" s="170">
        <f>'NAV Trend'!I16/1000000000</f>
        <v>13.225205337489792</v>
      </c>
      <c r="I4" s="171">
        <f>'NAV Trend'!J16/1000000000</f>
        <v>13.115951569109791</v>
      </c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9"/>
    </row>
    <row r="8" spans="1:12">
      <c r="A8" s="19"/>
      <c r="B8" s="19"/>
      <c r="C8" s="19"/>
      <c r="D8" s="19"/>
      <c r="E8" s="19"/>
      <c r="F8" s="19"/>
      <c r="G8" s="19"/>
      <c r="H8" s="19"/>
      <c r="I8" s="19"/>
      <c r="J8" s="19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zaJOEBCc2N28X4wVl1oF+n4F4GbPg6+70FL/St/m7Dyag45oD2oduYb0e1Q5uLdGIRDCRVDPY9yTa83fdQfSfQ==" saltValue="Gz3mu6IKAmICiChr1nqfC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45681</v>
      </c>
      <c r="C1" s="2">
        <v>45688</v>
      </c>
      <c r="D1" s="2">
        <v>45695</v>
      </c>
      <c r="E1" s="2">
        <v>45702</v>
      </c>
      <c r="F1" s="2">
        <v>45709</v>
      </c>
      <c r="G1" s="2">
        <v>45716</v>
      </c>
      <c r="H1" s="2">
        <v>45723</v>
      </c>
      <c r="I1" s="2">
        <v>45730</v>
      </c>
      <c r="J1" s="2">
        <v>45737</v>
      </c>
    </row>
    <row r="2" spans="1:11">
      <c r="A2" s="3" t="s">
        <v>17</v>
      </c>
      <c r="B2" s="4">
        <v>33667453981.210003</v>
      </c>
      <c r="C2" s="4">
        <v>34311367067.189999</v>
      </c>
      <c r="D2" s="4">
        <v>37602437204.949997</v>
      </c>
      <c r="E2" s="4">
        <v>38501630325.360001</v>
      </c>
      <c r="F2" s="4">
        <v>38542552735.119995</v>
      </c>
      <c r="G2" s="4">
        <v>38249076563.470001</v>
      </c>
      <c r="H2" s="4">
        <v>37421289714.760002</v>
      </c>
      <c r="I2" s="4">
        <v>37398821266.276306</v>
      </c>
      <c r="J2" s="4">
        <v>36993931889.602303</v>
      </c>
    </row>
    <row r="3" spans="1:11">
      <c r="A3" s="3" t="s">
        <v>54</v>
      </c>
      <c r="B3" s="4">
        <v>1887272680234.0166</v>
      </c>
      <c r="C3" s="4">
        <v>1936499649559.6733</v>
      </c>
      <c r="D3" s="4">
        <v>1986545662853.3892</v>
      </c>
      <c r="E3" s="4">
        <v>2038200432744.7246</v>
      </c>
      <c r="F3" s="4">
        <v>2072298319201.4285</v>
      </c>
      <c r="G3" s="4">
        <v>2134730862264.1289</v>
      </c>
      <c r="H3" s="4">
        <v>2212690003394.8403</v>
      </c>
      <c r="I3" s="4">
        <v>2332451611056.791</v>
      </c>
      <c r="J3" s="4">
        <v>2419975361780.4546</v>
      </c>
    </row>
    <row r="4" spans="1:11">
      <c r="A4" s="3" t="s">
        <v>279</v>
      </c>
      <c r="B4" s="5">
        <v>193295117054.89386</v>
      </c>
      <c r="C4" s="5">
        <v>192710764728.50818</v>
      </c>
      <c r="D4" s="5">
        <v>192823646052.3956</v>
      </c>
      <c r="E4" s="5">
        <v>193170423716.56946</v>
      </c>
      <c r="F4" s="5">
        <v>192875996875.99237</v>
      </c>
      <c r="G4" s="5">
        <v>192425332553.69519</v>
      </c>
      <c r="H4" s="5">
        <v>192651675169.49469</v>
      </c>
      <c r="I4" s="5">
        <v>195446236973.35144</v>
      </c>
      <c r="J4" s="5">
        <v>198728860225.19843</v>
      </c>
    </row>
    <row r="5" spans="1:11">
      <c r="A5" s="3" t="s">
        <v>157</v>
      </c>
      <c r="B5" s="4">
        <v>1788025443922.3008</v>
      </c>
      <c r="C5" s="4">
        <v>1729854588802.0955</v>
      </c>
      <c r="D5" s="4">
        <v>1755642575885.7151</v>
      </c>
      <c r="E5" s="4">
        <v>1779191321733.2319</v>
      </c>
      <c r="F5" s="4">
        <v>1780596293589.6721</v>
      </c>
      <c r="G5" s="4">
        <v>1793326811823.8843</v>
      </c>
      <c r="H5" s="4">
        <v>1809741056607.6074</v>
      </c>
      <c r="I5" s="4">
        <v>1822153380010.8662</v>
      </c>
      <c r="J5" s="4">
        <v>1842785877653.4534</v>
      </c>
    </row>
    <row r="6" spans="1:11">
      <c r="A6" s="3" t="s">
        <v>280</v>
      </c>
      <c r="B6" s="6">
        <v>100883151715.23096</v>
      </c>
      <c r="C6" s="6">
        <v>100943942196.36</v>
      </c>
      <c r="D6" s="6">
        <v>100952306055.92899</v>
      </c>
      <c r="E6" s="6">
        <v>101014000313.43393</v>
      </c>
      <c r="F6" s="6">
        <v>101070214650.21515</v>
      </c>
      <c r="G6" s="6">
        <v>101128099964.18001</v>
      </c>
      <c r="H6" s="6">
        <v>101180384926.77501</v>
      </c>
      <c r="I6" s="6">
        <v>101227556666.0634</v>
      </c>
      <c r="J6" s="6">
        <v>101283752942.61555</v>
      </c>
    </row>
    <row r="7" spans="1:11">
      <c r="A7" s="3" t="s">
        <v>194</v>
      </c>
      <c r="B7" s="7">
        <v>55157132700.650406</v>
      </c>
      <c r="C7" s="7">
        <v>55883226354.418106</v>
      </c>
      <c r="D7" s="7">
        <v>57357776059.173073</v>
      </c>
      <c r="E7" s="7">
        <v>58252652887.652779</v>
      </c>
      <c r="F7" s="7">
        <v>58059986733.763725</v>
      </c>
      <c r="G7" s="7">
        <v>57798914251.53302</v>
      </c>
      <c r="H7" s="7">
        <v>57327361079.561821</v>
      </c>
      <c r="I7" s="7">
        <v>57195873585.465897</v>
      </c>
      <c r="J7" s="7">
        <v>56948936665.773132</v>
      </c>
    </row>
    <row r="8" spans="1:11">
      <c r="A8" s="3" t="s">
        <v>225</v>
      </c>
      <c r="B8" s="6">
        <v>6147393660.5699997</v>
      </c>
      <c r="C8" s="6">
        <v>6263863102.0599995</v>
      </c>
      <c r="D8" s="6">
        <v>6582585973.7099991</v>
      </c>
      <c r="E8" s="6">
        <v>6738837889.1400003</v>
      </c>
      <c r="F8" s="6">
        <v>6681271892.7000008</v>
      </c>
      <c r="G8" s="6">
        <v>6710470953.1500006</v>
      </c>
      <c r="H8" s="6">
        <v>6663538612.0999994</v>
      </c>
      <c r="I8" s="6">
        <v>6647856625.3699999</v>
      </c>
      <c r="J8" s="6">
        <v>6567080938.7299995</v>
      </c>
    </row>
    <row r="9" spans="1:11">
      <c r="A9" s="3" t="s">
        <v>281</v>
      </c>
      <c r="B9" s="6">
        <v>54941389819.284477</v>
      </c>
      <c r="C9" s="6">
        <v>55353096361.686783</v>
      </c>
      <c r="D9" s="6">
        <v>53889279380.166801</v>
      </c>
      <c r="E9" s="6">
        <v>54482402721.736488</v>
      </c>
      <c r="F9" s="6">
        <v>54322511448.611656</v>
      </c>
      <c r="G9" s="6">
        <v>54472879817.508156</v>
      </c>
      <c r="H9" s="6">
        <v>55019083815.621017</v>
      </c>
      <c r="I9" s="6">
        <v>54957865523.779152</v>
      </c>
      <c r="J9" s="6">
        <v>55735895403.355507</v>
      </c>
    </row>
    <row r="10" spans="1:11" ht="15.6">
      <c r="A10" s="8" t="s">
        <v>285</v>
      </c>
      <c r="B10" s="9">
        <f t="shared" ref="B10:J10" si="0">SUM(B2:B9)</f>
        <v>4119389763088.1567</v>
      </c>
      <c r="C10" s="9">
        <f t="shared" si="0"/>
        <v>4111820498171.9917</v>
      </c>
      <c r="D10" s="9">
        <f t="shared" si="0"/>
        <v>4191396269465.4292</v>
      </c>
      <c r="E10" s="9">
        <f t="shared" si="0"/>
        <v>4269551702331.8496</v>
      </c>
      <c r="F10" s="9">
        <f t="shared" si="0"/>
        <v>4304447147127.5039</v>
      </c>
      <c r="G10" s="9">
        <f t="shared" si="0"/>
        <v>4378842448191.5498</v>
      </c>
      <c r="H10" s="9">
        <f t="shared" si="0"/>
        <v>4472694393320.7598</v>
      </c>
      <c r="I10" s="9">
        <f t="shared" si="0"/>
        <v>4607479201707.9639</v>
      </c>
      <c r="J10" s="9">
        <f t="shared" si="0"/>
        <v>4719019697499.1836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4115605130630.0742</v>
      </c>
      <c r="D12" s="14">
        <f t="shared" ref="D12:J12" si="1">(C10+D10)/2</f>
        <v>4151608383818.7104</v>
      </c>
      <c r="E12" s="14">
        <f t="shared" si="1"/>
        <v>4230473985898.6396</v>
      </c>
      <c r="F12" s="14">
        <f t="shared" si="1"/>
        <v>4286999424729.6768</v>
      </c>
      <c r="G12" s="14">
        <f t="shared" si="1"/>
        <v>4341644797659.5269</v>
      </c>
      <c r="H12" s="14">
        <f t="shared" si="1"/>
        <v>4425768420756.1543</v>
      </c>
      <c r="I12" s="14">
        <f t="shared" si="1"/>
        <v>4540086797514.3613</v>
      </c>
      <c r="J12" s="14">
        <f t="shared" si="1"/>
        <v>4663249449603.5742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45681</v>
      </c>
      <c r="C15" s="2">
        <v>45688</v>
      </c>
      <c r="D15" s="2">
        <v>45695</v>
      </c>
      <c r="E15" s="2">
        <v>45702</v>
      </c>
      <c r="F15" s="2">
        <v>45709</v>
      </c>
      <c r="G15" s="2">
        <v>45716</v>
      </c>
      <c r="H15" s="2">
        <v>45723</v>
      </c>
      <c r="I15" s="2">
        <v>45730</v>
      </c>
      <c r="J15" s="2">
        <v>45737</v>
      </c>
      <c r="K15" s="15"/>
    </row>
    <row r="16" spans="1:11">
      <c r="A16" s="16" t="s">
        <v>288</v>
      </c>
      <c r="B16" s="17">
        <v>12926648581.233683</v>
      </c>
      <c r="C16" s="17">
        <v>13139930136.069998</v>
      </c>
      <c r="D16" s="17">
        <v>13518762702.094183</v>
      </c>
      <c r="E16" s="17">
        <v>13762029268.867212</v>
      </c>
      <c r="F16" s="17">
        <v>13757028670.379999</v>
      </c>
      <c r="G16" s="17">
        <v>13569005930.70286</v>
      </c>
      <c r="H16" s="17">
        <v>13408895565.80691</v>
      </c>
      <c r="I16" s="17">
        <v>13225205337.489792</v>
      </c>
      <c r="J16" s="17">
        <v>13115951569.109791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5MNeOQ/oUmVVUrftbRyq3JcR0Y15Etbq+4sXEcsCRLdauiBuVED4Ha1X/mVGO9n/JFUP3hqAmCAkgakBRCX+Hg==" saltValue="TvHyMC8OeI6LyhmK5XnTx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2025-03-26T15:03:57Z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