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Mutual Funds Update 2024\"/>
    </mc:Choice>
  </mc:AlternateContent>
  <bookViews>
    <workbookView xWindow="0" yWindow="0" windowWidth="24000" windowHeight="10212"/>
  </bookViews>
  <sheets>
    <sheet name="June 2024" sheetId="7" r:id="rId1"/>
    <sheet name="NAV Comparison" sheetId="2" r:id="rId2"/>
    <sheet name="Market Share" sheetId="3" r:id="rId3"/>
    <sheet name="Unitholders" sheetId="6" r:id="rId4"/>
  </sheets>
  <calcPr calcId="162913"/>
</workbook>
</file>

<file path=xl/calcChain.xml><?xml version="1.0" encoding="utf-8"?>
<calcChain xmlns="http://schemas.openxmlformats.org/spreadsheetml/2006/main">
  <c r="Q190" i="7" l="1"/>
  <c r="P190" i="7"/>
  <c r="O190" i="7"/>
  <c r="N190" i="7"/>
  <c r="M190" i="7"/>
  <c r="M178" i="7"/>
  <c r="N178" i="7"/>
  <c r="O178" i="7"/>
  <c r="P178" i="7"/>
  <c r="Q178" i="7"/>
  <c r="M179" i="7"/>
  <c r="N179" i="7"/>
  <c r="O179" i="7"/>
  <c r="P179" i="7"/>
  <c r="Q179" i="7"/>
  <c r="M180" i="7"/>
  <c r="N180" i="7"/>
  <c r="O180" i="7"/>
  <c r="P180" i="7"/>
  <c r="Q180" i="7"/>
  <c r="M181" i="7"/>
  <c r="N181" i="7"/>
  <c r="O181" i="7"/>
  <c r="P181" i="7"/>
  <c r="Q181" i="7"/>
  <c r="M182" i="7"/>
  <c r="N182" i="7"/>
  <c r="O182" i="7"/>
  <c r="P182" i="7"/>
  <c r="Q182" i="7"/>
  <c r="M183" i="7"/>
  <c r="N183" i="7"/>
  <c r="O183" i="7"/>
  <c r="P183" i="7"/>
  <c r="Q183" i="7"/>
  <c r="M184" i="7"/>
  <c r="N184" i="7"/>
  <c r="O184" i="7"/>
  <c r="P184" i="7"/>
  <c r="Q184" i="7"/>
  <c r="M185" i="7"/>
  <c r="N185" i="7"/>
  <c r="O185" i="7"/>
  <c r="P185" i="7"/>
  <c r="Q185" i="7"/>
  <c r="M186" i="7"/>
  <c r="N186" i="7"/>
  <c r="O186" i="7"/>
  <c r="P186" i="7"/>
  <c r="Q186" i="7"/>
  <c r="M187" i="7"/>
  <c r="N187" i="7"/>
  <c r="O187" i="7"/>
  <c r="P187" i="7"/>
  <c r="Q187" i="7"/>
  <c r="Q177" i="7"/>
  <c r="P177" i="7"/>
  <c r="O177" i="7"/>
  <c r="N177" i="7"/>
  <c r="M177" i="7"/>
  <c r="M174" i="7"/>
  <c r="N174" i="7"/>
  <c r="O174" i="7"/>
  <c r="P174" i="7"/>
  <c r="Q174" i="7"/>
  <c r="Q173" i="7"/>
  <c r="P173" i="7"/>
  <c r="O173" i="7"/>
  <c r="N173" i="7"/>
  <c r="M173" i="7"/>
  <c r="M167" i="7"/>
  <c r="N167" i="7"/>
  <c r="O167" i="7"/>
  <c r="P167" i="7"/>
  <c r="Q167" i="7"/>
  <c r="M168" i="7"/>
  <c r="N168" i="7"/>
  <c r="O168" i="7"/>
  <c r="P168" i="7"/>
  <c r="Q168" i="7"/>
  <c r="Q166" i="7"/>
  <c r="P166" i="7"/>
  <c r="O166" i="7"/>
  <c r="N166" i="7"/>
  <c r="M166" i="7"/>
  <c r="M155" i="7"/>
  <c r="N155" i="7"/>
  <c r="O155" i="7"/>
  <c r="P155" i="7"/>
  <c r="Q155" i="7"/>
  <c r="M156" i="7"/>
  <c r="N156" i="7"/>
  <c r="O156" i="7"/>
  <c r="P156" i="7"/>
  <c r="Q156" i="7"/>
  <c r="M157" i="7"/>
  <c r="N157" i="7"/>
  <c r="O157" i="7"/>
  <c r="P157" i="7"/>
  <c r="Q157" i="7"/>
  <c r="M158" i="7"/>
  <c r="N158" i="7"/>
  <c r="O158" i="7"/>
  <c r="P158" i="7"/>
  <c r="Q158" i="7"/>
  <c r="M159" i="7"/>
  <c r="N159" i="7"/>
  <c r="O159" i="7"/>
  <c r="P159" i="7"/>
  <c r="Q159" i="7"/>
  <c r="M160" i="7"/>
  <c r="N160" i="7"/>
  <c r="O160" i="7"/>
  <c r="P160" i="7"/>
  <c r="Q160" i="7"/>
  <c r="M161" i="7"/>
  <c r="N161" i="7"/>
  <c r="O161" i="7"/>
  <c r="P161" i="7"/>
  <c r="Q161" i="7"/>
  <c r="M162" i="7"/>
  <c r="N162" i="7"/>
  <c r="O162" i="7"/>
  <c r="P162" i="7"/>
  <c r="Q162" i="7"/>
  <c r="M137" i="7"/>
  <c r="N137" i="7"/>
  <c r="O137" i="7"/>
  <c r="P137" i="7"/>
  <c r="Q137" i="7"/>
  <c r="M138" i="7"/>
  <c r="N138" i="7"/>
  <c r="O138" i="7"/>
  <c r="P138" i="7"/>
  <c r="Q138" i="7"/>
  <c r="M139" i="7"/>
  <c r="N139" i="7"/>
  <c r="O139" i="7"/>
  <c r="P139" i="7"/>
  <c r="Q139" i="7"/>
  <c r="M140" i="7"/>
  <c r="N140" i="7"/>
  <c r="O140" i="7"/>
  <c r="P140" i="7"/>
  <c r="Q140" i="7"/>
  <c r="M141" i="7"/>
  <c r="N141" i="7"/>
  <c r="O141" i="7"/>
  <c r="P141" i="7"/>
  <c r="Q141" i="7"/>
  <c r="M142" i="7"/>
  <c r="N142" i="7"/>
  <c r="O142" i="7"/>
  <c r="P142" i="7"/>
  <c r="Q142" i="7"/>
  <c r="M143" i="7"/>
  <c r="N143" i="7"/>
  <c r="O143" i="7"/>
  <c r="P143" i="7"/>
  <c r="Q143" i="7"/>
  <c r="M144" i="7"/>
  <c r="N144" i="7"/>
  <c r="O144" i="7"/>
  <c r="P144" i="7"/>
  <c r="Q144" i="7"/>
  <c r="M145" i="7"/>
  <c r="N145" i="7"/>
  <c r="O145" i="7"/>
  <c r="P145" i="7"/>
  <c r="Q145" i="7"/>
  <c r="M146" i="7"/>
  <c r="N146" i="7"/>
  <c r="O146" i="7"/>
  <c r="P146" i="7"/>
  <c r="Q146" i="7"/>
  <c r="M147" i="7"/>
  <c r="N147" i="7"/>
  <c r="O147" i="7"/>
  <c r="P147" i="7"/>
  <c r="Q147" i="7"/>
  <c r="M148" i="7"/>
  <c r="N148" i="7"/>
  <c r="O148" i="7"/>
  <c r="P148" i="7"/>
  <c r="Q148" i="7"/>
  <c r="M149" i="7"/>
  <c r="N149" i="7"/>
  <c r="O149" i="7"/>
  <c r="P149" i="7"/>
  <c r="Q149" i="7"/>
  <c r="M150" i="7"/>
  <c r="N150" i="7"/>
  <c r="O150" i="7"/>
  <c r="P150" i="7"/>
  <c r="Q150" i="7"/>
  <c r="M151" i="7"/>
  <c r="N151" i="7"/>
  <c r="O151" i="7"/>
  <c r="P151" i="7"/>
  <c r="Q151" i="7"/>
  <c r="M152" i="7"/>
  <c r="N152" i="7"/>
  <c r="O152" i="7"/>
  <c r="P152" i="7"/>
  <c r="Q152" i="7"/>
  <c r="M153" i="7"/>
  <c r="N153" i="7"/>
  <c r="O153" i="7"/>
  <c r="P153" i="7"/>
  <c r="Q153" i="7"/>
  <c r="M154" i="7"/>
  <c r="N154" i="7"/>
  <c r="O154" i="7"/>
  <c r="P154" i="7"/>
  <c r="Q154" i="7"/>
  <c r="Q136" i="7"/>
  <c r="P136" i="7"/>
  <c r="O136" i="7"/>
  <c r="N136" i="7"/>
  <c r="M136" i="7"/>
  <c r="M129" i="7"/>
  <c r="N129" i="7"/>
  <c r="O129" i="7"/>
  <c r="P129" i="7"/>
  <c r="Q129" i="7"/>
  <c r="M130" i="7"/>
  <c r="N130" i="7"/>
  <c r="O130" i="7"/>
  <c r="P130" i="7"/>
  <c r="Q130" i="7"/>
  <c r="M131" i="7"/>
  <c r="N131" i="7"/>
  <c r="O131" i="7"/>
  <c r="P131" i="7"/>
  <c r="Q131" i="7"/>
  <c r="M132" i="7"/>
  <c r="N132" i="7"/>
  <c r="O132" i="7"/>
  <c r="P132" i="7"/>
  <c r="Q132" i="7"/>
  <c r="Q128" i="7"/>
  <c r="P128" i="7"/>
  <c r="O128" i="7"/>
  <c r="N128" i="7"/>
  <c r="M128" i="7"/>
  <c r="M115" i="7"/>
  <c r="N115" i="7"/>
  <c r="O115" i="7"/>
  <c r="P115" i="7"/>
  <c r="Q115" i="7"/>
  <c r="M116" i="7"/>
  <c r="N116" i="7"/>
  <c r="O116" i="7"/>
  <c r="P116" i="7"/>
  <c r="Q116" i="7"/>
  <c r="M117" i="7"/>
  <c r="N117" i="7"/>
  <c r="O117" i="7"/>
  <c r="P117" i="7"/>
  <c r="Q117" i="7"/>
  <c r="M118" i="7"/>
  <c r="N118" i="7"/>
  <c r="O118" i="7"/>
  <c r="P118" i="7"/>
  <c r="Q118" i="7"/>
  <c r="M119" i="7"/>
  <c r="N119" i="7"/>
  <c r="O119" i="7"/>
  <c r="P119" i="7"/>
  <c r="Q119" i="7"/>
  <c r="M120" i="7"/>
  <c r="N120" i="7"/>
  <c r="O120" i="7"/>
  <c r="P120" i="7"/>
  <c r="Q120" i="7"/>
  <c r="M121" i="7"/>
  <c r="N121" i="7"/>
  <c r="O121" i="7"/>
  <c r="P121" i="7"/>
  <c r="Q121" i="7"/>
  <c r="M122" i="7"/>
  <c r="N122" i="7"/>
  <c r="O122" i="7"/>
  <c r="P122" i="7"/>
  <c r="Q122" i="7"/>
  <c r="M123" i="7"/>
  <c r="N123" i="7"/>
  <c r="O123" i="7"/>
  <c r="P123" i="7"/>
  <c r="Q123" i="7"/>
  <c r="M124" i="7"/>
  <c r="N124" i="7"/>
  <c r="O124" i="7"/>
  <c r="P124" i="7"/>
  <c r="Q124" i="7"/>
  <c r="Q114" i="7"/>
  <c r="P114" i="7"/>
  <c r="O114" i="7"/>
  <c r="N114" i="7"/>
  <c r="M114" i="7"/>
  <c r="M98" i="7"/>
  <c r="N98" i="7"/>
  <c r="O98" i="7"/>
  <c r="P98" i="7"/>
  <c r="Q98" i="7"/>
  <c r="M99" i="7"/>
  <c r="N99" i="7"/>
  <c r="O99" i="7"/>
  <c r="P99" i="7"/>
  <c r="Q99" i="7"/>
  <c r="M100" i="7"/>
  <c r="N100" i="7"/>
  <c r="O100" i="7"/>
  <c r="P100" i="7"/>
  <c r="Q100" i="7"/>
  <c r="M101" i="7"/>
  <c r="N101" i="7"/>
  <c r="O101" i="7"/>
  <c r="P101" i="7"/>
  <c r="Q101" i="7"/>
  <c r="M102" i="7"/>
  <c r="N102" i="7"/>
  <c r="O102" i="7"/>
  <c r="P102" i="7"/>
  <c r="Q102" i="7"/>
  <c r="M103" i="7"/>
  <c r="N103" i="7"/>
  <c r="O103" i="7"/>
  <c r="P103" i="7"/>
  <c r="Q103" i="7"/>
  <c r="M104" i="7"/>
  <c r="N104" i="7"/>
  <c r="O104" i="7"/>
  <c r="P104" i="7"/>
  <c r="Q104" i="7"/>
  <c r="M105" i="7"/>
  <c r="N105" i="7"/>
  <c r="O105" i="7"/>
  <c r="P105" i="7"/>
  <c r="Q105" i="7"/>
  <c r="M106" i="7"/>
  <c r="N106" i="7"/>
  <c r="O106" i="7"/>
  <c r="P106" i="7"/>
  <c r="Q106" i="7"/>
  <c r="M107" i="7"/>
  <c r="N107" i="7"/>
  <c r="O107" i="7"/>
  <c r="P107" i="7"/>
  <c r="Q107" i="7"/>
  <c r="M108" i="7"/>
  <c r="N108" i="7"/>
  <c r="O108" i="7"/>
  <c r="P108" i="7"/>
  <c r="Q108" i="7"/>
  <c r="M109" i="7"/>
  <c r="N109" i="7"/>
  <c r="O109" i="7"/>
  <c r="P109" i="7"/>
  <c r="Q109" i="7"/>
  <c r="M110" i="7"/>
  <c r="N110" i="7"/>
  <c r="O110" i="7"/>
  <c r="P110" i="7"/>
  <c r="Q110" i="7"/>
  <c r="M111" i="7"/>
  <c r="N111" i="7"/>
  <c r="O111" i="7"/>
  <c r="P111" i="7"/>
  <c r="Q111" i="7"/>
  <c r="Q97" i="7"/>
  <c r="P97" i="7"/>
  <c r="O97" i="7"/>
  <c r="N97" i="7"/>
  <c r="M97" i="7"/>
  <c r="M91" i="7"/>
  <c r="N91" i="7"/>
  <c r="O91" i="7"/>
  <c r="P91" i="7"/>
  <c r="Q91" i="7"/>
  <c r="M92" i="7"/>
  <c r="N92" i="7"/>
  <c r="O92" i="7"/>
  <c r="P92" i="7"/>
  <c r="Q92" i="7"/>
  <c r="M76" i="7"/>
  <c r="N76" i="7"/>
  <c r="O76" i="7"/>
  <c r="P76" i="7"/>
  <c r="Q76" i="7"/>
  <c r="M77" i="7"/>
  <c r="N77" i="7"/>
  <c r="O77" i="7"/>
  <c r="P77" i="7"/>
  <c r="Q77" i="7"/>
  <c r="M78" i="7"/>
  <c r="N78" i="7"/>
  <c r="O78" i="7"/>
  <c r="P78" i="7"/>
  <c r="Q78" i="7"/>
  <c r="M79" i="7"/>
  <c r="N79" i="7"/>
  <c r="O79" i="7"/>
  <c r="P79" i="7"/>
  <c r="Q79" i="7"/>
  <c r="M80" i="7"/>
  <c r="N80" i="7"/>
  <c r="O80" i="7"/>
  <c r="P80" i="7"/>
  <c r="Q80" i="7"/>
  <c r="M81" i="7"/>
  <c r="N81" i="7"/>
  <c r="O81" i="7"/>
  <c r="P81" i="7"/>
  <c r="Q81" i="7"/>
  <c r="M82" i="7"/>
  <c r="N82" i="7"/>
  <c r="O82" i="7"/>
  <c r="P82" i="7"/>
  <c r="Q82" i="7"/>
  <c r="M83" i="7"/>
  <c r="N83" i="7"/>
  <c r="O83" i="7"/>
  <c r="P83" i="7"/>
  <c r="Q83" i="7"/>
  <c r="M84" i="7"/>
  <c r="N84" i="7"/>
  <c r="O84" i="7"/>
  <c r="P84" i="7"/>
  <c r="Q84" i="7"/>
  <c r="M85" i="7"/>
  <c r="N85" i="7"/>
  <c r="O85" i="7"/>
  <c r="P85" i="7"/>
  <c r="Q85" i="7"/>
  <c r="M86" i="7"/>
  <c r="N86" i="7"/>
  <c r="O86" i="7"/>
  <c r="P86" i="7"/>
  <c r="Q86" i="7"/>
  <c r="M87" i="7"/>
  <c r="N87" i="7"/>
  <c r="O87" i="7"/>
  <c r="P87" i="7"/>
  <c r="Q87" i="7"/>
  <c r="M88" i="7"/>
  <c r="N88" i="7"/>
  <c r="O88" i="7"/>
  <c r="P88" i="7"/>
  <c r="Q88" i="7"/>
  <c r="M89" i="7"/>
  <c r="N89" i="7"/>
  <c r="O89" i="7"/>
  <c r="P89" i="7"/>
  <c r="Q89" i="7"/>
  <c r="M90" i="7"/>
  <c r="N90" i="7"/>
  <c r="O90" i="7"/>
  <c r="P90" i="7"/>
  <c r="Q90" i="7"/>
  <c r="M62" i="7"/>
  <c r="N62" i="7"/>
  <c r="O62" i="7"/>
  <c r="P62" i="7"/>
  <c r="Q62" i="7"/>
  <c r="M63" i="7"/>
  <c r="N63" i="7"/>
  <c r="O63" i="7"/>
  <c r="P63" i="7"/>
  <c r="Q63" i="7"/>
  <c r="M64" i="7"/>
  <c r="N64" i="7"/>
  <c r="O64" i="7"/>
  <c r="P64" i="7"/>
  <c r="Q64" i="7"/>
  <c r="M65" i="7"/>
  <c r="N65" i="7"/>
  <c r="O65" i="7"/>
  <c r="P65" i="7"/>
  <c r="Q65" i="7"/>
  <c r="M66" i="7"/>
  <c r="N66" i="7"/>
  <c r="O66" i="7"/>
  <c r="P66" i="7"/>
  <c r="Q66" i="7"/>
  <c r="M67" i="7"/>
  <c r="N67" i="7"/>
  <c r="O67" i="7"/>
  <c r="P67" i="7"/>
  <c r="Q67" i="7"/>
  <c r="M68" i="7"/>
  <c r="N68" i="7"/>
  <c r="O68" i="7"/>
  <c r="P68" i="7"/>
  <c r="Q68" i="7"/>
  <c r="M69" i="7"/>
  <c r="N69" i="7"/>
  <c r="O69" i="7"/>
  <c r="P69" i="7"/>
  <c r="Q69" i="7"/>
  <c r="M70" i="7"/>
  <c r="N70" i="7"/>
  <c r="O70" i="7"/>
  <c r="P70" i="7"/>
  <c r="Q70" i="7"/>
  <c r="M71" i="7"/>
  <c r="N71" i="7"/>
  <c r="O71" i="7"/>
  <c r="P71" i="7"/>
  <c r="Q71" i="7"/>
  <c r="M72" i="7"/>
  <c r="N72" i="7"/>
  <c r="O72" i="7"/>
  <c r="P72" i="7"/>
  <c r="Q72" i="7"/>
  <c r="M73" i="7"/>
  <c r="N73" i="7"/>
  <c r="O73" i="7"/>
  <c r="P73" i="7"/>
  <c r="Q73" i="7"/>
  <c r="M74" i="7"/>
  <c r="N74" i="7"/>
  <c r="O74" i="7"/>
  <c r="P74" i="7"/>
  <c r="Q74" i="7"/>
  <c r="M75" i="7"/>
  <c r="N75" i="7"/>
  <c r="O75" i="7"/>
  <c r="P75" i="7"/>
  <c r="Q75" i="7"/>
  <c r="Q61" i="7"/>
  <c r="P61" i="7"/>
  <c r="O61" i="7"/>
  <c r="N61" i="7"/>
  <c r="M61" i="7"/>
  <c r="M26" i="7"/>
  <c r="N26" i="7"/>
  <c r="O26" i="7"/>
  <c r="P26" i="7"/>
  <c r="Q26" i="7"/>
  <c r="M27" i="7"/>
  <c r="N27" i="7"/>
  <c r="O27" i="7"/>
  <c r="P27" i="7"/>
  <c r="Q27" i="7"/>
  <c r="M28" i="7"/>
  <c r="N28" i="7"/>
  <c r="O28" i="7"/>
  <c r="P28" i="7"/>
  <c r="Q28" i="7"/>
  <c r="M29" i="7"/>
  <c r="N29" i="7"/>
  <c r="O29" i="7"/>
  <c r="P29" i="7"/>
  <c r="Q29" i="7"/>
  <c r="M30" i="7"/>
  <c r="N30" i="7"/>
  <c r="O30" i="7"/>
  <c r="P30" i="7"/>
  <c r="Q30" i="7"/>
  <c r="M31" i="7"/>
  <c r="N31" i="7"/>
  <c r="O31" i="7"/>
  <c r="P31" i="7"/>
  <c r="Q31" i="7"/>
  <c r="M32" i="7"/>
  <c r="N32" i="7"/>
  <c r="O32" i="7"/>
  <c r="P32" i="7"/>
  <c r="Q32" i="7"/>
  <c r="M33" i="7"/>
  <c r="N33" i="7"/>
  <c r="O33" i="7"/>
  <c r="P33" i="7"/>
  <c r="Q33" i="7"/>
  <c r="M34" i="7"/>
  <c r="N34" i="7"/>
  <c r="O34" i="7"/>
  <c r="P34" i="7"/>
  <c r="Q34" i="7"/>
  <c r="M35" i="7"/>
  <c r="N35" i="7"/>
  <c r="O35" i="7"/>
  <c r="P35" i="7"/>
  <c r="Q35" i="7"/>
  <c r="M36" i="7"/>
  <c r="N36" i="7"/>
  <c r="O36" i="7"/>
  <c r="P36" i="7"/>
  <c r="Q36" i="7"/>
  <c r="M37" i="7"/>
  <c r="N37" i="7"/>
  <c r="O37" i="7"/>
  <c r="P37" i="7"/>
  <c r="Q37" i="7"/>
  <c r="M38" i="7"/>
  <c r="N38" i="7"/>
  <c r="O38" i="7"/>
  <c r="P38" i="7"/>
  <c r="Q38" i="7"/>
  <c r="M39" i="7"/>
  <c r="N39" i="7"/>
  <c r="O39" i="7"/>
  <c r="P39" i="7"/>
  <c r="Q39" i="7"/>
  <c r="M40" i="7"/>
  <c r="N40" i="7"/>
  <c r="O40" i="7"/>
  <c r="P40" i="7"/>
  <c r="Q40" i="7"/>
  <c r="M41" i="7"/>
  <c r="N41" i="7"/>
  <c r="O41" i="7"/>
  <c r="P41" i="7"/>
  <c r="Q41" i="7"/>
  <c r="M42" i="7"/>
  <c r="N42" i="7"/>
  <c r="O42" i="7"/>
  <c r="P42" i="7"/>
  <c r="Q42" i="7"/>
  <c r="M43" i="7"/>
  <c r="N43" i="7"/>
  <c r="O43" i="7"/>
  <c r="P43" i="7"/>
  <c r="Q43" i="7"/>
  <c r="M44" i="7"/>
  <c r="N44" i="7"/>
  <c r="O44" i="7"/>
  <c r="P44" i="7"/>
  <c r="Q44" i="7"/>
  <c r="M45" i="7"/>
  <c r="N45" i="7"/>
  <c r="O45" i="7"/>
  <c r="P45" i="7"/>
  <c r="Q45" i="7"/>
  <c r="M46" i="7"/>
  <c r="N46" i="7"/>
  <c r="O46" i="7"/>
  <c r="P46" i="7"/>
  <c r="Q46" i="7"/>
  <c r="M47" i="7"/>
  <c r="N47" i="7"/>
  <c r="O47" i="7"/>
  <c r="P47" i="7"/>
  <c r="Q47" i="7"/>
  <c r="M48" i="7"/>
  <c r="N48" i="7"/>
  <c r="O48" i="7"/>
  <c r="P48" i="7"/>
  <c r="Q48" i="7"/>
  <c r="M49" i="7"/>
  <c r="N49" i="7"/>
  <c r="O49" i="7"/>
  <c r="P49" i="7"/>
  <c r="Q49" i="7"/>
  <c r="M50" i="7"/>
  <c r="N50" i="7"/>
  <c r="O50" i="7"/>
  <c r="P50" i="7"/>
  <c r="Q50" i="7"/>
  <c r="M51" i="7"/>
  <c r="N51" i="7"/>
  <c r="O51" i="7"/>
  <c r="P51" i="7"/>
  <c r="Q51" i="7"/>
  <c r="M52" i="7"/>
  <c r="N52" i="7"/>
  <c r="O52" i="7"/>
  <c r="P52" i="7"/>
  <c r="Q52" i="7"/>
  <c r="M53" i="7"/>
  <c r="N53" i="7"/>
  <c r="O53" i="7"/>
  <c r="P53" i="7"/>
  <c r="Q53" i="7"/>
  <c r="M54" i="7"/>
  <c r="N54" i="7"/>
  <c r="O54" i="7"/>
  <c r="P54" i="7"/>
  <c r="Q54" i="7"/>
  <c r="M55" i="7"/>
  <c r="N55" i="7"/>
  <c r="O55" i="7"/>
  <c r="P55" i="7"/>
  <c r="Q55" i="7"/>
  <c r="M56" i="7"/>
  <c r="N56" i="7"/>
  <c r="O56" i="7"/>
  <c r="P56" i="7"/>
  <c r="Q56" i="7"/>
  <c r="M57" i="7"/>
  <c r="N57" i="7"/>
  <c r="O57" i="7"/>
  <c r="P57" i="7"/>
  <c r="Q57" i="7"/>
  <c r="Q25" i="7"/>
  <c r="P25" i="7"/>
  <c r="O25" i="7"/>
  <c r="N25" i="7"/>
  <c r="M25" i="7"/>
  <c r="M6" i="7"/>
  <c r="N6" i="7"/>
  <c r="O6" i="7"/>
  <c r="P6" i="7"/>
  <c r="Q6" i="7"/>
  <c r="M7" i="7"/>
  <c r="N7" i="7"/>
  <c r="O7" i="7"/>
  <c r="P7" i="7"/>
  <c r="Q7" i="7"/>
  <c r="M8" i="7"/>
  <c r="N8" i="7"/>
  <c r="O8" i="7"/>
  <c r="P8" i="7"/>
  <c r="Q8" i="7"/>
  <c r="M9" i="7"/>
  <c r="N9" i="7"/>
  <c r="O9" i="7"/>
  <c r="P9" i="7"/>
  <c r="Q9" i="7"/>
  <c r="M10" i="7"/>
  <c r="N10" i="7"/>
  <c r="O10" i="7"/>
  <c r="P10" i="7"/>
  <c r="Q10" i="7"/>
  <c r="M11" i="7"/>
  <c r="N11" i="7"/>
  <c r="O11" i="7"/>
  <c r="P11" i="7"/>
  <c r="Q11" i="7"/>
  <c r="M12" i="7"/>
  <c r="N12" i="7"/>
  <c r="O12" i="7"/>
  <c r="P12" i="7"/>
  <c r="Q12" i="7"/>
  <c r="M13" i="7"/>
  <c r="N13" i="7"/>
  <c r="O13" i="7"/>
  <c r="P13" i="7"/>
  <c r="Q13" i="7"/>
  <c r="M14" i="7"/>
  <c r="N14" i="7"/>
  <c r="O14" i="7"/>
  <c r="P14" i="7"/>
  <c r="Q14" i="7"/>
  <c r="M15" i="7"/>
  <c r="N15" i="7"/>
  <c r="O15" i="7"/>
  <c r="P15" i="7"/>
  <c r="Q15" i="7"/>
  <c r="M16" i="7"/>
  <c r="N16" i="7"/>
  <c r="O16" i="7"/>
  <c r="P16" i="7"/>
  <c r="Q16" i="7"/>
  <c r="M17" i="7"/>
  <c r="N17" i="7"/>
  <c r="O17" i="7"/>
  <c r="P17" i="7"/>
  <c r="Q17" i="7"/>
  <c r="M18" i="7"/>
  <c r="N18" i="7"/>
  <c r="O18" i="7"/>
  <c r="P18" i="7"/>
  <c r="Q18" i="7"/>
  <c r="M19" i="7"/>
  <c r="N19" i="7"/>
  <c r="O19" i="7"/>
  <c r="P19" i="7"/>
  <c r="Q19" i="7"/>
  <c r="M20" i="7"/>
  <c r="N20" i="7"/>
  <c r="O20" i="7"/>
  <c r="P20" i="7"/>
  <c r="Q20" i="7"/>
  <c r="M21" i="7"/>
  <c r="N21" i="7"/>
  <c r="O21" i="7"/>
  <c r="P21" i="7"/>
  <c r="Q21" i="7"/>
  <c r="L167" i="7"/>
  <c r="L168" i="7"/>
  <c r="J167" i="7"/>
  <c r="J168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L129" i="7"/>
  <c r="L130" i="7"/>
  <c r="L131" i="7"/>
  <c r="L132" i="7"/>
  <c r="J129" i="7"/>
  <c r="J130" i="7"/>
  <c r="J131" i="7"/>
  <c r="J132" i="7"/>
  <c r="L128" i="7"/>
  <c r="J128" i="7"/>
  <c r="L115" i="7"/>
  <c r="L116" i="7"/>
  <c r="L117" i="7"/>
  <c r="L118" i="7"/>
  <c r="L119" i="7"/>
  <c r="L120" i="7"/>
  <c r="L121" i="7"/>
  <c r="L122" i="7"/>
  <c r="L123" i="7"/>
  <c r="L124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J115" i="7"/>
  <c r="J116" i="7"/>
  <c r="J117" i="7"/>
  <c r="J118" i="7"/>
  <c r="J119" i="7"/>
  <c r="J120" i="7"/>
  <c r="J121" i="7"/>
  <c r="J122" i="7"/>
  <c r="J123" i="7"/>
  <c r="J124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I124" i="7"/>
  <c r="I122" i="7"/>
  <c r="I121" i="7"/>
  <c r="I120" i="7"/>
  <c r="I119" i="7"/>
  <c r="I118" i="7"/>
  <c r="I117" i="7"/>
  <c r="I116" i="7"/>
  <c r="I115" i="7"/>
  <c r="I114" i="7"/>
  <c r="I111" i="7"/>
  <c r="I109" i="7"/>
  <c r="I108" i="7"/>
  <c r="I107" i="7"/>
  <c r="I104" i="7"/>
  <c r="I103" i="7"/>
  <c r="I102" i="7"/>
  <c r="I101" i="7"/>
  <c r="I100" i="7"/>
  <c r="I99" i="7"/>
  <c r="I98" i="7"/>
  <c r="H82" i="7"/>
  <c r="B12" i="6"/>
  <c r="B11" i="6"/>
  <c r="B10" i="6"/>
  <c r="B9" i="6"/>
  <c r="B7" i="6"/>
  <c r="B6" i="6"/>
  <c r="B9" i="3"/>
  <c r="B8" i="3"/>
  <c r="B6" i="3"/>
  <c r="B5" i="3"/>
  <c r="B3" i="3"/>
  <c r="B2" i="3"/>
  <c r="D11" i="2"/>
  <c r="D10" i="2"/>
  <c r="D9" i="2"/>
  <c r="D8" i="2"/>
  <c r="D6" i="2"/>
  <c r="D5" i="2"/>
  <c r="H137" i="7" l="1"/>
  <c r="H50" i="7"/>
  <c r="K101" i="7" l="1"/>
  <c r="G101" i="7"/>
  <c r="E101" i="7"/>
  <c r="D101" i="7"/>
  <c r="H67" i="7"/>
  <c r="H31" i="7"/>
  <c r="S120" i="7" l="1"/>
  <c r="R120" i="7"/>
  <c r="K120" i="7"/>
  <c r="G120" i="7"/>
  <c r="F120" i="7"/>
  <c r="E120" i="7"/>
  <c r="D120" i="7"/>
  <c r="D47" i="7"/>
  <c r="D49" i="7" l="1"/>
  <c r="V12" i="7" l="1"/>
  <c r="H64" i="7"/>
  <c r="S118" i="7"/>
  <c r="R118" i="7"/>
  <c r="K118" i="7"/>
  <c r="H118" i="7"/>
  <c r="G118" i="7"/>
  <c r="E118" i="7"/>
  <c r="D118" i="7"/>
  <c r="V78" i="7" l="1"/>
  <c r="S102" i="7" l="1"/>
  <c r="R102" i="7"/>
  <c r="K102" i="7"/>
  <c r="E102" i="7"/>
  <c r="D102" i="7"/>
  <c r="T142" i="7" l="1"/>
  <c r="H34" i="7"/>
  <c r="S111" i="7"/>
  <c r="R111" i="7"/>
  <c r="K111" i="7"/>
  <c r="G111" i="7"/>
  <c r="E111" i="7"/>
  <c r="D111" i="7"/>
  <c r="H49" i="7"/>
  <c r="H51" i="7"/>
  <c r="S103" i="7" l="1"/>
  <c r="R103" i="7"/>
  <c r="K103" i="7"/>
  <c r="G103" i="7"/>
  <c r="E103" i="7"/>
  <c r="D103" i="7"/>
  <c r="H91" i="7" l="1"/>
  <c r="S98" i="7" l="1"/>
  <c r="R98" i="7"/>
  <c r="K98" i="7"/>
  <c r="G98" i="7"/>
  <c r="E98" i="7"/>
  <c r="H98" i="7" s="1"/>
  <c r="D98" i="7"/>
  <c r="S117" i="7"/>
  <c r="R117" i="7"/>
  <c r="K117" i="7"/>
  <c r="G117" i="7"/>
  <c r="E117" i="7"/>
  <c r="D117" i="7"/>
  <c r="S119" i="7"/>
  <c r="R119" i="7"/>
  <c r="K119" i="7"/>
  <c r="G119" i="7"/>
  <c r="E119" i="7"/>
  <c r="D119" i="7"/>
  <c r="S100" i="7"/>
  <c r="R100" i="7"/>
  <c r="K100" i="7"/>
  <c r="H101" i="7"/>
  <c r="H102" i="7"/>
  <c r="H103" i="7"/>
  <c r="G100" i="7"/>
  <c r="E100" i="7"/>
  <c r="H100" i="7" s="1"/>
  <c r="D100" i="7"/>
  <c r="H9" i="7" l="1"/>
  <c r="H187" i="7"/>
  <c r="H128" i="7"/>
  <c r="H182" i="7"/>
  <c r="H181" i="7"/>
  <c r="H183" i="7"/>
  <c r="H184" i="7"/>
  <c r="S123" i="7"/>
  <c r="R123" i="7"/>
  <c r="K123" i="7"/>
  <c r="G123" i="7"/>
  <c r="E123" i="7"/>
  <c r="H123" i="7" s="1"/>
  <c r="D123" i="7"/>
  <c r="H151" i="7" l="1"/>
  <c r="H157" i="7"/>
  <c r="S99" i="7" l="1"/>
  <c r="R99" i="7"/>
  <c r="K99" i="7"/>
  <c r="G99" i="7"/>
  <c r="E99" i="7"/>
  <c r="D99" i="7"/>
  <c r="S107" i="7" l="1"/>
  <c r="R107" i="7"/>
  <c r="K107" i="7"/>
  <c r="G107" i="7"/>
  <c r="E107" i="7"/>
  <c r="D107" i="7"/>
  <c r="S109" i="7" l="1"/>
  <c r="R109" i="7"/>
  <c r="K109" i="7"/>
  <c r="G109" i="7"/>
  <c r="E109" i="7"/>
  <c r="D109" i="7"/>
  <c r="S122" i="7" l="1"/>
  <c r="R122" i="7"/>
  <c r="K122" i="7"/>
  <c r="G122" i="7"/>
  <c r="E122" i="7"/>
  <c r="D122" i="7"/>
  <c r="S104" i="7" l="1"/>
  <c r="S105" i="7"/>
  <c r="R104" i="7"/>
  <c r="K104" i="7"/>
  <c r="G104" i="7"/>
  <c r="E104" i="7"/>
  <c r="D104" i="7"/>
  <c r="S108" i="7" l="1"/>
  <c r="R108" i="7"/>
  <c r="K108" i="7"/>
  <c r="G108" i="7"/>
  <c r="E108" i="7"/>
  <c r="D108" i="7"/>
  <c r="H15" i="7"/>
  <c r="H16" i="7"/>
  <c r="S114" i="7"/>
  <c r="R114" i="7"/>
  <c r="K114" i="7"/>
  <c r="G114" i="7"/>
  <c r="E114" i="7"/>
  <c r="D114" i="7"/>
  <c r="S115" i="7" l="1"/>
  <c r="R115" i="7"/>
  <c r="K115" i="7"/>
  <c r="G115" i="7"/>
  <c r="E115" i="7"/>
  <c r="D115" i="7"/>
  <c r="S121" i="7" l="1"/>
  <c r="R121" i="7"/>
  <c r="K121" i="7"/>
  <c r="G121" i="7"/>
  <c r="E121" i="7"/>
  <c r="D121" i="7"/>
  <c r="S124" i="7" l="1"/>
  <c r="R124" i="7"/>
  <c r="K124" i="7"/>
  <c r="G124" i="7"/>
  <c r="E124" i="7"/>
  <c r="D124" i="7"/>
  <c r="S106" i="7"/>
  <c r="R106" i="7"/>
  <c r="R105" i="7"/>
  <c r="S116" i="7" l="1"/>
  <c r="R116" i="7"/>
  <c r="K116" i="7"/>
  <c r="G116" i="7"/>
  <c r="E116" i="7"/>
  <c r="D116" i="7"/>
  <c r="S97" i="7"/>
  <c r="R97" i="7"/>
  <c r="H75" i="7" l="1"/>
  <c r="H162" i="7" l="1"/>
  <c r="H107" i="7" l="1"/>
  <c r="H178" i="7"/>
  <c r="H179" i="7"/>
  <c r="H180" i="7"/>
  <c r="H185" i="7"/>
  <c r="H186" i="7"/>
  <c r="H190" i="7"/>
  <c r="H177" i="7"/>
  <c r="H174" i="7"/>
  <c r="H173" i="7"/>
  <c r="H167" i="7"/>
  <c r="H168" i="7"/>
  <c r="H166" i="7"/>
  <c r="H138" i="7"/>
  <c r="H139" i="7"/>
  <c r="H140" i="7"/>
  <c r="H141" i="7"/>
  <c r="H143" i="7"/>
  <c r="H145" i="7"/>
  <c r="H146" i="7"/>
  <c r="H147" i="7"/>
  <c r="H148" i="7"/>
  <c r="H149" i="7"/>
  <c r="H150" i="7"/>
  <c r="H152" i="7"/>
  <c r="H153" i="7"/>
  <c r="H154" i="7"/>
  <c r="H155" i="7"/>
  <c r="H156" i="7"/>
  <c r="H144" i="7"/>
  <c r="H158" i="7"/>
  <c r="H159" i="7"/>
  <c r="H160" i="7"/>
  <c r="H161" i="7"/>
  <c r="H136" i="7"/>
  <c r="H130" i="7"/>
  <c r="H131" i="7"/>
  <c r="H132" i="7"/>
  <c r="H129" i="7"/>
  <c r="H115" i="7"/>
  <c r="H116" i="7"/>
  <c r="H120" i="7"/>
  <c r="H121" i="7"/>
  <c r="H122" i="7"/>
  <c r="H124" i="7"/>
  <c r="H114" i="7"/>
  <c r="H99" i="7"/>
  <c r="H104" i="7"/>
  <c r="H105" i="7"/>
  <c r="H106" i="7"/>
  <c r="H108" i="7"/>
  <c r="H109" i="7"/>
  <c r="H110" i="7"/>
  <c r="H111" i="7"/>
  <c r="H97" i="7"/>
  <c r="H62" i="7"/>
  <c r="H63" i="7"/>
  <c r="H65" i="7"/>
  <c r="H66" i="7"/>
  <c r="H80" i="7"/>
  <c r="H68" i="7"/>
  <c r="H69" i="7"/>
  <c r="H70" i="7"/>
  <c r="H72" i="7"/>
  <c r="H73" i="7"/>
  <c r="H74" i="7"/>
  <c r="H61" i="7"/>
  <c r="H26" i="7"/>
  <c r="H27" i="7"/>
  <c r="H28" i="7"/>
  <c r="H29" i="7"/>
  <c r="H30" i="7"/>
  <c r="H32" i="7"/>
  <c r="H33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52" i="7"/>
  <c r="H53" i="7"/>
  <c r="H54" i="7"/>
  <c r="H55" i="7"/>
  <c r="H56" i="7"/>
  <c r="H57" i="7"/>
  <c r="H25" i="7"/>
  <c r="H6" i="7"/>
  <c r="H7" i="7"/>
  <c r="H8" i="7"/>
  <c r="H11" i="7"/>
  <c r="H12" i="7"/>
  <c r="H13" i="7"/>
  <c r="H14" i="7"/>
  <c r="H17" i="7"/>
  <c r="H18" i="7"/>
  <c r="H19" i="7"/>
  <c r="H20" i="7"/>
  <c r="H10" i="7"/>
  <c r="H21" i="7"/>
  <c r="H5" i="7"/>
  <c r="H76" i="7"/>
  <c r="H78" i="7"/>
  <c r="H79" i="7"/>
  <c r="H81" i="7"/>
  <c r="H83" i="7"/>
  <c r="H84" i="7"/>
  <c r="H85" i="7"/>
  <c r="H86" i="7"/>
  <c r="H87" i="7"/>
  <c r="H88" i="7"/>
  <c r="H89" i="7"/>
  <c r="H71" i="7"/>
  <c r="H90" i="7"/>
  <c r="H77" i="7"/>
  <c r="H92" i="7"/>
  <c r="T191" i="7" l="1"/>
  <c r="B13" i="6" s="1"/>
  <c r="K191" i="7"/>
  <c r="I191" i="7"/>
  <c r="T169" i="7"/>
  <c r="K169" i="7"/>
  <c r="I169" i="7"/>
  <c r="K163" i="7"/>
  <c r="I163" i="7"/>
  <c r="T163" i="7"/>
  <c r="T133" i="7"/>
  <c r="K133" i="7"/>
  <c r="I133" i="7"/>
  <c r="T125" i="7"/>
  <c r="T93" i="7"/>
  <c r="B8" i="6" s="1"/>
  <c r="K93" i="7"/>
  <c r="I93" i="7"/>
  <c r="T58" i="7"/>
  <c r="K58" i="7"/>
  <c r="I58" i="7"/>
  <c r="T22" i="7"/>
  <c r="K22" i="7"/>
  <c r="I22" i="7"/>
  <c r="Q5" i="7"/>
  <c r="P5" i="7"/>
  <c r="O5" i="7"/>
  <c r="N5" i="7"/>
  <c r="M5" i="7"/>
  <c r="J181" i="7" l="1"/>
  <c r="J182" i="7"/>
  <c r="J183" i="7"/>
  <c r="J186" i="7"/>
  <c r="J187" i="7"/>
  <c r="J184" i="7"/>
  <c r="J174" i="7"/>
  <c r="J178" i="7"/>
  <c r="J179" i="7"/>
  <c r="J180" i="7"/>
  <c r="J185" i="7"/>
  <c r="L187" i="7"/>
  <c r="L179" i="7"/>
  <c r="L180" i="7"/>
  <c r="B4" i="3"/>
  <c r="L181" i="7"/>
  <c r="L184" i="7"/>
  <c r="L185" i="7"/>
  <c r="L186" i="7"/>
  <c r="L174" i="7"/>
  <c r="L178" i="7"/>
  <c r="L182" i="7"/>
  <c r="L183" i="7"/>
  <c r="D12" i="2"/>
  <c r="D7" i="2"/>
  <c r="B7" i="3"/>
  <c r="J61" i="7"/>
  <c r="L61" i="7"/>
  <c r="J190" i="7"/>
  <c r="H117" i="7"/>
  <c r="K125" i="7"/>
  <c r="H119" i="7"/>
  <c r="J136" i="7"/>
  <c r="M163" i="7"/>
  <c r="J166" i="7"/>
  <c r="J5" i="7"/>
  <c r="I125" i="7"/>
  <c r="J97" i="7" s="1"/>
  <c r="M191" i="7"/>
  <c r="M133" i="7"/>
  <c r="J173" i="7"/>
  <c r="J177" i="7"/>
  <c r="L173" i="7"/>
  <c r="L177" i="7"/>
  <c r="L166" i="7"/>
  <c r="L5" i="7"/>
  <c r="L190" i="7"/>
  <c r="T192" i="7"/>
  <c r="L136" i="7"/>
  <c r="L25" i="7"/>
  <c r="M93" i="7"/>
  <c r="M58" i="7"/>
  <c r="M22" i="7"/>
  <c r="J25" i="7"/>
  <c r="M169" i="7"/>
  <c r="L114" i="7" l="1"/>
  <c r="L97" i="7"/>
  <c r="K192" i="7"/>
  <c r="L58" i="7" s="1"/>
  <c r="J114" i="7"/>
  <c r="I192" i="7"/>
  <c r="J169" i="7" s="1"/>
  <c r="M125" i="7"/>
  <c r="L93" i="7" l="1"/>
  <c r="L125" i="7"/>
  <c r="L22" i="7"/>
  <c r="L133" i="7"/>
  <c r="L163" i="7"/>
  <c r="L191" i="7"/>
  <c r="L169" i="7"/>
  <c r="J163" i="7"/>
  <c r="J58" i="7"/>
  <c r="J93" i="7"/>
  <c r="J191" i="7"/>
  <c r="J125" i="7"/>
  <c r="J22" i="7"/>
  <c r="J133" i="7"/>
</calcChain>
</file>

<file path=xl/sharedStrings.xml><?xml version="1.0" encoding="utf-8"?>
<sst xmlns="http://schemas.openxmlformats.org/spreadsheetml/2006/main" count="401" uniqueCount="270">
  <si>
    <t>S/N</t>
  </si>
  <si>
    <t>FUND</t>
  </si>
  <si>
    <t>FUND MANAGER</t>
  </si>
  <si>
    <t>TOTAL VALUE OF INVESTMENT (N)</t>
  </si>
  <si>
    <t>TOTAL INCOME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</si>
  <si>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</si>
  <si>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</si>
  <si>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</si>
  <si>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</si>
  <si>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</si>
  <si>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</si>
  <si>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</si>
  <si>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</si>
  <si>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</si>
  <si>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</si>
  <si>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</si>
  <si>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</si>
  <si>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</si>
  <si>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</si>
  <si>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</si>
  <si>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</si>
  <si>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</si>
  <si>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</si>
  <si>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</si>
  <si>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</si>
  <si>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</si>
  <si>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</si>
  <si>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</si>
  <si>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</si>
  <si>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</si>
  <si>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</si>
  <si>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</si>
  <si>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</si>
  <si>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</si>
  <si>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</si>
  <si>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</si>
  <si>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</si>
  <si>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</si>
  <si>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</si>
  <si>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</si>
  <si>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</si>
  <si>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</si>
  <si>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</si>
  <si>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</si>
  <si>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</si>
  <si>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</si>
  <si>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</si>
  <si>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</si>
  <si>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</si>
  <si>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</si>
  <si>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</si>
  <si>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</si>
  <si>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</si>
  <si>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</si>
  <si>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</si>
  <si>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</si>
  <si>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</si>
  <si>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ARM Investment Managers Limited</t>
  </si>
  <si>
    <t>AXA Mansard Money Market Fund</t>
  </si>
  <si>
    <t>Chapel Hill Denham Money Market Fund(Frml NGIF)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</si>
  <si>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</si>
  <si>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</si>
  <si>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</si>
  <si>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</si>
  <si>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</si>
  <si>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</si>
  <si>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</si>
  <si>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</si>
  <si>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</si>
  <si>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</si>
  <si>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</si>
  <si>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</si>
  <si>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</si>
  <si>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</si>
  <si>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</si>
  <si>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</si>
  <si>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</si>
  <si>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</si>
  <si>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</si>
  <si>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</si>
  <si>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</si>
  <si>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</si>
  <si>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</si>
  <si>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</si>
  <si>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</si>
  <si>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</si>
  <si>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</si>
  <si>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</si>
  <si>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</si>
  <si>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</si>
  <si>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</si>
  <si>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</si>
  <si>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</si>
  <si>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</si>
  <si>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</si>
  <si>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</si>
  <si>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</si>
  <si>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</si>
  <si>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</si>
  <si>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</si>
  <si>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</si>
  <si>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</si>
  <si>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</si>
  <si>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</si>
  <si>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</si>
  <si>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</si>
  <si>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</si>
  <si>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</si>
  <si>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</si>
  <si>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</si>
  <si>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</si>
  <si>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</si>
  <si>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</si>
  <si>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</si>
  <si>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</si>
  <si>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</si>
  <si>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</si>
  <si>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</si>
  <si>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</si>
  <si>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</si>
  <si>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</si>
  <si>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</si>
  <si>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</si>
  <si>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</si>
  <si>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</si>
  <si>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</si>
  <si>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</si>
  <si>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</si>
  <si>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</si>
  <si>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</si>
  <si>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</si>
  <si>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</si>
  <si>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</si>
  <si>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</si>
  <si>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</si>
  <si>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</si>
  <si>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</si>
  <si>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</si>
  <si>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</si>
  <si>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</si>
  <si>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</si>
  <si>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</si>
  <si>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</si>
  <si>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</si>
  <si>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>Nigerian Eurobond Fund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</si>
  <si>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</si>
  <si>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</si>
  <si>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</si>
  <si>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</si>
  <si>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</si>
  <si>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</si>
  <si>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</si>
  <si>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</si>
  <si>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</si>
  <si>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</si>
  <si>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</si>
  <si>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</si>
  <si>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</si>
  <si>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</si>
  <si>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</si>
  <si>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</si>
  <si>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</si>
  <si>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</si>
  <si>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</si>
  <si>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</si>
  <si>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</si>
  <si>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</si>
  <si>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</si>
  <si>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</si>
  <si>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</si>
  <si>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</si>
  <si>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</si>
  <si>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</si>
  <si>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</si>
  <si>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</si>
  <si>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</si>
  <si>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</si>
  <si>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</si>
  <si>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</si>
  <si>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</si>
  <si>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</si>
  <si>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</si>
  <si>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</si>
  <si>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</si>
  <si>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</si>
  <si>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</si>
  <si>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</si>
  <si>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</si>
  <si>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</si>
  <si>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</si>
  <si>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</si>
  <si>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</si>
  <si>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</si>
  <si>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</si>
  <si>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</si>
  <si>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</si>
  <si>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</si>
  <si>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</si>
  <si>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>Capital Trust Investments &amp; Asset Mgt. Ltd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</si>
  <si>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</si>
  <si>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</si>
  <si>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</si>
  <si>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</si>
  <si>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</si>
  <si>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</si>
  <si>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</si>
  <si>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</si>
  <si>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</si>
  <si>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BONDS/FIXED INCOME FUNDS</t>
  </si>
  <si>
    <t>DOLLAR FUNDS</t>
  </si>
  <si>
    <t>REAL ESTATE INVESTMENT TRUST</t>
  </si>
  <si>
    <t>SHARI'AH COMPLAINT FUNDS</t>
  </si>
  <si>
    <t>UNIT HOLDERS</t>
  </si>
  <si>
    <t>ARM Fixed Income Fund</t>
  </si>
  <si>
    <t>UNREALIZED CAPITAL GAIN/LOSS (N)</t>
  </si>
  <si>
    <t>MONTHLY UPDATE ON REGISTERED MUTUAL FUNDS AS AT 30TH JUNE, 2024</t>
  </si>
  <si>
    <t>Cowry Equity Fund</t>
  </si>
  <si>
    <t>CardinalStone Equity Fund</t>
  </si>
  <si>
    <t>Cowry Balanced Fund</t>
  </si>
  <si>
    <t>The Nigeria Football Fund</t>
  </si>
  <si>
    <t>GTI Asset Management &amp; Trust Limited</t>
  </si>
  <si>
    <t>Alpha Morgan Balanced Fund</t>
  </si>
  <si>
    <t>Alpha Morgan Capital Managers Limited</t>
  </si>
  <si>
    <t>GTI Balanced Fund</t>
  </si>
  <si>
    <t>Housing Solution Fund</t>
  </si>
  <si>
    <t>FUNDCO Capital Managers Limited</t>
  </si>
  <si>
    <t>15,914,002.32</t>
  </si>
  <si>
    <t>Norrenberger Investment &amp; Capital Mgt. Ltd.</t>
  </si>
  <si>
    <t>RMBN Dollar Fixed Income Fund</t>
  </si>
  <si>
    <t>RMB Nigeria Asset Management Ltd.</t>
  </si>
  <si>
    <t>FSDH Halal Fund</t>
  </si>
  <si>
    <t>Marble Halal Commodities Fund</t>
  </si>
  <si>
    <t xml:space="preserve">Marble Capital Limited </t>
  </si>
  <si>
    <t>Marble Halal Fixed Income Fund</t>
  </si>
  <si>
    <t>2,335,738,176.91</t>
  </si>
  <si>
    <t>40,070,999.80</t>
  </si>
  <si>
    <t>2,335,090,566.50</t>
  </si>
  <si>
    <t>110.92</t>
  </si>
  <si>
    <t>Lotus Waqf (Endowment) Fund</t>
  </si>
  <si>
    <t>BALANCED</t>
  </si>
  <si>
    <t>Growth and Development Asset Mgt. Ltd.</t>
  </si>
  <si>
    <t>AIICO Eurobond Fund</t>
  </si>
  <si>
    <t>CardinalStone Dollar Fund</t>
  </si>
  <si>
    <t>Comercio Partners Dollar Fund</t>
  </si>
  <si>
    <t>Comercio Partners Asset Management Limited</t>
  </si>
  <si>
    <t>Cowry Eurobond Fund</t>
  </si>
  <si>
    <t>EDC Dollar Fund</t>
  </si>
  <si>
    <t>Nigeria Bond Fund</t>
  </si>
  <si>
    <t>Comercio Partners Fixed Income Fund</t>
  </si>
  <si>
    <t>Cowry Fixed Income Fund</t>
  </si>
  <si>
    <t>FBN Bond Fund</t>
  </si>
  <si>
    <t>Guaranty Trust Fixed Income Fund</t>
  </si>
  <si>
    <t>Norrenberger Turbo Fixed Income Fund</t>
  </si>
  <si>
    <t>Utica Custodian Assured Fixed Income Fund</t>
  </si>
  <si>
    <t>Utica Capital Limited</t>
  </si>
  <si>
    <t>Page Money Market Fund</t>
  </si>
  <si>
    <t>Page Asset Management Limited</t>
  </si>
  <si>
    <t>RT Briscoe Savings &amp; Investment Fund</t>
  </si>
  <si>
    <t>Lead Dollar Fixed Income Fund</t>
  </si>
  <si>
    <t>Lead Asset Management Limited</t>
  </si>
  <si>
    <t>Comercio Partners Money Market Fund</t>
  </si>
  <si>
    <t>RMBN Money Market Fund</t>
  </si>
  <si>
    <r>
      <t>US$/NG</t>
    </r>
    <r>
      <rPr>
        <strike/>
        <sz val="8"/>
        <color rgb="FFFFFFFF"/>
        <rFont val="Times New Roman"/>
        <family val="1"/>
      </rPr>
      <t>N</t>
    </r>
    <r>
      <rPr>
        <sz val="8"/>
        <color rgb="FFFFFFFF"/>
        <rFont val="Times New Roman"/>
        <family val="1"/>
      </rPr>
      <t xml:space="preserve"> I&amp;E as at 30th June, 2024 = N1,470.19</t>
    </r>
  </si>
  <si>
    <t>June 2024</t>
  </si>
  <si>
    <t>May 2024</t>
  </si>
  <si>
    <t>NET ASSET VALUE (N) PREVIOUS - MAY</t>
  </si>
  <si>
    <t>Coral Money Market Fund</t>
  </si>
  <si>
    <t>2,286,797,004.41</t>
  </si>
  <si>
    <t>The chart above shows that the Dollar Fund (Eurobonds and Fixed Income) has the highest share of the Aggregate Net Asset Value (NAV) at 48.16%, followed by Money Market Fund with 36.18%, Bond/Fixed Income Fund at 8.05%, Real Estate Investment Trust at 3.26%.  Next is Balanced Fund at 1.62%, Shari'ah Compliant Fund at 1.58%, Equity Fund at 0.97% and Ethical Fund at 0.18%.</t>
  </si>
  <si>
    <t>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</si>
</sst>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;[Red]0"/>
    <numFmt numFmtId="166" formatCode="mmm\-yyyy"/>
    <numFmt numFmtId="167" formatCode="dd/mm/yy;@"/>
    <numFmt numFmtId="168" formatCode="[$-409]d\-mmm\-yy;@"/>
    <numFmt numFmtId="169" formatCode="&quot;Yes&quot;;&quot;Yes&quot;;&quot;No&quot;"/>
    <numFmt numFmtId="170" formatCode="0.00_)"/>
    <numFmt numFmtId="171" formatCode="_(* #,##0_);_(* \(#,##0\);_(* &quot;-&quot;??_);_(@_)"/>
    <numFmt numFmtId="172" formatCode="&quot; &quot;* #,##0.00&quot; &quot;;&quot;-&quot;* #,##0.00&quot; &quot;;&quot; &quot;* &quot;-&quot;??&quot; &quot;"/>
    <numFmt numFmtId="173" formatCode="&quot; &quot;* #,##0&quot; &quot;;&quot;-&quot;* #,##0&quot; &quot;;&quot; &quot;* &quot;-&quot;??&quot; &quot;"/>
    <numFmt numFmtId="174" formatCode="_-* #,##0_-;\-* #,##0_-;_-* &quot;-&quot;??_-;_-@_-"/>
    <numFmt numFmtId="175" formatCode="&quot; &quot;* #,##0.00&quot; &quot;;&quot; &quot;* \(#,##0.00\);&quot; &quot;* &quot;-&quot;??&quot; &quot;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rgb="FF9C5700"/>
      <name val="Calibri"/>
      <family val="2"/>
      <scheme val="minor"/>
    </font>
    <font>
      <b/>
      <i/>
      <sz val="16"/>
      <name val="Helv"/>
      <charset val="134"/>
    </font>
    <font>
      <sz val="10"/>
      <color theme="1"/>
      <name val="Futura Bk BT"/>
      <charset val="134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8"/>
      <color rgb="FFFF0000"/>
      <name val="Century Gothic"/>
      <family val="2"/>
    </font>
    <font>
      <sz val="8"/>
      <color indexed="8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b/>
      <sz val="8"/>
      <color rgb="FF00B050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b/>
      <sz val="8"/>
      <color rgb="FFFF0000"/>
      <name val="Century Gothic"/>
      <family val="2"/>
    </font>
    <font>
      <sz val="8"/>
      <color rgb="FF000000"/>
      <name val="Century Gothic"/>
      <family val="2"/>
    </font>
    <font>
      <sz val="8"/>
      <name val="Arial Narrow"/>
      <family val="2"/>
    </font>
    <font>
      <sz val="8"/>
      <color rgb="FFFFFFFF"/>
      <name val="Times New Roman"/>
      <family val="1"/>
    </font>
    <font>
      <strike/>
      <sz val="8"/>
      <color rgb="FFFFFFFF"/>
      <name val="Times New Roman"/>
      <family val="1"/>
    </font>
    <font>
      <b/>
      <sz val="8"/>
      <color theme="0"/>
      <name val="Times New Roman"/>
      <family val="1"/>
    </font>
    <font>
      <b/>
      <sz val="9"/>
      <name val="Century Gothic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32"/>
      <color indexed="9"/>
      <name val="Segoe UI Black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b/>
      <sz val="12"/>
      <color theme="0"/>
      <name val="Arial Narrow"/>
      <family val="2"/>
    </font>
    <font>
      <sz val="11"/>
      <name val="Calibri"/>
      <charset val="134"/>
      <scheme val="minor"/>
    </font>
    <font>
      <sz val="11"/>
      <color theme="0"/>
      <name val="Calibri"/>
      <charset val="134"/>
      <scheme val="minor"/>
    </font>
    <font>
      <sz val="8"/>
      <color theme="0"/>
      <name val="Century Gothic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66">
    <xf numFmtId="0" fontId="0" fillId="0" borderId="0"/>
    <xf numFmtId="164" fontId="23" fillId="0" borderId="0" applyFont="0" applyFill="0" applyBorder="0" applyAlignment="0" applyProtection="0"/>
    <xf numFmtId="44" fontId="23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165" fontId="16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3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8" fillId="11" borderId="0" applyNumberFormat="0" applyBorder="0" applyAlignment="0" applyProtection="0"/>
    <xf numFmtId="17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49" fontId="13" fillId="0" borderId="0"/>
    <xf numFmtId="49" fontId="13" fillId="0" borderId="0"/>
    <xf numFmtId="49" fontId="13" fillId="0" borderId="0"/>
    <xf numFmtId="49" fontId="13" fillId="0" borderId="0"/>
    <xf numFmtId="0" fontId="13" fillId="0" borderId="0"/>
    <xf numFmtId="37" fontId="1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0" fontId="23" fillId="10" borderId="3" applyNumberFormat="0" applyFont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1" fillId="0" borderId="0"/>
  </cellStyleXfs>
  <cellXfs count="2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5" fillId="2" borderId="0" xfId="0" applyFont="1" applyFill="1" applyAlignment="1">
      <alignment wrapText="1"/>
    </xf>
    <xf numFmtId="4" fontId="4" fillId="2" borderId="0" xfId="0" applyNumberFormat="1" applyFont="1" applyFill="1"/>
    <xf numFmtId="0" fontId="7" fillId="0" borderId="0" xfId="0" applyFont="1"/>
    <xf numFmtId="0" fontId="8" fillId="4" borderId="0" xfId="0" applyFont="1" applyFill="1"/>
    <xf numFmtId="0" fontId="8" fillId="0" borderId="0" xfId="0" applyFont="1"/>
    <xf numFmtId="0" fontId="8" fillId="2" borderId="0" xfId="0" applyFont="1" applyFill="1"/>
    <xf numFmtId="0" fontId="14" fillId="2" borderId="0" xfId="0" applyFont="1" applyFill="1"/>
    <xf numFmtId="164" fontId="8" fillId="2" borderId="0" xfId="1" applyFont="1" applyFill="1" applyBorder="1" applyAlignment="1"/>
    <xf numFmtId="0" fontId="15" fillId="2" borderId="0" xfId="0" applyFont="1" applyFill="1"/>
    <xf numFmtId="172" fontId="12" fillId="2" borderId="0" xfId="0" applyNumberFormat="1" applyFont="1" applyFill="1"/>
    <xf numFmtId="175" fontId="12" fillId="2" borderId="0" xfId="0" applyNumberFormat="1" applyFont="1" applyFill="1"/>
    <xf numFmtId="0" fontId="24" fillId="0" borderId="0" xfId="0" applyFont="1"/>
    <xf numFmtId="49" fontId="9" fillId="6" borderId="4" xfId="0" applyNumberFormat="1" applyFont="1" applyFill="1" applyBorder="1" applyAlignment="1">
      <alignment horizontal="center" vertical="top" wrapText="1"/>
    </xf>
    <xf numFmtId="164" fontId="9" fillId="6" borderId="4" xfId="1" applyFont="1" applyFill="1" applyBorder="1" applyAlignment="1">
      <alignment horizontal="center" vertical="top" wrapText="1"/>
    </xf>
    <xf numFmtId="173" fontId="26" fillId="2" borderId="4" xfId="0" applyNumberFormat="1" applyFont="1" applyFill="1" applyBorder="1" applyAlignment="1">
      <alignment horizontal="center" wrapText="1"/>
    </xf>
    <xf numFmtId="49" fontId="26" fillId="2" borderId="4" xfId="0" applyNumberFormat="1" applyFont="1" applyFill="1" applyBorder="1" applyAlignment="1">
      <alignment wrapText="1"/>
    </xf>
    <xf numFmtId="4" fontId="28" fillId="2" borderId="4" xfId="0" applyNumberFormat="1" applyFont="1" applyFill="1" applyBorder="1"/>
    <xf numFmtId="164" fontId="28" fillId="2" borderId="4" xfId="1" applyFont="1" applyFill="1" applyBorder="1" applyAlignment="1"/>
    <xf numFmtId="172" fontId="28" fillId="2" borderId="4" xfId="0" applyNumberFormat="1" applyFont="1" applyFill="1" applyBorder="1" applyAlignment="1">
      <alignment horizontal="left"/>
    </xf>
    <xf numFmtId="10" fontId="28" fillId="2" borderId="4" xfId="0" applyNumberFormat="1" applyFont="1" applyFill="1" applyBorder="1" applyAlignment="1">
      <alignment horizontal="center"/>
    </xf>
    <xf numFmtId="10" fontId="30" fillId="7" borderId="4" xfId="0" applyNumberFormat="1" applyFont="1" applyFill="1" applyBorder="1" applyAlignment="1">
      <alignment horizontal="center" vertical="center"/>
    </xf>
    <xf numFmtId="10" fontId="28" fillId="7" borderId="4" xfId="0" applyNumberFormat="1" applyFont="1" applyFill="1" applyBorder="1" applyAlignment="1">
      <alignment horizontal="center" vertical="center"/>
    </xf>
    <xf numFmtId="172" fontId="28" fillId="7" borderId="4" xfId="0" applyNumberFormat="1" applyFont="1" applyFill="1" applyBorder="1" applyAlignment="1">
      <alignment horizontal="right" vertical="center"/>
    </xf>
    <xf numFmtId="172" fontId="28" fillId="2" borderId="4" xfId="0" applyNumberFormat="1" applyFont="1" applyFill="1" applyBorder="1"/>
    <xf numFmtId="164" fontId="28" fillId="2" borderId="4" xfId="1" applyFont="1" applyFill="1" applyBorder="1"/>
    <xf numFmtId="49" fontId="26" fillId="2" borderId="4" xfId="0" applyNumberFormat="1" applyFont="1" applyFill="1" applyBorder="1"/>
    <xf numFmtId="49" fontId="26" fillId="2" borderId="4" xfId="0" applyNumberFormat="1" applyFont="1" applyFill="1" applyBorder="1" applyAlignment="1">
      <alignment vertical="center" wrapText="1"/>
    </xf>
    <xf numFmtId="4" fontId="35" fillId="0" borderId="4" xfId="0" applyNumberFormat="1" applyFont="1" applyBorder="1"/>
    <xf numFmtId="0" fontId="35" fillId="0" borderId="4" xfId="0" applyFont="1" applyBorder="1"/>
    <xf numFmtId="4" fontId="26" fillId="2" borderId="4" xfId="0" applyNumberFormat="1" applyFont="1" applyFill="1" applyBorder="1" applyAlignment="1">
      <alignment wrapText="1"/>
    </xf>
    <xf numFmtId="0" fontId="26" fillId="2" borderId="4" xfId="0" applyFont="1" applyFill="1" applyBorder="1" applyAlignment="1">
      <alignment wrapText="1"/>
    </xf>
    <xf numFmtId="172" fontId="26" fillId="2" borderId="4" xfId="0" applyNumberFormat="1" applyFont="1" applyFill="1" applyBorder="1"/>
    <xf numFmtId="4" fontId="32" fillId="0" borderId="4" xfId="0" applyNumberFormat="1" applyFont="1" applyBorder="1"/>
    <xf numFmtId="164" fontId="26" fillId="2" borderId="4" xfId="1" applyFont="1" applyFill="1" applyBorder="1"/>
    <xf numFmtId="4" fontId="35" fillId="0" borderId="4" xfId="0" applyNumberFormat="1" applyFont="1" applyBorder="1" applyAlignment="1">
      <alignment horizontal="right"/>
    </xf>
    <xf numFmtId="172" fontId="28" fillId="2" borderId="4" xfId="0" applyNumberFormat="1" applyFont="1" applyFill="1" applyBorder="1" applyAlignment="1">
      <alignment horizontal="right"/>
    </xf>
    <xf numFmtId="172" fontId="35" fillId="0" borderId="4" xfId="0" applyNumberFormat="1" applyFont="1" applyBorder="1"/>
    <xf numFmtId="173" fontId="35" fillId="0" borderId="4" xfId="0" applyNumberFormat="1" applyFont="1" applyBorder="1"/>
    <xf numFmtId="172" fontId="35" fillId="0" borderId="4" xfId="0" applyNumberFormat="1" applyFont="1" applyBorder="1" applyAlignment="1">
      <alignment horizontal="right"/>
    </xf>
    <xf numFmtId="4" fontId="26" fillId="0" borderId="4" xfId="0" applyNumberFormat="1" applyFont="1" applyBorder="1"/>
    <xf numFmtId="0" fontId="32" fillId="0" borderId="4" xfId="0" applyFont="1" applyBorder="1"/>
    <xf numFmtId="172" fontId="35" fillId="29" borderId="4" xfId="0" applyNumberFormat="1" applyFont="1" applyFill="1" applyBorder="1" applyAlignment="1">
      <alignment horizontal="left"/>
    </xf>
    <xf numFmtId="172" fontId="28" fillId="0" borderId="4" xfId="0" applyNumberFormat="1" applyFont="1" applyFill="1" applyBorder="1"/>
    <xf numFmtId="173" fontId="28" fillId="0" borderId="4" xfId="0" applyNumberFormat="1" applyFont="1" applyFill="1" applyBorder="1"/>
    <xf numFmtId="43" fontId="28" fillId="0" borderId="4" xfId="0" applyNumberFormat="1" applyFont="1" applyFill="1" applyBorder="1"/>
    <xf numFmtId="4" fontId="35" fillId="2" borderId="4" xfId="0" applyNumberFormat="1" applyFont="1" applyFill="1" applyBorder="1"/>
    <xf numFmtId="3" fontId="35" fillId="0" borderId="4" xfId="0" applyNumberFormat="1" applyFont="1" applyBorder="1"/>
    <xf numFmtId="43" fontId="35" fillId="0" borderId="4" xfId="0" applyNumberFormat="1" applyFont="1" applyBorder="1"/>
    <xf numFmtId="43" fontId="35" fillId="0" borderId="4" xfId="2" applyNumberFormat="1" applyFont="1" applyBorder="1" applyAlignment="1"/>
    <xf numFmtId="43" fontId="35" fillId="0" borderId="4" xfId="0" applyNumberFormat="1" applyFont="1" applyBorder="1" applyAlignment="1">
      <alignment vertical="center"/>
    </xf>
    <xf numFmtId="172" fontId="30" fillId="2" borderId="4" xfId="0" applyNumberFormat="1" applyFont="1" applyFill="1" applyBorder="1" applyAlignment="1">
      <alignment horizontal="left"/>
    </xf>
    <xf numFmtId="10" fontId="31" fillId="2" borderId="4" xfId="0" applyNumberFormat="1" applyFont="1" applyFill="1" applyBorder="1" applyAlignment="1">
      <alignment horizontal="center"/>
    </xf>
    <xf numFmtId="10" fontId="31" fillId="7" borderId="4" xfId="0" applyNumberFormat="1" applyFont="1" applyFill="1" applyBorder="1" applyAlignment="1">
      <alignment horizontal="center" vertical="center"/>
    </xf>
    <xf numFmtId="172" fontId="31" fillId="7" borderId="4" xfId="0" applyNumberFormat="1" applyFont="1" applyFill="1" applyBorder="1" applyAlignment="1">
      <alignment horizontal="right" vertical="center"/>
    </xf>
    <xf numFmtId="172" fontId="31" fillId="2" borderId="4" xfId="0" applyNumberFormat="1" applyFont="1" applyFill="1" applyBorder="1"/>
    <xf numFmtId="164" fontId="30" fillId="2" borderId="4" xfId="1" applyFont="1" applyFill="1" applyBorder="1"/>
    <xf numFmtId="164" fontId="31" fillId="2" borderId="4" xfId="1" applyFont="1" applyFill="1" applyBorder="1"/>
    <xf numFmtId="172" fontId="35" fillId="29" borderId="4" xfId="0" applyNumberFormat="1" applyFont="1" applyFill="1" applyBorder="1"/>
    <xf numFmtId="164" fontId="32" fillId="2" borderId="4" xfId="1" applyFont="1" applyFill="1" applyBorder="1"/>
    <xf numFmtId="164" fontId="26" fillId="2" borderId="4" xfId="1" applyFont="1" applyFill="1" applyBorder="1" applyAlignment="1">
      <alignment wrapText="1"/>
    </xf>
    <xf numFmtId="164" fontId="26" fillId="2" borderId="4" xfId="1" applyFont="1" applyFill="1" applyBorder="1" applyAlignment="1"/>
    <xf numFmtId="10" fontId="29" fillId="7" borderId="4" xfId="0" applyNumberFormat="1" applyFont="1" applyFill="1" applyBorder="1" applyAlignment="1">
      <alignment horizontal="center" vertical="center"/>
    </xf>
    <xf numFmtId="172" fontId="28" fillId="0" borderId="4" xfId="0" applyNumberFormat="1" applyFont="1" applyFill="1" applyBorder="1" applyAlignment="1">
      <alignment horizontal="right"/>
    </xf>
    <xf numFmtId="4" fontId="28" fillId="0" borderId="4" xfId="0" applyNumberFormat="1" applyFont="1" applyFill="1" applyBorder="1" applyAlignment="1">
      <alignment horizontal="right"/>
    </xf>
    <xf numFmtId="173" fontId="28" fillId="2" borderId="4" xfId="0" applyNumberFormat="1" applyFont="1" applyFill="1" applyBorder="1"/>
    <xf numFmtId="43" fontId="32" fillId="2" borderId="4" xfId="0" applyNumberFormat="1" applyFont="1" applyFill="1" applyBorder="1"/>
    <xf numFmtId="43" fontId="28" fillId="2" borderId="4" xfId="0" applyNumberFormat="1" applyFont="1" applyFill="1" applyBorder="1" applyAlignment="1">
      <alignment horizontal="center"/>
    </xf>
    <xf numFmtId="3" fontId="32" fillId="0" borderId="4" xfId="0" applyNumberFormat="1" applyFont="1" applyBorder="1"/>
    <xf numFmtId="49" fontId="26" fillId="2" borderId="4" xfId="0" applyNumberFormat="1" applyFont="1" applyFill="1" applyBorder="1" applyAlignment="1">
      <alignment vertical="top" wrapText="1"/>
    </xf>
    <xf numFmtId="172" fontId="35" fillId="2" borderId="4" xfId="0" applyNumberFormat="1" applyFont="1" applyFill="1" applyBorder="1" applyAlignment="1">
      <alignment horizontal="right"/>
    </xf>
    <xf numFmtId="4" fontId="35" fillId="2" borderId="4" xfId="0" applyNumberFormat="1" applyFont="1" applyFill="1" applyBorder="1" applyAlignment="1">
      <alignment horizontal="right"/>
    </xf>
    <xf numFmtId="172" fontId="33" fillId="2" borderId="4" xfId="0" applyNumberFormat="1" applyFont="1" applyFill="1" applyBorder="1"/>
    <xf numFmtId="10" fontId="33" fillId="2" borderId="4" xfId="0" applyNumberFormat="1" applyFont="1" applyFill="1" applyBorder="1" applyAlignment="1">
      <alignment horizontal="center"/>
    </xf>
    <xf numFmtId="10" fontId="34" fillId="7" borderId="4" xfId="0" applyNumberFormat="1" applyFont="1" applyFill="1" applyBorder="1" applyAlignment="1">
      <alignment horizontal="center" vertical="center"/>
    </xf>
    <xf numFmtId="10" fontId="33" fillId="7" borderId="4" xfId="0" applyNumberFormat="1" applyFont="1" applyFill="1" applyBorder="1" applyAlignment="1">
      <alignment horizontal="center" vertical="center"/>
    </xf>
    <xf numFmtId="172" fontId="33" fillId="7" borderId="4" xfId="0" applyNumberFormat="1" applyFont="1" applyFill="1" applyBorder="1" applyAlignment="1">
      <alignment horizontal="center" vertical="center"/>
    </xf>
    <xf numFmtId="164" fontId="33" fillId="2" borderId="4" xfId="1" applyFont="1" applyFill="1" applyBorder="1"/>
    <xf numFmtId="2" fontId="28" fillId="2" borderId="4" xfId="0" applyNumberFormat="1" applyFont="1" applyFill="1" applyBorder="1"/>
    <xf numFmtId="43" fontId="32" fillId="0" borderId="4" xfId="0" applyNumberFormat="1" applyFont="1" applyBorder="1"/>
    <xf numFmtId="164" fontId="26" fillId="2" borderId="4" xfId="1" applyFont="1" applyFill="1" applyBorder="1" applyAlignment="1">
      <alignment horizontal="right"/>
    </xf>
    <xf numFmtId="164" fontId="28" fillId="2" borderId="4" xfId="1" applyFont="1" applyFill="1" applyBorder="1" applyAlignment="1">
      <alignment horizontal="right"/>
    </xf>
    <xf numFmtId="172" fontId="26" fillId="2" borderId="4" xfId="0" applyNumberFormat="1" applyFont="1" applyFill="1" applyBorder="1" applyAlignment="1">
      <alignment horizontal="right"/>
    </xf>
    <xf numFmtId="164" fontId="32" fillId="0" borderId="4" xfId="1" applyFont="1" applyBorder="1"/>
    <xf numFmtId="2" fontId="28" fillId="0" borderId="4" xfId="0" applyNumberFormat="1" applyFont="1" applyFill="1" applyBorder="1"/>
    <xf numFmtId="0" fontId="28" fillId="2" borderId="4" xfId="1" applyNumberFormat="1" applyFont="1" applyFill="1" applyBorder="1"/>
    <xf numFmtId="0" fontId="32" fillId="0" borderId="4" xfId="1" applyNumberFormat="1" applyFont="1" applyBorder="1"/>
    <xf numFmtId="4" fontId="28" fillId="2" borderId="4" xfId="0" applyNumberFormat="1" applyFont="1" applyFill="1" applyBorder="1" applyAlignment="1">
      <alignment horizontal="right"/>
    </xf>
    <xf numFmtId="0" fontId="28" fillId="2" borderId="4" xfId="1" applyNumberFormat="1" applyFont="1" applyFill="1" applyBorder="1" applyAlignment="1">
      <alignment horizontal="right"/>
    </xf>
    <xf numFmtId="0" fontId="35" fillId="0" borderId="4" xfId="1" applyNumberFormat="1" applyFont="1" applyBorder="1"/>
    <xf numFmtId="4" fontId="35" fillId="0" borderId="4" xfId="0" applyNumberFormat="1" applyFont="1" applyFill="1" applyBorder="1"/>
    <xf numFmtId="164" fontId="28" fillId="0" borderId="4" xfId="1" applyFont="1" applyFill="1" applyBorder="1" applyAlignment="1"/>
    <xf numFmtId="43" fontId="32" fillId="0" borderId="4" xfId="0" applyNumberFormat="1" applyFont="1" applyBorder="1" applyAlignment="1">
      <alignment horizontal="right"/>
    </xf>
    <xf numFmtId="4" fontId="32" fillId="0" borderId="4" xfId="0" applyNumberFormat="1" applyFont="1" applyBorder="1" applyAlignment="1">
      <alignment vertical="center"/>
    </xf>
    <xf numFmtId="0" fontId="32" fillId="2" borderId="4" xfId="0" applyFont="1" applyFill="1" applyBorder="1"/>
    <xf numFmtId="4" fontId="28" fillId="2" borderId="4" xfId="1" applyNumberFormat="1" applyFont="1" applyFill="1" applyBorder="1"/>
    <xf numFmtId="4" fontId="35" fillId="0" borderId="4" xfId="1" applyNumberFormat="1" applyFont="1" applyBorder="1"/>
    <xf numFmtId="174" fontId="28" fillId="2" borderId="4" xfId="1" applyNumberFormat="1" applyFont="1" applyFill="1" applyBorder="1" applyAlignment="1">
      <alignment horizontal="right"/>
    </xf>
    <xf numFmtId="172" fontId="29" fillId="2" borderId="4" xfId="0" applyNumberFormat="1" applyFont="1" applyFill="1" applyBorder="1"/>
    <xf numFmtId="173" fontId="26" fillId="2" borderId="4" xfId="0" applyNumberFormat="1" applyFont="1" applyFill="1" applyBorder="1" applyAlignment="1">
      <alignment horizontal="right" wrapText="1"/>
    </xf>
    <xf numFmtId="43" fontId="26" fillId="2" borderId="4" xfId="1" applyNumberFormat="1" applyFont="1" applyFill="1" applyBorder="1"/>
    <xf numFmtId="3" fontId="28" fillId="2" borderId="4" xfId="0" applyNumberFormat="1" applyFont="1" applyFill="1" applyBorder="1"/>
    <xf numFmtId="43" fontId="32" fillId="0" borderId="4" xfId="2" applyNumberFormat="1" applyFont="1" applyBorder="1" applyAlignment="1">
      <alignment horizontal="right"/>
    </xf>
    <xf numFmtId="43" fontId="32" fillId="0" borderId="4" xfId="2" applyNumberFormat="1" applyFont="1" applyBorder="1" applyAlignment="1"/>
    <xf numFmtId="164" fontId="35" fillId="0" borderId="4" xfId="1" applyFont="1" applyBorder="1"/>
    <xf numFmtId="172" fontId="33" fillId="7" borderId="4" xfId="0" applyNumberFormat="1" applyFont="1" applyFill="1" applyBorder="1" applyAlignment="1">
      <alignment horizontal="right" vertical="center"/>
    </xf>
    <xf numFmtId="164" fontId="33" fillId="2" borderId="4" xfId="1" applyFont="1" applyFill="1" applyBorder="1" applyAlignment="1"/>
    <xf numFmtId="174" fontId="26" fillId="2" borderId="4" xfId="1" applyNumberFormat="1" applyFont="1" applyFill="1" applyBorder="1" applyAlignment="1">
      <alignment horizontal="center" wrapText="1"/>
    </xf>
    <xf numFmtId="164" fontId="26" fillId="2" borderId="4" xfId="1" applyFont="1" applyFill="1" applyBorder="1" applyAlignment="1">
      <alignment horizontal="left" vertical="top" wrapText="1"/>
    </xf>
    <xf numFmtId="2" fontId="26" fillId="2" borderId="4" xfId="0" applyNumberFormat="1" applyFont="1" applyFill="1" applyBorder="1" applyAlignment="1">
      <alignment horizontal="right" vertical="top" wrapText="1"/>
    </xf>
    <xf numFmtId="49" fontId="29" fillId="2" borderId="4" xfId="0" applyNumberFormat="1" applyFont="1" applyFill="1" applyBorder="1" applyAlignment="1">
      <alignment horizontal="center" vertical="top" wrapText="1"/>
    </xf>
    <xf numFmtId="164" fontId="26" fillId="2" borderId="4" xfId="1" applyFont="1" applyFill="1" applyBorder="1" applyAlignment="1">
      <alignment horizontal="center" vertical="top" wrapText="1"/>
    </xf>
    <xf numFmtId="164" fontId="26" fillId="2" borderId="4" xfId="1" applyFont="1" applyFill="1" applyBorder="1" applyAlignment="1">
      <alignment horizontal="right" vertical="top" wrapText="1"/>
    </xf>
    <xf numFmtId="9" fontId="26" fillId="2" borderId="4" xfId="464" applyFont="1" applyFill="1" applyBorder="1" applyAlignment="1">
      <alignment horizontal="right" vertical="top" wrapText="1"/>
    </xf>
    <xf numFmtId="164" fontId="26" fillId="2" borderId="4" xfId="1" applyNumberFormat="1" applyFont="1" applyFill="1" applyBorder="1" applyAlignment="1">
      <alignment horizontal="right" vertical="top" wrapText="1"/>
    </xf>
    <xf numFmtId="0" fontId="28" fillId="2" borderId="4" xfId="0" applyNumberFormat="1" applyFont="1" applyFill="1" applyBorder="1" applyAlignment="1">
      <alignment horizontal="right"/>
    </xf>
    <xf numFmtId="3" fontId="32" fillId="2" borderId="4" xfId="0" applyNumberFormat="1" applyFont="1" applyFill="1" applyBorder="1"/>
    <xf numFmtId="164" fontId="26" fillId="2" borderId="4" xfId="1" applyFont="1" applyFill="1" applyBorder="1" applyAlignment="1">
      <alignment horizontal="left"/>
    </xf>
    <xf numFmtId="0" fontId="26" fillId="2" borderId="4" xfId="0" applyFont="1" applyFill="1" applyBorder="1"/>
    <xf numFmtId="43" fontId="28" fillId="2" borderId="4" xfId="2" applyNumberFormat="1" applyFont="1" applyFill="1" applyBorder="1" applyAlignment="1"/>
    <xf numFmtId="4" fontId="32" fillId="0" borderId="4" xfId="0" applyNumberFormat="1" applyFont="1" applyBorder="1" applyAlignment="1">
      <alignment horizontal="right" vertical="center"/>
    </xf>
    <xf numFmtId="4" fontId="32" fillId="2" borderId="4" xfId="0" applyNumberFormat="1" applyFont="1" applyFill="1" applyBorder="1"/>
    <xf numFmtId="3" fontId="35" fillId="2" borderId="4" xfId="0" applyNumberFormat="1" applyFont="1" applyFill="1" applyBorder="1"/>
    <xf numFmtId="164" fontId="33" fillId="2" borderId="4" xfId="1" applyFont="1" applyFill="1" applyBorder="1" applyAlignment="1">
      <alignment wrapText="1"/>
    </xf>
    <xf numFmtId="173" fontId="28" fillId="2" borderId="4" xfId="0" applyNumberFormat="1" applyFont="1" applyFill="1" applyBorder="1" applyAlignment="1">
      <alignment horizontal="right"/>
    </xf>
    <xf numFmtId="10" fontId="33" fillId="7" borderId="4" xfId="0" applyNumberFormat="1" applyFont="1" applyFill="1" applyBorder="1" applyAlignment="1">
      <alignment horizontal="right" vertical="center"/>
    </xf>
    <xf numFmtId="172" fontId="28" fillId="2" borderId="4" xfId="0" applyNumberFormat="1" applyFont="1" applyFill="1" applyBorder="1" applyAlignment="1">
      <alignment horizontal="right" wrapText="1"/>
    </xf>
    <xf numFmtId="164" fontId="28" fillId="2" borderId="4" xfId="1" applyFont="1" applyFill="1" applyBorder="1" applyAlignment="1">
      <alignment horizontal="left"/>
    </xf>
    <xf numFmtId="43" fontId="26" fillId="2" borderId="4" xfId="2" applyNumberFormat="1" applyFont="1" applyFill="1" applyBorder="1" applyAlignment="1" applyProtection="1"/>
    <xf numFmtId="4" fontId="26" fillId="2" borderId="4" xfId="465" applyNumberFormat="1" applyFont="1" applyFill="1" applyBorder="1" applyAlignment="1">
      <alignment wrapText="1"/>
    </xf>
    <xf numFmtId="0" fontId="26" fillId="2" borderId="4" xfId="465" applyFont="1" applyFill="1" applyBorder="1" applyAlignment="1">
      <alignment wrapText="1"/>
    </xf>
    <xf numFmtId="43" fontId="35" fillId="2" borderId="4" xfId="0" applyNumberFormat="1" applyFont="1" applyFill="1" applyBorder="1"/>
    <xf numFmtId="172" fontId="33" fillId="6" borderId="4" xfId="0" applyNumberFormat="1" applyFont="1" applyFill="1" applyBorder="1"/>
    <xf numFmtId="10" fontId="33" fillId="6" borderId="4" xfId="0" applyNumberFormat="1" applyFont="1" applyFill="1" applyBorder="1"/>
    <xf numFmtId="10" fontId="34" fillId="6" borderId="4" xfId="0" applyNumberFormat="1" applyFont="1" applyFill="1" applyBorder="1" applyAlignment="1">
      <alignment horizontal="right" vertical="center"/>
    </xf>
    <xf numFmtId="10" fontId="33" fillId="6" borderId="4" xfId="0" applyNumberFormat="1" applyFont="1" applyFill="1" applyBorder="1" applyAlignment="1">
      <alignment horizontal="right" vertical="center"/>
    </xf>
    <xf numFmtId="172" fontId="33" fillId="6" borderId="4" xfId="0" applyNumberFormat="1" applyFont="1" applyFill="1" applyBorder="1" applyAlignment="1">
      <alignment horizontal="right" vertical="center"/>
    </xf>
    <xf numFmtId="164" fontId="33" fillId="6" borderId="4" xfId="1" applyFont="1" applyFill="1" applyBorder="1"/>
    <xf numFmtId="0" fontId="37" fillId="9" borderId="0" xfId="0" applyFont="1" applyFill="1" applyAlignment="1">
      <alignment horizontal="left"/>
    </xf>
    <xf numFmtId="0" fontId="39" fillId="9" borderId="0" xfId="0" applyFont="1" applyFill="1" applyAlignment="1">
      <alignment horizontal="right" vertical="center"/>
    </xf>
    <xf numFmtId="0" fontId="41" fillId="0" borderId="0" xfId="0" applyFont="1" applyAlignment="1">
      <alignment horizontal="right"/>
    </xf>
    <xf numFmtId="4" fontId="43" fillId="2" borderId="0" xfId="0" applyNumberFormat="1" applyFont="1" applyFill="1"/>
    <xf numFmtId="4" fontId="43" fillId="2" borderId="0" xfId="0" applyNumberFormat="1" applyFont="1" applyFill="1" applyAlignment="1">
      <alignment horizontal="right"/>
    </xf>
    <xf numFmtId="4" fontId="36" fillId="2" borderId="0" xfId="0" applyNumberFormat="1" applyFont="1" applyFill="1" applyAlignment="1">
      <alignment horizontal="right"/>
    </xf>
    <xf numFmtId="0" fontId="42" fillId="0" borderId="0" xfId="0" applyFont="1" applyAlignment="1">
      <alignment horizontal="right"/>
    </xf>
    <xf numFmtId="4" fontId="36" fillId="2" borderId="0" xfId="0" applyNumberFormat="1" applyFont="1" applyFill="1"/>
    <xf numFmtId="164" fontId="43" fillId="2" borderId="0" xfId="1" applyFont="1" applyFill="1" applyBorder="1" applyAlignment="1">
      <alignment horizontal="right" vertical="top" wrapText="1"/>
    </xf>
    <xf numFmtId="164" fontId="36" fillId="2" borderId="0" xfId="1" applyFont="1" applyFill="1" applyBorder="1" applyAlignment="1">
      <alignment horizontal="right" vertical="top" wrapText="1"/>
    </xf>
    <xf numFmtId="0" fontId="44" fillId="0" borderId="2" xfId="0" applyFont="1" applyBorder="1" applyAlignment="1">
      <alignment horizontal="right"/>
    </xf>
    <xf numFmtId="43" fontId="7" fillId="0" borderId="0" xfId="201" applyFont="1"/>
    <xf numFmtId="4" fontId="36" fillId="2" borderId="2" xfId="0" applyNumberFormat="1" applyFont="1" applyFill="1" applyBorder="1"/>
    <xf numFmtId="4" fontId="36" fillId="2" borderId="2" xfId="0" applyNumberFormat="1" applyFont="1" applyFill="1" applyBorder="1" applyAlignment="1">
      <alignment horizontal="right"/>
    </xf>
    <xf numFmtId="172" fontId="26" fillId="2" borderId="2" xfId="0" applyNumberFormat="1" applyFont="1" applyFill="1" applyBorder="1"/>
    <xf numFmtId="0" fontId="43" fillId="0" borderId="0" xfId="0" applyFont="1" applyAlignment="1">
      <alignment horizontal="right"/>
    </xf>
    <xf numFmtId="4" fontId="43" fillId="2" borderId="1" xfId="0" applyNumberFormat="1" applyFont="1" applyFill="1" applyBorder="1" applyAlignment="1">
      <alignment horizontal="right"/>
    </xf>
    <xf numFmtId="172" fontId="26" fillId="2" borderId="5" xfId="0" applyNumberFormat="1" applyFont="1" applyFill="1" applyBorder="1" applyAlignment="1">
      <alignment horizontal="left"/>
    </xf>
    <xf numFmtId="4" fontId="26" fillId="0" borderId="5" xfId="0" applyNumberFormat="1" applyFont="1" applyBorder="1"/>
    <xf numFmtId="172" fontId="26" fillId="2" borderId="5" xfId="0" applyNumberFormat="1" applyFont="1" applyFill="1" applyBorder="1"/>
    <xf numFmtId="172" fontId="26" fillId="2" borderId="5" xfId="0" applyNumberFormat="1" applyFont="1" applyFill="1" applyBorder="1" applyAlignment="1">
      <alignment horizontal="right"/>
    </xf>
    <xf numFmtId="172" fontId="26" fillId="29" borderId="5" xfId="0" applyNumberFormat="1" applyFont="1" applyFill="1" applyBorder="1" applyAlignment="1">
      <alignment horizontal="left"/>
    </xf>
    <xf numFmtId="43" fontId="26" fillId="0" borderId="5" xfId="2" applyNumberFormat="1" applyFont="1" applyBorder="1" applyAlignment="1"/>
    <xf numFmtId="172" fontId="26" fillId="29" borderId="5" xfId="0" applyNumberFormat="1" applyFont="1" applyFill="1" applyBorder="1"/>
    <xf numFmtId="3" fontId="26" fillId="0" borderId="5" xfId="0" applyNumberFormat="1" applyFont="1" applyBorder="1"/>
    <xf numFmtId="164" fontId="26" fillId="2" borderId="5" xfId="1" applyFont="1" applyFill="1" applyBorder="1"/>
    <xf numFmtId="4" fontId="26" fillId="0" borderId="5" xfId="0" applyNumberFormat="1" applyFont="1" applyBorder="1" applyAlignment="1">
      <alignment horizontal="right"/>
    </xf>
    <xf numFmtId="43" fontId="26" fillId="2" borderId="5" xfId="0" applyNumberFormat="1" applyFont="1" applyFill="1" applyBorder="1" applyAlignment="1">
      <alignment horizontal="center"/>
    </xf>
    <xf numFmtId="43" fontId="26" fillId="0" borderId="5" xfId="0" applyNumberFormat="1" applyFont="1" applyBorder="1" applyAlignment="1">
      <alignment vertical="center"/>
    </xf>
    <xf numFmtId="164" fontId="26" fillId="2" borderId="5" xfId="1" applyFont="1" applyFill="1" applyBorder="1" applyAlignment="1"/>
    <xf numFmtId="4" fontId="26" fillId="0" borderId="5" xfId="0" applyNumberFormat="1" applyFont="1" applyFill="1" applyBorder="1"/>
    <xf numFmtId="164" fontId="26" fillId="0" borderId="5" xfId="1" applyFont="1" applyBorder="1"/>
    <xf numFmtId="164" fontId="26" fillId="2" borderId="5" xfId="1" applyFont="1" applyFill="1" applyBorder="1" applyAlignment="1">
      <alignment horizontal="right"/>
    </xf>
    <xf numFmtId="43" fontId="26" fillId="0" borderId="5" xfId="0" applyNumberFormat="1" applyFont="1" applyBorder="1"/>
    <xf numFmtId="0" fontId="47" fillId="0" borderId="0" xfId="0" applyFont="1" applyAlignment="1">
      <alignment horizontal="right"/>
    </xf>
    <xf numFmtId="16" fontId="47" fillId="2" borderId="0" xfId="0" quotePrefix="1" applyNumberFormat="1" applyFont="1" applyFill="1" applyAlignment="1">
      <alignment horizontal="right" wrapText="1"/>
    </xf>
    <xf numFmtId="0" fontId="47" fillId="0" borderId="0" xfId="0" applyFont="1" applyAlignment="1">
      <alignment horizontal="right" wrapText="1"/>
    </xf>
    <xf numFmtId="43" fontId="48" fillId="0" borderId="0" xfId="201" applyFont="1" applyBorder="1"/>
    <xf numFmtId="0" fontId="47" fillId="0" borderId="2" xfId="0" applyFont="1" applyBorder="1" applyAlignment="1">
      <alignment horizontal="right"/>
    </xf>
    <xf numFmtId="16" fontId="47" fillId="2" borderId="2" xfId="0" quotePrefix="1" applyNumberFormat="1" applyFont="1" applyFill="1" applyBorder="1" applyAlignment="1">
      <alignment horizontal="right"/>
    </xf>
    <xf numFmtId="164" fontId="49" fillId="2" borderId="2" xfId="1" applyFont="1" applyFill="1" applyBorder="1" applyAlignment="1">
      <alignment horizontal="right" vertical="top" wrapText="1"/>
    </xf>
    <xf numFmtId="164" fontId="49" fillId="2" borderId="2" xfId="1" applyFont="1" applyFill="1" applyBorder="1"/>
    <xf numFmtId="4" fontId="49" fillId="2" borderId="2" xfId="0" applyNumberFormat="1" applyFont="1" applyFill="1" applyBorder="1"/>
    <xf numFmtId="4" fontId="49" fillId="2" borderId="2" xfId="0" applyNumberFormat="1" applyFont="1" applyFill="1" applyBorder="1" applyAlignment="1">
      <alignment horizontal="right"/>
    </xf>
    <xf numFmtId="172" fontId="49" fillId="2" borderId="2" xfId="0" applyNumberFormat="1" applyFont="1" applyFill="1" applyBorder="1"/>
    <xf numFmtId="0" fontId="3" fillId="0" borderId="1" xfId="0" applyFont="1" applyBorder="1" applyAlignment="1">
      <alignment horizontal="right"/>
    </xf>
    <xf numFmtId="164" fontId="50" fillId="2" borderId="2" xfId="1" applyFont="1" applyFill="1" applyBorder="1"/>
    <xf numFmtId="164" fontId="50" fillId="2" borderId="2" xfId="1" applyFont="1" applyFill="1" applyBorder="1" applyAlignment="1">
      <alignment horizontal="right" vertical="top" wrapText="1"/>
    </xf>
    <xf numFmtId="43" fontId="2" fillId="0" borderId="0" xfId="201" applyFont="1"/>
    <xf numFmtId="0" fontId="51" fillId="0" borderId="1" xfId="0" applyFont="1" applyBorder="1" applyAlignment="1">
      <alignment horizontal="right"/>
    </xf>
    <xf numFmtId="0" fontId="46" fillId="0" borderId="0" xfId="0" applyFont="1" applyAlignment="1">
      <alignment horizontal="right"/>
    </xf>
    <xf numFmtId="171" fontId="2" fillId="0" borderId="0" xfId="201" applyNumberFormat="1" applyFont="1"/>
    <xf numFmtId="49" fontId="33" fillId="2" borderId="4" xfId="0" applyNumberFormat="1" applyFont="1" applyFill="1" applyBorder="1" applyAlignment="1">
      <alignment horizontal="right"/>
    </xf>
    <xf numFmtId="49" fontId="33" fillId="6" borderId="4" xfId="0" applyNumberFormat="1" applyFont="1" applyFill="1" applyBorder="1" applyAlignment="1">
      <alignment horizontal="right"/>
    </xf>
    <xf numFmtId="173" fontId="27" fillId="2" borderId="4" xfId="0" applyNumberFormat="1" applyFont="1" applyFill="1" applyBorder="1" applyAlignment="1">
      <alignment horizontal="center" wrapText="1"/>
    </xf>
    <xf numFmtId="49" fontId="29" fillId="2" borderId="4" xfId="0" applyNumberFormat="1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wrapText="1"/>
    </xf>
    <xf numFmtId="173" fontId="27" fillId="2" borderId="6" xfId="0" applyNumberFormat="1" applyFont="1" applyFill="1" applyBorder="1" applyAlignment="1">
      <alignment horizontal="center" wrapText="1"/>
    </xf>
    <xf numFmtId="173" fontId="27" fillId="2" borderId="7" xfId="0" applyNumberFormat="1" applyFont="1" applyFill="1" applyBorder="1" applyAlignment="1">
      <alignment horizontal="center" wrapText="1"/>
    </xf>
    <xf numFmtId="173" fontId="27" fillId="2" borderId="8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vertical="top" wrapText="1"/>
    </xf>
    <xf numFmtId="49" fontId="29" fillId="2" borderId="4" xfId="0" applyNumberFormat="1" applyFont="1" applyFill="1" applyBorder="1" applyAlignment="1">
      <alignment horizontal="right"/>
    </xf>
    <xf numFmtId="173" fontId="34" fillId="2" borderId="4" xfId="0" applyNumberFormat="1" applyFont="1" applyFill="1" applyBorder="1" applyAlignment="1">
      <alignment horizontal="center" wrapText="1"/>
    </xf>
    <xf numFmtId="49" fontId="34" fillId="2" borderId="4" xfId="0" applyNumberFormat="1" applyFont="1" applyFill="1" applyBorder="1" applyAlignment="1">
      <alignment horizontal="center" wrapText="1"/>
    </xf>
    <xf numFmtId="172" fontId="40" fillId="2" borderId="4" xfId="0" applyNumberFormat="1" applyFont="1" applyFill="1" applyBorder="1" applyAlignment="1">
      <alignment horizontal="center" wrapText="1"/>
    </xf>
    <xf numFmtId="49" fontId="11" fillId="2" borderId="4" xfId="0" applyNumberFormat="1" applyFont="1" applyFill="1" applyBorder="1" applyAlignment="1">
      <alignment horizontal="center" vertical="top" wrapText="1"/>
    </xf>
    <xf numFmtId="49" fontId="45" fillId="5" borderId="4" xfId="0" applyNumberFormat="1" applyFont="1" applyFill="1" applyBorder="1" applyAlignment="1">
      <alignment horizontal="center"/>
    </xf>
    <xf numFmtId="0" fontId="45" fillId="5" borderId="4" xfId="0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 vertical="top" wrapText="1"/>
    </xf>
    <xf numFmtId="173" fontId="29" fillId="2" borderId="4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 wrapText="1"/>
    </xf>
    <xf numFmtId="0" fontId="52" fillId="0" borderId="0" xfId="0" applyFont="1"/>
    <xf numFmtId="164" fontId="46" fillId="0" borderId="0" xfId="1" applyFont="1"/>
    <xf numFmtId="164" fontId="53" fillId="0" borderId="0" xfId="1" applyFont="1"/>
    <xf numFmtId="16" fontId="3" fillId="2" borderId="0" xfId="0" applyNumberFormat="1" applyFont="1" applyFill="1"/>
    <xf numFmtId="164" fontId="50" fillId="2" borderId="0" xfId="1" applyFont="1" applyFill="1" applyBorder="1"/>
    <xf numFmtId="164" fontId="2" fillId="0" borderId="0" xfId="1" applyFont="1" applyBorder="1"/>
    <xf numFmtId="172" fontId="54" fillId="2" borderId="0" xfId="0" applyNumberFormat="1" applyFont="1" applyFill="1"/>
  </cellXfs>
  <cellStyles count="466">
    <cellStyle name="20% - Accent1 2" xfId="3"/>
    <cellStyle name="20% - Accent1 2 2" xfId="4"/>
    <cellStyle name="20% - Accent1 2 3" xfId="5"/>
    <cellStyle name="20% - Accent1 3" xfId="6"/>
    <cellStyle name="20% - Accent1 3 2" xfId="7"/>
    <cellStyle name="20% - Accent1 3 3" xfId="8"/>
    <cellStyle name="20% - Accent1 4" xfId="9"/>
    <cellStyle name="20% - Accent1 4 2" xfId="10"/>
    <cellStyle name="20% - Accent1 5" xfId="11"/>
    <cellStyle name="20% - Accent1 6" xfId="12"/>
    <cellStyle name="20% - Accent2 2" xfId="13"/>
    <cellStyle name="20% - Accent2 2 2" xfId="14"/>
    <cellStyle name="20% - Accent2 2 3" xfId="15"/>
    <cellStyle name="20% - Accent2 3" xfId="16"/>
    <cellStyle name="20% - Accent2 3 2" xfId="17"/>
    <cellStyle name="20% - Accent2 3 3" xfId="18"/>
    <cellStyle name="20% - Accent2 4" xfId="19"/>
    <cellStyle name="20% - Accent2 4 2" xfId="20"/>
    <cellStyle name="20% - Accent2 5" xfId="21"/>
    <cellStyle name="20% - Accent2 6" xfId="22"/>
    <cellStyle name="20% - Accent3 2" xfId="23"/>
    <cellStyle name="20% - Accent3 2 2" xfId="24"/>
    <cellStyle name="20% - Accent3 2 3" xfId="25"/>
    <cellStyle name="20% - Accent3 3" xfId="26"/>
    <cellStyle name="20% - Accent3 3 2" xfId="27"/>
    <cellStyle name="20% - Accent3 3 3" xfId="28"/>
    <cellStyle name="20% - Accent3 4" xfId="29"/>
    <cellStyle name="20% - Accent3 4 2" xfId="30"/>
    <cellStyle name="20% - Accent3 5" xfId="31"/>
    <cellStyle name="20% - Accent3 6" xfId="32"/>
    <cellStyle name="20% - Accent4 2" xfId="33"/>
    <cellStyle name="20% - Accent4 2 2" xfId="34"/>
    <cellStyle name="20% - Accent4 2 3" xfId="35"/>
    <cellStyle name="20% - Accent4 3" xfId="36"/>
    <cellStyle name="20% - Accent4 3 2" xfId="37"/>
    <cellStyle name="20% - Accent4 3 3" xfId="38"/>
    <cellStyle name="20% - Accent4 4" xfId="39"/>
    <cellStyle name="20% - Accent4 4 2" xfId="40"/>
    <cellStyle name="20% - Accent4 5" xfId="41"/>
    <cellStyle name="20% - Accent4 6" xfId="42"/>
    <cellStyle name="20% - Accent5 2" xfId="43"/>
    <cellStyle name="20% - Accent5 2 2" xfId="44"/>
    <cellStyle name="20% - Accent5 2 3" xfId="45"/>
    <cellStyle name="20% - Accent5 3" xfId="46"/>
    <cellStyle name="20% - Accent5 3 2" xfId="47"/>
    <cellStyle name="20% - Accent5 3 3" xfId="48"/>
    <cellStyle name="20% - Accent5 4" xfId="49"/>
    <cellStyle name="20% - Accent5 4 2" xfId="50"/>
    <cellStyle name="20% - Accent5 5" xfId="51"/>
    <cellStyle name="20% - Accent5 6" xfId="52"/>
    <cellStyle name="20% - Accent6 2" xfId="53"/>
    <cellStyle name="20% - Accent6 2 2" xfId="54"/>
    <cellStyle name="20% - Accent6 2 3" xfId="55"/>
    <cellStyle name="20% - Accent6 3" xfId="56"/>
    <cellStyle name="20% - Accent6 3 2" xfId="57"/>
    <cellStyle name="20% - Accent6 3 3" xfId="58"/>
    <cellStyle name="20% - Accent6 4" xfId="59"/>
    <cellStyle name="20% - Accent6 4 2" xfId="60"/>
    <cellStyle name="20% - Accent6 5" xfId="61"/>
    <cellStyle name="20% - Accent6 6" xfId="62"/>
    <cellStyle name="40% - Accent1 2" xfId="63"/>
    <cellStyle name="40% - Accent1 2 2" xfId="64"/>
    <cellStyle name="40% - Accent1 2 3" xfId="65"/>
    <cellStyle name="40% - Accent1 3" xfId="66"/>
    <cellStyle name="40% - Accent1 3 2" xfId="67"/>
    <cellStyle name="40% - Accent1 3 3" xfId="68"/>
    <cellStyle name="40% - Accent1 4" xfId="69"/>
    <cellStyle name="40% - Accent1 4 2" xfId="70"/>
    <cellStyle name="40% - Accent1 5" xfId="71"/>
    <cellStyle name="40% - Accent1 6" xfId="72"/>
    <cellStyle name="40% - Accent2 2" xfId="73"/>
    <cellStyle name="40% - Accent2 2 2" xfId="74"/>
    <cellStyle name="40% - Accent2 2 3" xfId="75"/>
    <cellStyle name="40% - Accent2 3" xfId="76"/>
    <cellStyle name="40% - Accent2 3 2" xfId="77"/>
    <cellStyle name="40% - Accent2 3 3" xfId="78"/>
    <cellStyle name="40% - Accent2 4" xfId="79"/>
    <cellStyle name="40% - Accent2 4 2" xfId="80"/>
    <cellStyle name="40% - Accent2 5" xfId="81"/>
    <cellStyle name="40% - Accent2 6" xfId="82"/>
    <cellStyle name="40% - Accent3 2" xfId="83"/>
    <cellStyle name="40% - Accent3 2 2" xfId="84"/>
    <cellStyle name="40% - Accent3 2 3" xfId="85"/>
    <cellStyle name="40% - Accent3 3" xfId="86"/>
    <cellStyle name="40% - Accent3 3 2" xfId="87"/>
    <cellStyle name="40% - Accent3 3 3" xfId="88"/>
    <cellStyle name="40% - Accent3 4" xfId="89"/>
    <cellStyle name="40% - Accent3 4 2" xfId="90"/>
    <cellStyle name="40% - Accent3 5" xfId="91"/>
    <cellStyle name="40% - Accent3 6" xfId="92"/>
    <cellStyle name="40% - Accent4 2" xfId="93"/>
    <cellStyle name="40% - Accent4 2 2" xfId="94"/>
    <cellStyle name="40% - Accent4 2 3" xfId="95"/>
    <cellStyle name="40% - Accent4 3" xfId="96"/>
    <cellStyle name="40% - Accent4 3 2" xfId="97"/>
    <cellStyle name="40% - Accent4 3 3" xfId="98"/>
    <cellStyle name="40% - Accent4 4" xfId="99"/>
    <cellStyle name="40% - Accent4 4 2" xfId="100"/>
    <cellStyle name="40% - Accent4 5" xfId="101"/>
    <cellStyle name="40% - Accent4 6" xfId="102"/>
    <cellStyle name="40% - Accent5 2" xfId="103"/>
    <cellStyle name="40% - Accent5 2 2" xfId="104"/>
    <cellStyle name="40% - Accent5 2 3" xfId="105"/>
    <cellStyle name="40% - Accent5 3" xfId="106"/>
    <cellStyle name="40% - Accent5 3 2" xfId="107"/>
    <cellStyle name="40% - Accent5 3 3" xfId="108"/>
    <cellStyle name="40% - Accent5 4" xfId="109"/>
    <cellStyle name="40% - Accent5 4 2" xfId="110"/>
    <cellStyle name="40% - Accent5 5" xfId="111"/>
    <cellStyle name="40% - Accent5 6" xfId="112"/>
    <cellStyle name="40% - Accent6 2" xfId="113"/>
    <cellStyle name="40% - Accent6 2 2" xfId="114"/>
    <cellStyle name="40% - Accent6 2 3" xfId="115"/>
    <cellStyle name="40% - Accent6 3" xfId="116"/>
    <cellStyle name="40% - Accent6 3 2" xfId="117"/>
    <cellStyle name="40% - Accent6 3 3" xfId="118"/>
    <cellStyle name="40% - Accent6 4" xfId="119"/>
    <cellStyle name="40% - Accent6 4 2" xfId="120"/>
    <cellStyle name="40% - Accent6 5" xfId="121"/>
    <cellStyle name="40% - Accent6 6" xfId="122"/>
    <cellStyle name="60% - Accent1 2" xfId="123"/>
    <cellStyle name="60% - Accent1 2 2" xfId="124"/>
    <cellStyle name="60% - Accent1 2 3" xfId="125"/>
    <cellStyle name="60% - Accent1 3" xfId="126"/>
    <cellStyle name="60% - Accent1 3 2" xfId="127"/>
    <cellStyle name="60% - Accent1 3 3" xfId="128"/>
    <cellStyle name="60% - Accent1 4" xfId="129"/>
    <cellStyle name="60% - Accent1 4 2" xfId="130"/>
    <cellStyle name="60% - Accent1 5" xfId="131"/>
    <cellStyle name="60% - Accent1 6" xfId="132"/>
    <cellStyle name="60% - Accent2 2" xfId="133"/>
    <cellStyle name="60% - Accent2 2 2" xfId="134"/>
    <cellStyle name="60% - Accent2 2 3" xfId="135"/>
    <cellStyle name="60% - Accent2 3" xfId="136"/>
    <cellStyle name="60% - Accent2 3 2" xfId="137"/>
    <cellStyle name="60% - Accent2 3 3" xfId="138"/>
    <cellStyle name="60% - Accent2 4" xfId="139"/>
    <cellStyle name="60% - Accent2 4 2" xfId="140"/>
    <cellStyle name="60% - Accent2 5" xfId="141"/>
    <cellStyle name="60% - Accent2 6" xfId="142"/>
    <cellStyle name="60% - Accent3 2" xfId="143"/>
    <cellStyle name="60% - Accent3 2 2" xfId="144"/>
    <cellStyle name="60% - Accent3 2 3" xfId="145"/>
    <cellStyle name="60% - Accent3 3" xfId="146"/>
    <cellStyle name="60% - Accent3 3 2" xfId="147"/>
    <cellStyle name="60% - Accent3 3 3" xfId="148"/>
    <cellStyle name="60% - Accent3 4" xfId="149"/>
    <cellStyle name="60% - Accent3 4 2" xfId="150"/>
    <cellStyle name="60% - Accent3 5" xfId="151"/>
    <cellStyle name="60% - Accent3 6" xfId="152"/>
    <cellStyle name="60% - Accent4 2" xfId="153"/>
    <cellStyle name="60% - Accent4 2 2" xfId="154"/>
    <cellStyle name="60% - Accent4 2 3" xfId="155"/>
    <cellStyle name="60% - Accent4 3" xfId="156"/>
    <cellStyle name="60% - Accent4 3 2" xfId="157"/>
    <cellStyle name="60% - Accent4 3 3" xfId="158"/>
    <cellStyle name="60% - Accent4 4" xfId="159"/>
    <cellStyle name="60% - Accent4 4 2" xfId="160"/>
    <cellStyle name="60% - Accent4 5" xfId="161"/>
    <cellStyle name="60% - Accent4 6" xfId="162"/>
    <cellStyle name="60% - Accent5 2" xfId="163"/>
    <cellStyle name="60% - Accent5 2 2" xfId="164"/>
    <cellStyle name="60% - Accent5 2 3" xfId="165"/>
    <cellStyle name="60% - Accent5 3" xfId="166"/>
    <cellStyle name="60% - Accent5 3 2" xfId="167"/>
    <cellStyle name="60% - Accent5 3 3" xfId="168"/>
    <cellStyle name="60% - Accent5 4" xfId="169"/>
    <cellStyle name="60% - Accent5 4 2" xfId="170"/>
    <cellStyle name="60% - Accent5 5" xfId="171"/>
    <cellStyle name="60% - Accent5 6" xfId="172"/>
    <cellStyle name="60% - Accent6 2" xfId="173"/>
    <cellStyle name="60% - Accent6 2 2" xfId="174"/>
    <cellStyle name="60% - Accent6 2 3" xfId="175"/>
    <cellStyle name="60% - Accent6 3" xfId="176"/>
    <cellStyle name="60% - Accent6 3 2" xfId="177"/>
    <cellStyle name="60% - Accent6 3 3" xfId="178"/>
    <cellStyle name="60% - Accent6 4" xfId="179"/>
    <cellStyle name="60% - Accent6 4 2" xfId="180"/>
    <cellStyle name="60% - Accent6 5" xfId="181"/>
    <cellStyle name="60% - Accent6 6" xfId="182"/>
    <cellStyle name="Comma" xfId="1" builtinId="3"/>
    <cellStyle name="Comma 10" xfId="183"/>
    <cellStyle name="Comma 10 13" xfId="184"/>
    <cellStyle name="Comma 11" xfId="185"/>
    <cellStyle name="Comma 12" xfId="186"/>
    <cellStyle name="Comma 12 2" xfId="187"/>
    <cellStyle name="Comma 12 3" xfId="188"/>
    <cellStyle name="Comma 13" xfId="189"/>
    <cellStyle name="Comma 13 2" xfId="190"/>
    <cellStyle name="Comma 13 3" xfId="191"/>
    <cellStyle name="Comma 14" xfId="192"/>
    <cellStyle name="Comma 15" xfId="193"/>
    <cellStyle name="Comma 15 2" xfId="194"/>
    <cellStyle name="Comma 15 3" xfId="195"/>
    <cellStyle name="Comma 16" xfId="196"/>
    <cellStyle name="Comma 16 2" xfId="197"/>
    <cellStyle name="Comma 16 3" xfId="198"/>
    <cellStyle name="Comma 17" xfId="199"/>
    <cellStyle name="Comma 18" xfId="200"/>
    <cellStyle name="Comma 2" xfId="201"/>
    <cellStyle name="Comma 2 10" xfId="202"/>
    <cellStyle name="Comma 2 10 2" xfId="203"/>
    <cellStyle name="Comma 2 11" xfId="204"/>
    <cellStyle name="Comma 2 11 2" xfId="205"/>
    <cellStyle name="Comma 2 12" xfId="206"/>
    <cellStyle name="Comma 2 13" xfId="207"/>
    <cellStyle name="Comma 2 2" xfId="208"/>
    <cellStyle name="Comma 2 2 2" xfId="209"/>
    <cellStyle name="Comma 2 2 2 2" xfId="210"/>
    <cellStyle name="Comma 2 2 2 2 2" xfId="211"/>
    <cellStyle name="Comma 2 2 2 2 3" xfId="212"/>
    <cellStyle name="Comma 2 2 2 3" xfId="213"/>
    <cellStyle name="Comma 2 3" xfId="214"/>
    <cellStyle name="Comma 2 3 2" xfId="215"/>
    <cellStyle name="Comma 2 4" xfId="216"/>
    <cellStyle name="Comma 2 4 2" xfId="217"/>
    <cellStyle name="Comma 2 5" xfId="218"/>
    <cellStyle name="Comma 2 5 2" xfId="219"/>
    <cellStyle name="Comma 2 6" xfId="220"/>
    <cellStyle name="Comma 2 6 2" xfId="221"/>
    <cellStyle name="Comma 2 7" xfId="222"/>
    <cellStyle name="Comma 2 7 2" xfId="223"/>
    <cellStyle name="Comma 2 8" xfId="224"/>
    <cellStyle name="Comma 2 8 2" xfId="225"/>
    <cellStyle name="Comma 2 9" xfId="226"/>
    <cellStyle name="Comma 2 9 2" xfId="227"/>
    <cellStyle name="Comma 3" xfId="228"/>
    <cellStyle name="Comma 3 2" xfId="229"/>
    <cellStyle name="Comma 3 2 2" xfId="230"/>
    <cellStyle name="Comma 3 3" xfId="231"/>
    <cellStyle name="Comma 3 4" xfId="232"/>
    <cellStyle name="Comma 3 4 3" xfId="233"/>
    <cellStyle name="Comma 3 4 4" xfId="234"/>
    <cellStyle name="Comma 4" xfId="235"/>
    <cellStyle name="Comma 4 2" xfId="236"/>
    <cellStyle name="Comma 4 3" xfId="237"/>
    <cellStyle name="Comma 5" xfId="238"/>
    <cellStyle name="Comma 6" xfId="239"/>
    <cellStyle name="Comma 7" xfId="240"/>
    <cellStyle name="Comma 8" xfId="241"/>
    <cellStyle name="Comma 8 2" xfId="242"/>
    <cellStyle name="Comma 9" xfId="243"/>
    <cellStyle name="Currency" xfId="2" builtinId="4"/>
    <cellStyle name="Neutral 2" xfId="244"/>
    <cellStyle name="Normal" xfId="0" builtinId="0"/>
    <cellStyle name="Normal - Style1" xfId="245"/>
    <cellStyle name="Normal 10" xfId="246"/>
    <cellStyle name="Normal 10 2" xfId="247"/>
    <cellStyle name="Normal 10 3" xfId="248"/>
    <cellStyle name="Normal 11" xfId="249"/>
    <cellStyle name="Normal 11 2" xfId="250"/>
    <cellStyle name="Normal 11 3" xfId="251"/>
    <cellStyle name="Normal 12" xfId="252"/>
    <cellStyle name="Normal 12 2" xfId="253"/>
    <cellStyle name="Normal 12 2 2" xfId="254"/>
    <cellStyle name="Normal 12 2 3" xfId="255"/>
    <cellStyle name="Normal 12 3" xfId="256"/>
    <cellStyle name="Normal 12 4" xfId="257"/>
    <cellStyle name="Normal 13" xfId="258"/>
    <cellStyle name="Normal 13 2" xfId="259"/>
    <cellStyle name="Normal 13 3" xfId="260"/>
    <cellStyle name="Normal 14" xfId="261"/>
    <cellStyle name="Normal 14 2" xfId="262"/>
    <cellStyle name="Normal 15" xfId="263"/>
    <cellStyle name="Normal 15 2" xfId="264"/>
    <cellStyle name="Normal 15 3" xfId="265"/>
    <cellStyle name="Normal 16" xfId="266"/>
    <cellStyle name="Normal 16 2" xfId="267"/>
    <cellStyle name="Normal 16 3" xfId="268"/>
    <cellStyle name="Normal 17" xfId="269"/>
    <cellStyle name="Normal 17 2" xfId="270"/>
    <cellStyle name="Normal 17 3" xfId="271"/>
    <cellStyle name="Normal 18" xfId="272"/>
    <cellStyle name="Normal 18 2" xfId="273"/>
    <cellStyle name="Normal 18 3" xfId="274"/>
    <cellStyle name="Normal 19" xfId="275"/>
    <cellStyle name="Normal 19 2" xfId="276"/>
    <cellStyle name="Normal 19 3" xfId="277"/>
    <cellStyle name="Normal 2" xfId="278"/>
    <cellStyle name="Normal 2 2" xfId="279"/>
    <cellStyle name="Normal 2 2 2" xfId="280"/>
    <cellStyle name="Normal 2 3" xfId="281"/>
    <cellStyle name="Normal 2 4" xfId="282"/>
    <cellStyle name="Normal 2 5" xfId="283"/>
    <cellStyle name="Normal 2 6" xfId="284"/>
    <cellStyle name="Normal 20" xfId="285"/>
    <cellStyle name="Normal 20 2" xfId="286"/>
    <cellStyle name="Normal 20 3" xfId="287"/>
    <cellStyle name="Normal 21" xfId="288"/>
    <cellStyle name="Normal 21 2" xfId="289"/>
    <cellStyle name="Normal 21 3" xfId="290"/>
    <cellStyle name="Normal 22" xfId="291"/>
    <cellStyle name="Normal 22 2" xfId="292"/>
    <cellStyle name="Normal 22 3" xfId="293"/>
    <cellStyle name="Normal 23" xfId="294"/>
    <cellStyle name="Normal 23 2" xfId="295"/>
    <cellStyle name="Normal 23 3" xfId="296"/>
    <cellStyle name="Normal 24" xfId="297"/>
    <cellStyle name="Normal 24 2" xfId="298"/>
    <cellStyle name="Normal 24 3" xfId="299"/>
    <cellStyle name="Normal 25" xfId="300"/>
    <cellStyle name="Normal 25 2" xfId="301"/>
    <cellStyle name="Normal 25 3" xfId="302"/>
    <cellStyle name="Normal 26" xfId="303"/>
    <cellStyle name="Normal 26 2" xfId="304"/>
    <cellStyle name="Normal 26 3" xfId="305"/>
    <cellStyle name="Normal 27" xfId="306"/>
    <cellStyle name="Normal 27 2" xfId="307"/>
    <cellStyle name="Normal 27 2 2" xfId="308"/>
    <cellStyle name="Normal 27 3" xfId="309"/>
    <cellStyle name="Normal 28" xfId="310"/>
    <cellStyle name="Normal 28 2" xfId="311"/>
    <cellStyle name="Normal 29" xfId="312"/>
    <cellStyle name="Normal 29 2" xfId="313"/>
    <cellStyle name="Normal 3" xfId="314"/>
    <cellStyle name="Normal 3 2" xfId="315"/>
    <cellStyle name="Normal 3 2 2" xfId="316"/>
    <cellStyle name="Normal 3 2 3" xfId="317"/>
    <cellStyle name="Normal 3 3" xfId="318"/>
    <cellStyle name="Normal 3 4" xfId="319"/>
    <cellStyle name="Normal 30" xfId="320"/>
    <cellStyle name="Normal 30 2" xfId="321"/>
    <cellStyle name="Normal 31" xfId="322"/>
    <cellStyle name="Normal 31 2" xfId="323"/>
    <cellStyle name="Normal 32" xfId="324"/>
    <cellStyle name="Normal 32 2" xfId="325"/>
    <cellStyle name="Normal 33" xfId="326"/>
    <cellStyle name="Normal 33 2" xfId="327"/>
    <cellStyle name="Normal 34" xfId="328"/>
    <cellStyle name="Normal 34 2" xfId="329"/>
    <cellStyle name="Normal 35" xfId="330"/>
    <cellStyle name="Normal 35 2" xfId="331"/>
    <cellStyle name="Normal 36" xfId="332"/>
    <cellStyle name="Normal 36 2" xfId="333"/>
    <cellStyle name="Normal 37" xfId="334"/>
    <cellStyle name="Normal 37 2" xfId="335"/>
    <cellStyle name="Normal 38" xfId="336"/>
    <cellStyle name="Normal 38 2" xfId="337"/>
    <cellStyle name="Normal 39" xfId="338"/>
    <cellStyle name="Normal 39 2" xfId="339"/>
    <cellStyle name="Normal 4" xfId="340"/>
    <cellStyle name="Normal 4 2" xfId="341"/>
    <cellStyle name="Normal 40" xfId="342"/>
    <cellStyle name="Normal 40 2" xfId="343"/>
    <cellStyle name="Normal 41" xfId="344"/>
    <cellStyle name="Normal 41 2" xfId="345"/>
    <cellStyle name="Normal 42" xfId="346"/>
    <cellStyle name="Normal 42 2" xfId="347"/>
    <cellStyle name="Normal 43" xfId="348"/>
    <cellStyle name="Normal 43 2" xfId="349"/>
    <cellStyle name="Normal 44" xfId="350"/>
    <cellStyle name="Normal 44 2" xfId="351"/>
    <cellStyle name="Normal 45" xfId="352"/>
    <cellStyle name="Normal 45 2" xfId="353"/>
    <cellStyle name="Normal 46" xfId="354"/>
    <cellStyle name="Normal 46 2" xfId="355"/>
    <cellStyle name="Normal 47" xfId="356"/>
    <cellStyle name="Normal 47 2" xfId="357"/>
    <cellStyle name="Normal 48" xfId="358"/>
    <cellStyle name="Normal 48 2" xfId="359"/>
    <cellStyle name="Normal 49" xfId="360"/>
    <cellStyle name="Normal 49 2" xfId="361"/>
    <cellStyle name="Normal 5" xfId="362"/>
    <cellStyle name="Normal 50" xfId="363"/>
    <cellStyle name="Normal 50 2" xfId="364"/>
    <cellStyle name="Normal 51" xfId="365"/>
    <cellStyle name="Normal 51 2" xfId="366"/>
    <cellStyle name="Normal 52" xfId="367"/>
    <cellStyle name="Normal 52 2" xfId="368"/>
    <cellStyle name="Normal 53" xfId="369"/>
    <cellStyle name="Normal 53 2" xfId="370"/>
    <cellStyle name="Normal 54" xfId="371"/>
    <cellStyle name="Normal 54 2" xfId="372"/>
    <cellStyle name="Normal 55" xfId="373"/>
    <cellStyle name="Normal 55 2" xfId="374"/>
    <cellStyle name="Normal 56" xfId="375"/>
    <cellStyle name="Normal 56 2" xfId="376"/>
    <cellStyle name="Normal 57" xfId="377"/>
    <cellStyle name="Normal 57 2" xfId="378"/>
    <cellStyle name="Normal 58" xfId="379"/>
    <cellStyle name="Normal 58 2" xfId="380"/>
    <cellStyle name="Normal 59" xfId="381"/>
    <cellStyle name="Normal 59 2" xfId="382"/>
    <cellStyle name="Normal 6" xfId="383"/>
    <cellStyle name="Normal 6 2" xfId="384"/>
    <cellStyle name="Normal 6 3" xfId="385"/>
    <cellStyle name="Normal 60" xfId="386"/>
    <cellStyle name="Normal 60 2" xfId="387"/>
    <cellStyle name="Normal 61" xfId="388"/>
    <cellStyle name="Normal 61 2" xfId="389"/>
    <cellStyle name="Normal 62" xfId="390"/>
    <cellStyle name="Normal 62 2" xfId="391"/>
    <cellStyle name="Normal 63" xfId="392"/>
    <cellStyle name="Normal 63 2" xfId="393"/>
    <cellStyle name="Normal 64" xfId="394"/>
    <cellStyle name="Normal 64 2" xfId="395"/>
    <cellStyle name="Normal 65" xfId="396"/>
    <cellStyle name="Normal 65 2" xfId="397"/>
    <cellStyle name="Normal 66" xfId="398"/>
    <cellStyle name="Normal 66 2" xfId="399"/>
    <cellStyle name="Normal 67" xfId="400"/>
    <cellStyle name="Normal 67 2" xfId="401"/>
    <cellStyle name="Normal 68" xfId="402"/>
    <cellStyle name="Normal 68 2" xfId="403"/>
    <cellStyle name="Normal 69" xfId="404"/>
    <cellStyle name="Normal 69 2" xfId="405"/>
    <cellStyle name="Normal 7" xfId="406"/>
    <cellStyle name="Normal 7 2" xfId="407"/>
    <cellStyle name="Normal 7 3" xfId="408"/>
    <cellStyle name="Normal 70" xfId="409"/>
    <cellStyle name="Normal 71" xfId="410"/>
    <cellStyle name="Normal 72" xfId="411"/>
    <cellStyle name="Normal 73" xfId="412"/>
    <cellStyle name="Normal 74" xfId="413"/>
    <cellStyle name="Normal 75" xfId="465"/>
    <cellStyle name="Normal 8" xfId="414"/>
    <cellStyle name="Normal 8 2" xfId="415"/>
    <cellStyle name="Normal 8 3" xfId="416"/>
    <cellStyle name="Normal 9" xfId="417"/>
    <cellStyle name="Normal 9 2" xfId="418"/>
    <cellStyle name="Normal 9 3" xfId="419"/>
    <cellStyle name="Note 10" xfId="420"/>
    <cellStyle name="Note 10 2" xfId="421"/>
    <cellStyle name="Note 10 3" xfId="422"/>
    <cellStyle name="Note 11" xfId="423"/>
    <cellStyle name="Note 11 2" xfId="424"/>
    <cellStyle name="Note 11 3" xfId="425"/>
    <cellStyle name="Note 12" xfId="426"/>
    <cellStyle name="Note 12 2" xfId="427"/>
    <cellStyle name="Note 12 3" xfId="428"/>
    <cellStyle name="Note 13" xfId="429"/>
    <cellStyle name="Note 13 2" xfId="430"/>
    <cellStyle name="Note 14" xfId="431"/>
    <cellStyle name="Note 14 2" xfId="432"/>
    <cellStyle name="Note 2" xfId="433"/>
    <cellStyle name="Note 2 2" xfId="434"/>
    <cellStyle name="Note 2 3" xfId="435"/>
    <cellStyle name="Note 3" xfId="436"/>
    <cellStyle name="Note 3 2" xfId="437"/>
    <cellStyle name="Note 3 3" xfId="438"/>
    <cellStyle name="Note 4" xfId="439"/>
    <cellStyle name="Note 4 2" xfId="440"/>
    <cellStyle name="Note 4 3" xfId="441"/>
    <cellStyle name="Note 5" xfId="442"/>
    <cellStyle name="Note 5 2" xfId="443"/>
    <cellStyle name="Note 5 3" xfId="444"/>
    <cellStyle name="Note 6" xfId="445"/>
    <cellStyle name="Note 6 2" xfId="446"/>
    <cellStyle name="Note 6 3" xfId="447"/>
    <cellStyle name="Note 7" xfId="448"/>
    <cellStyle name="Note 7 2" xfId="449"/>
    <cellStyle name="Note 7 3" xfId="450"/>
    <cellStyle name="Note 8" xfId="451"/>
    <cellStyle name="Note 8 2" xfId="452"/>
    <cellStyle name="Note 8 3" xfId="453"/>
    <cellStyle name="Note 9" xfId="454"/>
    <cellStyle name="Note 9 2" xfId="455"/>
    <cellStyle name="Note 9 3" xfId="456"/>
    <cellStyle name="Percent" xfId="464" builtinId="5"/>
    <cellStyle name="Percent 2" xfId="457"/>
    <cellStyle name="Percent 2 2" xfId="458"/>
    <cellStyle name="Percent 2 2 2" xfId="459"/>
    <cellStyle name="Percent 3" xfId="460"/>
    <cellStyle name="Percent 4" xfId="461"/>
    <cellStyle name="Title 2" xfId="462"/>
    <cellStyle name="Title 3" xfId="463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542132745051186E-2"/>
          <c:y val="0.12704984405832453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April 2024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_-* #,##0.00_-;\-* #,##0.00_-;_-* "-"??_-;_-@_-</c:formatCode>
                <c:ptCount val="8"/>
                <c:pt idx="0">
                  <c:v>26.446817562529997</c:v>
                </c:pt>
                <c:pt idx="1">
                  <c:v>937.44782176622016</c:v>
                </c:pt>
                <c:pt idx="2">
                  <c:v>266.46510591255998</c:v>
                </c:pt>
                <c:pt idx="3">
                  <c:v>1249.1517902703031</c:v>
                </c:pt>
                <c:pt idx="4">
                  <c:v>99.856457548350008</c:v>
                </c:pt>
                <c:pt idx="5">
                  <c:v>47.633109913879998</c:v>
                </c:pt>
                <c:pt idx="6">
                  <c:v>4.6398494677399995</c:v>
                </c:pt>
                <c:pt idx="7">
                  <c:v>51.754753232900001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C-4CE6-8340-267A4224C0F3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May 2024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27.745310432420002</c:v>
                </c:pt>
                <c:pt idx="1">
                  <c:v>1009.6129393269802</c:v>
                </c:pt>
                <c:pt idx="2">
                  <c:v>246.55149026459</c:v>
                </c:pt>
                <c:pt idx="3">
                  <c:v>1409.3785152316091</c:v>
                </c:pt>
                <c:pt idx="4">
                  <c:v>96.780336038469997</c:v>
                </c:pt>
                <c:pt idx="5">
                  <c:v>48.750450955880005</c:v>
                </c:pt>
                <c:pt idx="6">
                  <c:v>4.9049213739599997</c:v>
                </c:pt>
                <c:pt idx="7">
                  <c:v>51.241026579075928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C-4CE6-8340-267A4224C0F3}"/>
            </c:ext>
          </c:extLst>
        </c:ser>
        <c:ser>
          <c:idx val="2"/>
          <c:order val="2"/>
          <c:tx>
            <c:strRef>
              <c:f>'NAV Comparison'!$D$4</c:f>
              <c:strCache>
                <c:ptCount val="1"/>
                <c:pt idx="0">
                  <c:v>June 2024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1.8819101387908727E-2"/>
                  <c:y val="2.85266010554842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6C-4F83-8910-330F34ABDAAD}"/>
                </c:ext>
              </c:extLst>
            </c:dLbl>
            <c:dLbl>
              <c:idx val="3"/>
              <c:layout>
                <c:manualLayout>
                  <c:x val="2.4700070571630119E-2"/>
                  <c:y val="-5.70532021109684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6C-4F83-8910-330F34ABDAAD}"/>
                </c:ext>
              </c:extLst>
            </c:dLbl>
            <c:dLbl>
              <c:idx val="5"/>
              <c:layout>
                <c:manualLayout>
                  <c:x val="4.70477534697718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6C-4F83-8910-330F34ABDAAD}"/>
                </c:ext>
              </c:extLst>
            </c:dLbl>
            <c:numFmt formatCode="#,##0.0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Comparison'!$D$5:$D$12</c:f>
              <c:numCache>
                <c:formatCode>_(* #,##0.00_);_(* \(#,##0.00\);_(* "-"??_);_(@_)</c:formatCode>
                <c:ptCount val="8"/>
                <c:pt idx="0">
                  <c:v>28.676360060300002</c:v>
                </c:pt>
                <c:pt idx="1">
                  <c:v>1071.1103377008599</c:v>
                </c:pt>
                <c:pt idx="2">
                  <c:v>238.39517045769998</c:v>
                </c:pt>
                <c:pt idx="3">
                  <c:v>1425.6050742270131</c:v>
                </c:pt>
                <c:pt idx="4">
                  <c:v>96.435231448330001</c:v>
                </c:pt>
                <c:pt idx="5">
                  <c:v>48.021373815229992</c:v>
                </c:pt>
                <c:pt idx="6">
                  <c:v>5.18571909978</c:v>
                </c:pt>
                <c:pt idx="7">
                  <c:v>46.749786964947404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C-4F83-8910-330F34ABDA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June 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BE4-4C0C-A12A-7945BB6BD8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BE4-4C0C-A12A-7945BB6BD80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BE4-4C0C-A12A-7945BB6BD802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BE4-4C0C-A12A-7945BB6BD802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BE4-4C0C-A12A-7945BB6BD802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BE4-4C0C-A12A-7945BB6BD8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BE4-4C0C-A12A-7945BB6BD802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BE4-4C0C-A12A-7945BB6BD802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E4-4C0C-A12A-7945BB6BD802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E4-4C0C-A12A-7945BB6BD802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E4-4C0C-A12A-7945BB6BD802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E4-4C0C-A12A-7945BB6BD802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E4-4C0C-A12A-7945BB6BD802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E4-4C0C-A12A-7945BB6BD802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BE4-4C0C-A12A-7945BB6BD802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BE4-4C0C-A12A-7945BB6BD802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5185719099.7799997</c:v>
                </c:pt>
                <c:pt idx="1">
                  <c:v>28676360060.300003</c:v>
                </c:pt>
                <c:pt idx="2" formatCode="#,##0.00">
                  <c:v>46749786964.947403</c:v>
                </c:pt>
                <c:pt idx="3" formatCode="#,##0.00">
                  <c:v>48021373815.229996</c:v>
                </c:pt>
                <c:pt idx="4" formatCode="#,##0.00">
                  <c:v>96435231448.330002</c:v>
                </c:pt>
                <c:pt idx="5" formatCode="#,##0.00">
                  <c:v>238395170457.69998</c:v>
                </c:pt>
                <c:pt idx="6" formatCode="#,##0.00">
                  <c:v>1071110337700.86</c:v>
                </c:pt>
                <c:pt idx="7" formatCode="&quot; &quot;* #,##0.00&quot; &quot;;&quot;-&quot;* #,##0.00&quot; &quot;;&quot; &quot;* &quot;-&quot;??&quot; &quot;">
                  <c:v>1425605074227.0132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E4-4C0C-A12A-7945BB6BD80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48752</c:v>
                </c:pt>
                <c:pt idx="1">
                  <c:v>295149</c:v>
                </c:pt>
                <c:pt idx="2">
                  <c:v>45051</c:v>
                </c:pt>
                <c:pt idx="3">
                  <c:v>16232</c:v>
                </c:pt>
                <c:pt idx="4">
                  <c:v>217000</c:v>
                </c:pt>
                <c:pt idx="5">
                  <c:v>66540</c:v>
                </c:pt>
                <c:pt idx="6">
                  <c:v>13151</c:v>
                </c:pt>
                <c:pt idx="7">
                  <c:v>12630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0-4FB8-9E12-D082586372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CLASSES OF FUNDS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44441097145799"/>
              <c:y val="0.936238322854479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0">
                    <a:schemeClr val="lt1">
                      <a:lumMod val="75000"/>
                      <a:alpha val="36000"/>
                    </a:schemeClr>
                  </a:gs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>
                <a:lumMod val="75000"/>
                <a:alpha val="36000"/>
              </a:schemeClr>
            </a:gs>
            <a:gs pos="100000">
              <a:schemeClr val="dk1">
                <a:lumMod val="95000"/>
                <a:lumOff val="5000"/>
                <a:alpha val="42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0">
              <a:schemeClr val="lt1">
                <a:lumMod val="75000"/>
                <a:alpha val="36000"/>
                <a:lumOff val="10000"/>
              </a:schemeClr>
            </a:gs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571500</xdr:colOff>
      <xdr:row>22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30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19050</xdr:colOff>
      <xdr:row>19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4"/>
  <sheetViews>
    <sheetView tabSelected="1" view="pageBreakPreview" zoomScale="120" zoomScaleNormal="70" zoomScaleSheetLayoutView="120" workbookViewId="0">
      <pane ySplit="2" topLeftCell="A3" activePane="bottomLeft" state="frozen"/>
      <selection pane="bottomLeft" activeCell="A3" sqref="A3:V3"/>
    </sheetView>
  </sheetViews>
  <sheetFormatPr defaultColWidth="9" defaultRowHeight="13.8"/>
  <cols>
    <col min="1" max="1" width="6.6640625" style="7" customWidth="1"/>
    <col min="2" max="2" width="53.6640625" style="7" customWidth="1"/>
    <col min="3" max="3" width="47.6640625" style="7" customWidth="1"/>
    <col min="4" max="4" width="21.5546875" style="7" customWidth="1"/>
    <col min="5" max="6" width="19.33203125" style="7" customWidth="1"/>
    <col min="7" max="7" width="19.6640625" style="7" customWidth="1"/>
    <col min="8" max="8" width="20" style="7" customWidth="1"/>
    <col min="9" max="9" width="22" style="7" customWidth="1"/>
    <col min="10" max="10" width="9" style="7"/>
    <col min="11" max="11" width="23" style="7" customWidth="1"/>
    <col min="12" max="12" width="9" style="7"/>
    <col min="13" max="13" width="11.5546875" style="7" customWidth="1"/>
    <col min="14" max="14" width="12.109375" style="7" customWidth="1"/>
    <col min="15" max="15" width="12.5546875" style="7" customWidth="1"/>
    <col min="16" max="16" width="12.33203125" style="7" customWidth="1"/>
    <col min="17" max="17" width="12.6640625" style="7" customWidth="1"/>
    <col min="18" max="19" width="14.44140625" style="7" customWidth="1"/>
    <col min="20" max="20" width="15.5546875" style="7" customWidth="1"/>
    <col min="21" max="22" width="20.109375" style="7" customWidth="1"/>
    <col min="23" max="16384" width="9" style="7"/>
  </cols>
  <sheetData>
    <row r="1" spans="1:23" ht="39.9" customHeight="1">
      <c r="A1" s="206" t="s">
        <v>215</v>
      </c>
      <c r="B1" s="206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14"/>
    </row>
    <row r="2" spans="1:23" ht="48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214</v>
      </c>
      <c r="G2" s="15" t="s">
        <v>5</v>
      </c>
      <c r="H2" s="16" t="s">
        <v>6</v>
      </c>
      <c r="I2" s="15" t="s">
        <v>265</v>
      </c>
      <c r="J2" s="15" t="s">
        <v>7</v>
      </c>
      <c r="K2" s="15" t="s">
        <v>8</v>
      </c>
      <c r="L2" s="15" t="s">
        <v>7</v>
      </c>
      <c r="M2" s="15" t="s">
        <v>9</v>
      </c>
      <c r="N2" s="15" t="s">
        <v>10</v>
      </c>
      <c r="O2" s="15" t="s">
        <v>11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16</v>
      </c>
      <c r="U2" s="15" t="s">
        <v>17</v>
      </c>
      <c r="V2" s="15" t="s">
        <v>18</v>
      </c>
    </row>
    <row r="3" spans="1:23" ht="6" customHeight="1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</row>
    <row r="4" spans="1:23" ht="17.100000000000001" customHeight="1">
      <c r="A4" s="208" t="s">
        <v>19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</row>
    <row r="5" spans="1:23" ht="15" customHeight="1">
      <c r="A5" s="17">
        <v>1</v>
      </c>
      <c r="B5" s="18" t="s">
        <v>20</v>
      </c>
      <c r="C5" s="18" t="s">
        <v>21</v>
      </c>
      <c r="D5" s="19">
        <v>1123385525.3299999</v>
      </c>
      <c r="E5" s="19">
        <v>3894232.82</v>
      </c>
      <c r="F5" s="19">
        <v>336128958.25</v>
      </c>
      <c r="G5" s="19">
        <v>2039084.24</v>
      </c>
      <c r="H5" s="20">
        <f t="shared" ref="H5:H21" si="0">(E5+F5)-G5</f>
        <v>337984106.82999998</v>
      </c>
      <c r="I5" s="157">
        <v>1091528878.0799999</v>
      </c>
      <c r="J5" s="22">
        <f t="shared" ref="J5:J21" si="1">(I5/$I$22)</f>
        <v>3.9341022359027707E-2</v>
      </c>
      <c r="K5" s="21">
        <v>1115051352.26</v>
      </c>
      <c r="L5" s="22">
        <f>(K5/$K$22)</f>
        <v>3.8883991898389307E-2</v>
      </c>
      <c r="M5" s="22">
        <f t="shared" ref="M5:M22" si="2">((K5-I5)/I5)</f>
        <v>2.1550024605282193E-2</v>
      </c>
      <c r="N5" s="23">
        <f t="shared" ref="N5" si="3">(G5/K5)</f>
        <v>1.8286908812470014E-3</v>
      </c>
      <c r="O5" s="24">
        <f t="shared" ref="O5" si="4">H5/K5</f>
        <v>0.30311079946674169</v>
      </c>
      <c r="P5" s="25">
        <f t="shared" ref="P5" si="5">K5/V5</f>
        <v>338.56779642549293</v>
      </c>
      <c r="Q5" s="25">
        <f t="shared" ref="Q5" si="6">H5/V5</f>
        <v>102.62355544822421</v>
      </c>
      <c r="R5" s="26">
        <v>338.57</v>
      </c>
      <c r="S5" s="26">
        <v>343.64</v>
      </c>
      <c r="T5" s="27">
        <v>1741</v>
      </c>
      <c r="U5" s="27">
        <v>3312563.07</v>
      </c>
      <c r="V5" s="27">
        <v>3293435.95</v>
      </c>
    </row>
    <row r="6" spans="1:23">
      <c r="A6" s="17">
        <v>2</v>
      </c>
      <c r="B6" s="18" t="s">
        <v>22</v>
      </c>
      <c r="C6" s="18" t="s">
        <v>23</v>
      </c>
      <c r="D6" s="19">
        <v>611580520.50999999</v>
      </c>
      <c r="E6" s="19">
        <v>1505245.98</v>
      </c>
      <c r="F6" s="19"/>
      <c r="G6" s="19">
        <v>826491.66</v>
      </c>
      <c r="H6" s="20">
        <f t="shared" si="0"/>
        <v>678754.32</v>
      </c>
      <c r="I6" s="157">
        <v>601183615.78999996</v>
      </c>
      <c r="J6" s="22">
        <f t="shared" si="1"/>
        <v>2.1667936181659204E-2</v>
      </c>
      <c r="K6" s="21">
        <v>611753486.64999998</v>
      </c>
      <c r="L6" s="22">
        <f t="shared" ref="L6:L21" si="7">(K6/$K$22)</f>
        <v>2.133302432259947E-2</v>
      </c>
      <c r="M6" s="22">
        <f t="shared" ref="M6:M21" si="8">((K6-I6)/I6)</f>
        <v>1.7581768002959325E-2</v>
      </c>
      <c r="N6" s="23">
        <f t="shared" ref="N6:N21" si="9">(G6/K6)</f>
        <v>1.3510207592373844E-3</v>
      </c>
      <c r="O6" s="24">
        <f t="shared" ref="O6:O21" si="10">H6/K6</f>
        <v>1.1095226015251677E-3</v>
      </c>
      <c r="P6" s="25">
        <f t="shared" ref="P6:P21" si="11">K6/V6</f>
        <v>227.05765185660042</v>
      </c>
      <c r="Q6" s="25">
        <f t="shared" ref="Q6:Q21" si="12">H6/V6</f>
        <v>0.25192559658413111</v>
      </c>
      <c r="R6" s="26">
        <v>225.3</v>
      </c>
      <c r="S6" s="26">
        <v>228</v>
      </c>
      <c r="T6" s="27">
        <v>340</v>
      </c>
      <c r="U6" s="27">
        <v>2694209.87</v>
      </c>
      <c r="V6" s="27">
        <v>2694265.01</v>
      </c>
    </row>
    <row r="7" spans="1:23">
      <c r="A7" s="17">
        <v>3</v>
      </c>
      <c r="B7" s="18" t="s">
        <v>24</v>
      </c>
      <c r="C7" s="28" t="s">
        <v>25</v>
      </c>
      <c r="D7" s="26">
        <v>3719858400.48</v>
      </c>
      <c r="E7" s="19">
        <v>15076205.869999999</v>
      </c>
      <c r="F7" s="19">
        <v>41403013.75</v>
      </c>
      <c r="G7" s="19">
        <v>8614399.2799999993</v>
      </c>
      <c r="H7" s="20">
        <f t="shared" si="0"/>
        <v>47864820.339999996</v>
      </c>
      <c r="I7" s="157">
        <v>3888961497</v>
      </c>
      <c r="J7" s="22">
        <f t="shared" si="1"/>
        <v>0.14016644385624907</v>
      </c>
      <c r="K7" s="21">
        <v>3927172060</v>
      </c>
      <c r="L7" s="22">
        <f t="shared" si="7"/>
        <v>0.13694806634252155</v>
      </c>
      <c r="M7" s="22">
        <f t="shared" si="8"/>
        <v>9.8253898963710923E-3</v>
      </c>
      <c r="N7" s="23">
        <f t="shared" si="9"/>
        <v>2.1935375248111739E-3</v>
      </c>
      <c r="O7" s="24">
        <f t="shared" si="10"/>
        <v>1.218811389180641E-2</v>
      </c>
      <c r="P7" s="25">
        <f t="shared" si="11"/>
        <v>36.553437387887229</v>
      </c>
      <c r="Q7" s="25">
        <f t="shared" si="12"/>
        <v>0.44551745802058412</v>
      </c>
      <c r="R7" s="26">
        <v>36.370600000000003</v>
      </c>
      <c r="S7" s="26">
        <v>37.467199999999998</v>
      </c>
      <c r="T7" s="27">
        <v>6513</v>
      </c>
      <c r="U7" s="27">
        <v>107236415</v>
      </c>
      <c r="V7" s="27">
        <v>107436464</v>
      </c>
    </row>
    <row r="8" spans="1:23">
      <c r="A8" s="17">
        <v>4</v>
      </c>
      <c r="B8" s="29" t="s">
        <v>26</v>
      </c>
      <c r="C8" s="29" t="s">
        <v>27</v>
      </c>
      <c r="D8" s="30">
        <v>524032579.82999998</v>
      </c>
      <c r="E8" s="19">
        <v>2634898.94</v>
      </c>
      <c r="F8" s="19"/>
      <c r="G8" s="19">
        <v>1192412.17</v>
      </c>
      <c r="H8" s="20">
        <f t="shared" si="0"/>
        <v>1442486.77</v>
      </c>
      <c r="I8" s="158">
        <v>617384689.67999995</v>
      </c>
      <c r="J8" s="22">
        <f t="shared" si="1"/>
        <v>2.2251857343019477E-2</v>
      </c>
      <c r="K8" s="30">
        <v>588563308.60000002</v>
      </c>
      <c r="L8" s="22">
        <f t="shared" si="7"/>
        <v>2.0524338073674007E-2</v>
      </c>
      <c r="M8" s="22">
        <f t="shared" si="8"/>
        <v>-4.6683018807833564E-2</v>
      </c>
      <c r="N8" s="23">
        <f t="shared" si="9"/>
        <v>2.0259709577145732E-3</v>
      </c>
      <c r="O8" s="24">
        <f t="shared" si="10"/>
        <v>2.4508608486505982E-3</v>
      </c>
      <c r="P8" s="25">
        <f t="shared" si="11"/>
        <v>206.60041603970538</v>
      </c>
      <c r="Q8" s="25">
        <f t="shared" si="12"/>
        <v>0.50634887098663894</v>
      </c>
      <c r="R8" s="31">
        <v>206.60040000000001</v>
      </c>
      <c r="S8" s="31">
        <v>206.60040000000001</v>
      </c>
      <c r="T8" s="27">
        <v>1797</v>
      </c>
      <c r="U8" s="27">
        <v>3082146.03</v>
      </c>
      <c r="V8" s="27">
        <v>2848800.21</v>
      </c>
    </row>
    <row r="9" spans="1:23">
      <c r="A9" s="17">
        <v>5</v>
      </c>
      <c r="B9" s="32" t="s">
        <v>217</v>
      </c>
      <c r="C9" s="33" t="s">
        <v>105</v>
      </c>
      <c r="D9" s="30">
        <v>619406284.72000003</v>
      </c>
      <c r="E9" s="19">
        <v>4105653.76</v>
      </c>
      <c r="F9" s="19">
        <v>28560272.18</v>
      </c>
      <c r="G9" s="19">
        <v>1056058.76</v>
      </c>
      <c r="H9" s="20">
        <f>(E9+F9)-G9</f>
        <v>31609867.179999996</v>
      </c>
      <c r="I9" s="158">
        <v>605286709.80999994</v>
      </c>
      <c r="J9" s="22">
        <f t="shared" si="1"/>
        <v>2.1815820417086809E-2</v>
      </c>
      <c r="K9" s="30">
        <v>634679148.47000003</v>
      </c>
      <c r="L9" s="22">
        <f t="shared" si="7"/>
        <v>2.2132486380259248E-2</v>
      </c>
      <c r="M9" s="22">
        <f t="shared" si="8"/>
        <v>4.8559530853116532E-2</v>
      </c>
      <c r="N9" s="23">
        <f t="shared" si="9"/>
        <v>1.6639254063187767E-3</v>
      </c>
      <c r="O9" s="24">
        <f t="shared" si="10"/>
        <v>4.9804483503516468E-2</v>
      </c>
      <c r="P9" s="25">
        <f t="shared" si="11"/>
        <v>0.93656695619087471</v>
      </c>
      <c r="Q9" s="25">
        <f t="shared" si="12"/>
        <v>4.6645233519547052E-2</v>
      </c>
      <c r="R9" s="31">
        <v>0.91890000000000005</v>
      </c>
      <c r="S9" s="31">
        <v>0.9274</v>
      </c>
      <c r="T9" s="27">
        <v>542</v>
      </c>
      <c r="U9" s="27">
        <v>680117036.40999997</v>
      </c>
      <c r="V9" s="27">
        <v>677665536.11000001</v>
      </c>
    </row>
    <row r="10" spans="1:23">
      <c r="A10" s="17">
        <v>6</v>
      </c>
      <c r="B10" s="32" t="s">
        <v>216</v>
      </c>
      <c r="C10" s="33" t="s">
        <v>47</v>
      </c>
      <c r="D10" s="26">
        <v>84264671.099999994</v>
      </c>
      <c r="E10" s="34">
        <v>1776650.89</v>
      </c>
      <c r="F10" s="34">
        <v>0</v>
      </c>
      <c r="G10" s="34">
        <v>2444991.63</v>
      </c>
      <c r="H10" s="20">
        <f>(E10+F10)-G10</f>
        <v>-668340.74</v>
      </c>
      <c r="I10" s="159">
        <v>86381834.670000002</v>
      </c>
      <c r="J10" s="22">
        <f t="shared" si="1"/>
        <v>3.1133850486338064E-3</v>
      </c>
      <c r="K10" s="35">
        <v>87093425.239999995</v>
      </c>
      <c r="L10" s="22">
        <f t="shared" si="7"/>
        <v>3.0371157656293164E-3</v>
      </c>
      <c r="M10" s="22">
        <f t="shared" si="8"/>
        <v>8.2377339254074075E-3</v>
      </c>
      <c r="N10" s="23">
        <f t="shared" si="9"/>
        <v>2.80732055635937E-2</v>
      </c>
      <c r="O10" s="24">
        <f t="shared" si="10"/>
        <v>-7.673836895934213E-3</v>
      </c>
      <c r="P10" s="25">
        <f t="shared" si="11"/>
        <v>156.31928709577869</v>
      </c>
      <c r="Q10" s="25">
        <f t="shared" si="12"/>
        <v>-1.1995687128617194</v>
      </c>
      <c r="R10" s="34">
        <v>155.86349999999999</v>
      </c>
      <c r="S10" s="34">
        <v>156.3827</v>
      </c>
      <c r="T10" s="36">
        <v>94</v>
      </c>
      <c r="U10" s="35">
        <v>561312.28</v>
      </c>
      <c r="V10" s="35">
        <v>557150.86</v>
      </c>
    </row>
    <row r="11" spans="1:23">
      <c r="A11" s="17">
        <v>7</v>
      </c>
      <c r="B11" s="18" t="s">
        <v>28</v>
      </c>
      <c r="C11" s="18" t="s">
        <v>29</v>
      </c>
      <c r="D11" s="37">
        <v>1116223810.6099999</v>
      </c>
      <c r="E11" s="30">
        <v>3484545.22</v>
      </c>
      <c r="F11" s="30">
        <v>88733658.700000003</v>
      </c>
      <c r="G11" s="30">
        <v>1851609.89</v>
      </c>
      <c r="H11" s="20">
        <f t="shared" si="0"/>
        <v>90366594.030000001</v>
      </c>
      <c r="I11" s="160">
        <v>1014334792.34</v>
      </c>
      <c r="J11" s="22">
        <f t="shared" si="1"/>
        <v>3.6558783323424784E-2</v>
      </c>
      <c r="K11" s="38">
        <v>1099539056.27</v>
      </c>
      <c r="L11" s="22">
        <f t="shared" si="7"/>
        <v>3.8343048209672152E-2</v>
      </c>
      <c r="M11" s="22">
        <f t="shared" si="8"/>
        <v>8.4000139375520796E-2</v>
      </c>
      <c r="N11" s="23">
        <f t="shared" si="9"/>
        <v>1.683987375838447E-3</v>
      </c>
      <c r="O11" s="24">
        <f t="shared" si="10"/>
        <v>8.2185888272630681E-2</v>
      </c>
      <c r="P11" s="25">
        <f t="shared" si="11"/>
        <v>300.70403986655174</v>
      </c>
      <c r="Q11" s="25">
        <f t="shared" si="12"/>
        <v>24.713628623601107</v>
      </c>
      <c r="R11" s="39">
        <v>300.7</v>
      </c>
      <c r="S11" s="39">
        <v>304.93</v>
      </c>
      <c r="T11" s="40">
        <v>1618</v>
      </c>
      <c r="U11" s="41">
        <v>3692480</v>
      </c>
      <c r="V11" s="41">
        <v>3656549</v>
      </c>
    </row>
    <row r="12" spans="1:23">
      <c r="A12" s="17">
        <v>8</v>
      </c>
      <c r="B12" s="18" t="s">
        <v>30</v>
      </c>
      <c r="C12" s="28" t="s">
        <v>31</v>
      </c>
      <c r="D12" s="19">
        <v>377248032.57999998</v>
      </c>
      <c r="E12" s="19">
        <v>3436297.29</v>
      </c>
      <c r="F12" s="19">
        <v>-12098302.890000001</v>
      </c>
      <c r="G12" s="19">
        <v>1053241.83</v>
      </c>
      <c r="H12" s="20">
        <f t="shared" si="0"/>
        <v>-9715247.4300000016</v>
      </c>
      <c r="I12" s="157">
        <v>324460881.63999999</v>
      </c>
      <c r="J12" s="22">
        <f t="shared" si="1"/>
        <v>1.1694260276175251E-2</v>
      </c>
      <c r="K12" s="21">
        <v>347824238.56</v>
      </c>
      <c r="L12" s="22">
        <f t="shared" si="7"/>
        <v>1.2129302248563035E-2</v>
      </c>
      <c r="M12" s="22">
        <f t="shared" si="8"/>
        <v>7.2006698625452267E-2</v>
      </c>
      <c r="N12" s="23">
        <f t="shared" si="9"/>
        <v>3.0280863529248119E-3</v>
      </c>
      <c r="O12" s="24">
        <f t="shared" si="10"/>
        <v>-2.7931484793070602E-2</v>
      </c>
      <c r="P12" s="25">
        <f t="shared" si="11"/>
        <v>174.72406199609586</v>
      </c>
      <c r="Q12" s="25">
        <f t="shared" si="12"/>
        <v>-4.8803024806274768</v>
      </c>
      <c r="R12" s="26">
        <v>174.72</v>
      </c>
      <c r="S12" s="26">
        <v>177.83</v>
      </c>
      <c r="T12" s="27">
        <v>2468</v>
      </c>
      <c r="U12" s="27">
        <v>1988037</v>
      </c>
      <c r="V12" s="27">
        <f>U12+2669</f>
        <v>1990706</v>
      </c>
    </row>
    <row r="13" spans="1:23">
      <c r="A13" s="17">
        <v>9</v>
      </c>
      <c r="B13" s="18" t="s">
        <v>32</v>
      </c>
      <c r="C13" s="18" t="s">
        <v>33</v>
      </c>
      <c r="D13" s="19">
        <v>53430876.289999999</v>
      </c>
      <c r="E13" s="19">
        <v>151714.99</v>
      </c>
      <c r="F13" s="19">
        <v>5646904.0499999998</v>
      </c>
      <c r="G13" s="19">
        <v>1604757.21</v>
      </c>
      <c r="H13" s="20">
        <f t="shared" si="0"/>
        <v>4193861.83</v>
      </c>
      <c r="I13" s="157">
        <v>51135701.990000002</v>
      </c>
      <c r="J13" s="22">
        <f t="shared" si="1"/>
        <v>1.8430394611930042E-3</v>
      </c>
      <c r="K13" s="21">
        <v>53318109.719999999</v>
      </c>
      <c r="L13" s="22">
        <f t="shared" si="7"/>
        <v>1.8593053514422292E-3</v>
      </c>
      <c r="M13" s="22">
        <f t="shared" si="8"/>
        <v>4.2678747823326729E-2</v>
      </c>
      <c r="N13" s="23">
        <f t="shared" si="9"/>
        <v>3.0097788883127721E-2</v>
      </c>
      <c r="O13" s="24">
        <f t="shared" si="10"/>
        <v>7.8657361486070332E-2</v>
      </c>
      <c r="P13" s="25">
        <f t="shared" si="11"/>
        <v>193.5262440255002</v>
      </c>
      <c r="Q13" s="25">
        <f t="shared" si="12"/>
        <v>15.222263733355229</v>
      </c>
      <c r="R13" s="26">
        <v>190.7</v>
      </c>
      <c r="S13" s="26">
        <v>195.93</v>
      </c>
      <c r="T13" s="27">
        <v>14</v>
      </c>
      <c r="U13" s="27">
        <v>275084.90000000002</v>
      </c>
      <c r="V13" s="27">
        <v>275508.42</v>
      </c>
      <c r="W13" s="8"/>
    </row>
    <row r="14" spans="1:23">
      <c r="A14" s="17">
        <v>10</v>
      </c>
      <c r="B14" s="28" t="s">
        <v>34</v>
      </c>
      <c r="C14" s="28" t="s">
        <v>35</v>
      </c>
      <c r="D14" s="42">
        <v>543588649.04999995</v>
      </c>
      <c r="E14" s="30">
        <v>1883013.24</v>
      </c>
      <c r="F14" s="30">
        <v>39984254.75</v>
      </c>
      <c r="G14" s="30">
        <v>930587.51</v>
      </c>
      <c r="H14" s="20">
        <f t="shared" si="0"/>
        <v>40936680.480000004</v>
      </c>
      <c r="I14" s="158">
        <v>484644931.41000003</v>
      </c>
      <c r="J14" s="22">
        <f t="shared" si="1"/>
        <v>1.7467634128313782E-2</v>
      </c>
      <c r="K14" s="30">
        <v>532696051.64999998</v>
      </c>
      <c r="L14" s="22">
        <f t="shared" si="7"/>
        <v>1.8576139040305629E-2</v>
      </c>
      <c r="M14" s="22">
        <f t="shared" si="8"/>
        <v>9.9147060302895551E-2</v>
      </c>
      <c r="N14" s="23">
        <f t="shared" si="9"/>
        <v>1.7469390041798709E-3</v>
      </c>
      <c r="O14" s="24">
        <f t="shared" si="10"/>
        <v>7.6848101939559418E-2</v>
      </c>
      <c r="P14" s="25">
        <f t="shared" si="11"/>
        <v>1.7668613966442011</v>
      </c>
      <c r="Q14" s="25">
        <f t="shared" si="12"/>
        <v>0.13577994472238589</v>
      </c>
      <c r="R14" s="43">
        <v>1.77</v>
      </c>
      <c r="S14" s="26">
        <v>1.78</v>
      </c>
      <c r="T14" s="27">
        <v>463</v>
      </c>
      <c r="U14" s="30">
        <v>301463954.25999999</v>
      </c>
      <c r="V14" s="30">
        <v>301492835.06999999</v>
      </c>
    </row>
    <row r="15" spans="1:23">
      <c r="A15" s="17">
        <v>11</v>
      </c>
      <c r="B15" s="18" t="s">
        <v>36</v>
      </c>
      <c r="C15" s="28" t="s">
        <v>37</v>
      </c>
      <c r="D15" s="19">
        <v>1660860169.75</v>
      </c>
      <c r="E15" s="20">
        <v>15649757.529999999</v>
      </c>
      <c r="F15" s="43"/>
      <c r="G15" s="20">
        <v>12848710.449999999</v>
      </c>
      <c r="H15" s="20">
        <f>(E15+F15)-G15</f>
        <v>2801047.08</v>
      </c>
      <c r="I15" s="157">
        <v>1613000798.6199999</v>
      </c>
      <c r="J15" s="22">
        <f t="shared" si="1"/>
        <v>5.8135979503593199E-2</v>
      </c>
      <c r="K15" s="21">
        <v>1661863786.23</v>
      </c>
      <c r="L15" s="22">
        <f t="shared" si="7"/>
        <v>5.795239642463236E-2</v>
      </c>
      <c r="M15" s="22">
        <f t="shared" si="8"/>
        <v>3.0293219725498449E-2</v>
      </c>
      <c r="N15" s="23">
        <f t="shared" si="9"/>
        <v>7.7315063704154587E-3</v>
      </c>
      <c r="O15" s="24">
        <f t="shared" si="10"/>
        <v>1.6854853587936229E-3</v>
      </c>
      <c r="P15" s="25">
        <f t="shared" si="11"/>
        <v>3.4061020594204185</v>
      </c>
      <c r="Q15" s="25">
        <f t="shared" si="12"/>
        <v>5.7409351517099215E-3</v>
      </c>
      <c r="R15" s="31">
        <v>3.34</v>
      </c>
      <c r="S15" s="26">
        <v>3.41</v>
      </c>
      <c r="T15" s="27">
        <v>3668</v>
      </c>
      <c r="U15" s="27">
        <v>487405585</v>
      </c>
      <c r="V15" s="27">
        <v>487907807</v>
      </c>
    </row>
    <row r="16" spans="1:23">
      <c r="A16" s="17">
        <v>12</v>
      </c>
      <c r="B16" s="18" t="s">
        <v>38</v>
      </c>
      <c r="C16" s="18" t="s">
        <v>39</v>
      </c>
      <c r="D16" s="30">
        <v>569700044.75</v>
      </c>
      <c r="E16" s="30">
        <v>13979378.41</v>
      </c>
      <c r="F16" s="30">
        <v>18179682.57</v>
      </c>
      <c r="G16" s="30">
        <v>914186.55</v>
      </c>
      <c r="H16" s="20">
        <f>(E16+F16)-G16</f>
        <v>31244874.43</v>
      </c>
      <c r="I16" s="161">
        <v>578099434.12</v>
      </c>
      <c r="J16" s="22">
        <f t="shared" si="1"/>
        <v>2.0835933176098078E-2</v>
      </c>
      <c r="K16" s="44">
        <v>596195156.52999997</v>
      </c>
      <c r="L16" s="22">
        <f t="shared" si="7"/>
        <v>2.0790475334956537E-2</v>
      </c>
      <c r="M16" s="22">
        <f t="shared" si="8"/>
        <v>3.1302093276645064E-2</v>
      </c>
      <c r="N16" s="23">
        <f t="shared" si="9"/>
        <v>1.5333679584396272E-3</v>
      </c>
      <c r="O16" s="24">
        <f t="shared" si="10"/>
        <v>5.2407125565817621E-2</v>
      </c>
      <c r="P16" s="25">
        <f t="shared" si="11"/>
        <v>19.680947356428675</v>
      </c>
      <c r="Q16" s="25">
        <f t="shared" si="12"/>
        <v>1.0314218793626038</v>
      </c>
      <c r="R16" s="45">
        <v>19.73</v>
      </c>
      <c r="S16" s="45">
        <v>19.899999999999999</v>
      </c>
      <c r="T16" s="46">
        <v>327</v>
      </c>
      <c r="U16" s="47">
        <v>29688542.510000002</v>
      </c>
      <c r="V16" s="45">
        <v>30293011.09</v>
      </c>
    </row>
    <row r="17" spans="1:23">
      <c r="A17" s="17">
        <v>13</v>
      </c>
      <c r="B17" s="29" t="s">
        <v>40</v>
      </c>
      <c r="C17" s="29" t="s">
        <v>41</v>
      </c>
      <c r="D17" s="19">
        <v>351580112.06999999</v>
      </c>
      <c r="E17" s="19">
        <v>3509916.78</v>
      </c>
      <c r="F17" s="19">
        <v>128209675.81</v>
      </c>
      <c r="G17" s="19">
        <v>520709.82</v>
      </c>
      <c r="H17" s="20">
        <f t="shared" si="0"/>
        <v>131198882.77000001</v>
      </c>
      <c r="I17" s="157">
        <v>347464187.04000002</v>
      </c>
      <c r="J17" s="22">
        <f t="shared" si="1"/>
        <v>1.2523348328948341E-2</v>
      </c>
      <c r="K17" s="21">
        <v>358765433.83999997</v>
      </c>
      <c r="L17" s="22">
        <f t="shared" si="7"/>
        <v>1.2510842836594187E-2</v>
      </c>
      <c r="M17" s="22">
        <f t="shared" si="8"/>
        <v>3.2524925507499726E-2</v>
      </c>
      <c r="N17" s="23">
        <f t="shared" si="9"/>
        <v>1.4513935036233813E-3</v>
      </c>
      <c r="O17" s="24">
        <f t="shared" si="10"/>
        <v>0.36569543884350714</v>
      </c>
      <c r="P17" s="25">
        <f t="shared" si="11"/>
        <v>2.5798276469371522</v>
      </c>
      <c r="Q17" s="25">
        <f t="shared" si="12"/>
        <v>0.94343120348729426</v>
      </c>
      <c r="R17" s="26">
        <v>2.5499999999999998</v>
      </c>
      <c r="S17" s="26">
        <v>2.58</v>
      </c>
      <c r="T17" s="27">
        <v>22</v>
      </c>
      <c r="U17" s="27">
        <v>139065794.78</v>
      </c>
      <c r="V17" s="27">
        <v>139065659.78</v>
      </c>
    </row>
    <row r="18" spans="1:23">
      <c r="A18" s="17">
        <v>14</v>
      </c>
      <c r="B18" s="18" t="s">
        <v>42</v>
      </c>
      <c r="C18" s="18" t="s">
        <v>43</v>
      </c>
      <c r="D18" s="19">
        <v>1291508404.1500001</v>
      </c>
      <c r="E18" s="19">
        <v>0</v>
      </c>
      <c r="F18" s="19">
        <v>116000546</v>
      </c>
      <c r="G18" s="19">
        <v>2054789.2</v>
      </c>
      <c r="H18" s="20">
        <f t="shared" si="0"/>
        <v>113945756.8</v>
      </c>
      <c r="I18" s="157">
        <v>1400019452.04</v>
      </c>
      <c r="J18" s="22">
        <f t="shared" si="1"/>
        <v>5.0459678778872016E-2</v>
      </c>
      <c r="K18" s="21">
        <v>1283600101.8900001</v>
      </c>
      <c r="L18" s="22">
        <f t="shared" si="7"/>
        <v>4.4761611975539253E-2</v>
      </c>
      <c r="M18" s="22">
        <f t="shared" si="8"/>
        <v>-8.3155523289596148E-2</v>
      </c>
      <c r="N18" s="23">
        <f t="shared" si="9"/>
        <v>1.600801680347707E-3</v>
      </c>
      <c r="O18" s="24">
        <f t="shared" si="10"/>
        <v>8.8770448547194597E-2</v>
      </c>
      <c r="P18" s="25">
        <f t="shared" si="11"/>
        <v>27.790132596116919</v>
      </c>
      <c r="Q18" s="25">
        <f t="shared" si="12"/>
        <v>2.4669425357433123</v>
      </c>
      <c r="R18" s="26">
        <v>27.46</v>
      </c>
      <c r="S18" s="26">
        <v>28.06</v>
      </c>
      <c r="T18" s="27">
        <v>8875</v>
      </c>
      <c r="U18" s="27">
        <v>44320877</v>
      </c>
      <c r="V18" s="27">
        <v>46189060</v>
      </c>
    </row>
    <row r="19" spans="1:23">
      <c r="A19" s="17">
        <v>15</v>
      </c>
      <c r="B19" s="28" t="s">
        <v>44</v>
      </c>
      <c r="C19" s="18" t="s">
        <v>45</v>
      </c>
      <c r="D19" s="30">
        <v>635217946.87</v>
      </c>
      <c r="E19" s="30">
        <v>3241132.44</v>
      </c>
      <c r="F19" s="30">
        <v>43307977.090000004</v>
      </c>
      <c r="G19" s="30">
        <v>779774.21</v>
      </c>
      <c r="H19" s="20">
        <f t="shared" si="0"/>
        <v>45769335.32</v>
      </c>
      <c r="I19" s="158">
        <v>610051362.63</v>
      </c>
      <c r="J19" s="22">
        <f t="shared" si="1"/>
        <v>2.1987548638748106E-2</v>
      </c>
      <c r="K19" s="30">
        <v>653373951.45000005</v>
      </c>
      <c r="L19" s="22">
        <f t="shared" si="7"/>
        <v>2.2784410227661391E-2</v>
      </c>
      <c r="M19" s="22">
        <f t="shared" si="8"/>
        <v>7.1014657902297773E-2</v>
      </c>
      <c r="N19" s="23">
        <f t="shared" si="9"/>
        <v>1.193457756112692E-3</v>
      </c>
      <c r="O19" s="24">
        <f t="shared" si="10"/>
        <v>7.005074998540485E-2</v>
      </c>
      <c r="P19" s="25">
        <f t="shared" si="11"/>
        <v>6476.7794773861287</v>
      </c>
      <c r="Q19" s="25">
        <f t="shared" si="12"/>
        <v>453.70325988097676</v>
      </c>
      <c r="R19" s="30">
        <v>5944.99</v>
      </c>
      <c r="S19" s="30">
        <v>6016.47</v>
      </c>
      <c r="T19" s="36">
        <v>20</v>
      </c>
      <c r="U19" s="30">
        <v>101889.17</v>
      </c>
      <c r="V19" s="30">
        <v>100879.45</v>
      </c>
    </row>
    <row r="20" spans="1:23">
      <c r="A20" s="17">
        <v>16</v>
      </c>
      <c r="B20" s="18" t="s">
        <v>46</v>
      </c>
      <c r="C20" s="18" t="s">
        <v>45</v>
      </c>
      <c r="D20" s="30">
        <v>12053743497.110001</v>
      </c>
      <c r="E20" s="48">
        <v>72488377.170000002</v>
      </c>
      <c r="F20" s="48">
        <v>681969162</v>
      </c>
      <c r="G20" s="48">
        <v>32581292.379999999</v>
      </c>
      <c r="H20" s="20">
        <f t="shared" si="0"/>
        <v>721876246.78999996</v>
      </c>
      <c r="I20" s="158">
        <v>11280080754.559999</v>
      </c>
      <c r="J20" s="22">
        <f t="shared" si="1"/>
        <v>0.40655810220740529</v>
      </c>
      <c r="K20" s="30">
        <v>11981162673.940001</v>
      </c>
      <c r="L20" s="22">
        <f t="shared" si="7"/>
        <v>0.41780625744502725</v>
      </c>
      <c r="M20" s="22">
        <f t="shared" si="8"/>
        <v>6.215220747392141E-2</v>
      </c>
      <c r="N20" s="23">
        <f t="shared" si="9"/>
        <v>2.7193765135054004E-3</v>
      </c>
      <c r="O20" s="24">
        <f t="shared" si="10"/>
        <v>6.0250934440623134E-2</v>
      </c>
      <c r="P20" s="25">
        <f t="shared" si="11"/>
        <v>20610.952698273562</v>
      </c>
      <c r="Q20" s="25">
        <f t="shared" si="12"/>
        <v>1241.829159782465</v>
      </c>
      <c r="R20" s="30">
        <v>20448.18</v>
      </c>
      <c r="S20" s="30">
        <v>20722.509999999998</v>
      </c>
      <c r="T20" s="49">
        <v>17376</v>
      </c>
      <c r="U20" s="30">
        <v>586866.85</v>
      </c>
      <c r="V20" s="30">
        <v>581300.77</v>
      </c>
    </row>
    <row r="21" spans="1:23">
      <c r="A21" s="17">
        <v>17</v>
      </c>
      <c r="B21" s="18" t="s">
        <v>48</v>
      </c>
      <c r="C21" s="18" t="s">
        <v>49</v>
      </c>
      <c r="D21" s="50">
        <v>2344188747</v>
      </c>
      <c r="E21" s="50">
        <v>15257822</v>
      </c>
      <c r="F21" s="50">
        <v>69998315</v>
      </c>
      <c r="G21" s="51">
        <v>4287641</v>
      </c>
      <c r="H21" s="20">
        <f t="shared" si="0"/>
        <v>80968496</v>
      </c>
      <c r="I21" s="162">
        <v>3151290911</v>
      </c>
      <c r="J21" s="22">
        <f t="shared" si="1"/>
        <v>0.11357922697155197</v>
      </c>
      <c r="K21" s="51">
        <v>3143708719</v>
      </c>
      <c r="L21" s="22">
        <f t="shared" si="7"/>
        <v>0.109627188122533</v>
      </c>
      <c r="M21" s="22">
        <f t="shared" si="8"/>
        <v>-2.4060590450514581E-3</v>
      </c>
      <c r="N21" s="23">
        <f t="shared" si="9"/>
        <v>1.3638798575982191E-3</v>
      </c>
      <c r="O21" s="24">
        <f t="shared" si="10"/>
        <v>2.5755724603440909E-2</v>
      </c>
      <c r="P21" s="25">
        <f t="shared" si="11"/>
        <v>1.3101807666064413</v>
      </c>
      <c r="Q21" s="25">
        <f t="shared" si="12"/>
        <v>3.3744655005440591E-2</v>
      </c>
      <c r="R21" s="45">
        <v>1.31</v>
      </c>
      <c r="S21" s="45">
        <v>1.32</v>
      </c>
      <c r="T21" s="46">
        <v>2874</v>
      </c>
      <c r="U21" s="52">
        <v>2025184434</v>
      </c>
      <c r="V21" s="52">
        <v>2399446549</v>
      </c>
    </row>
    <row r="22" spans="1:23">
      <c r="A22" s="201" t="s">
        <v>50</v>
      </c>
      <c r="B22" s="201"/>
      <c r="C22" s="201"/>
      <c r="D22" s="201"/>
      <c r="E22" s="201"/>
      <c r="F22" s="201"/>
      <c r="G22" s="201"/>
      <c r="H22" s="201"/>
      <c r="I22" s="53">
        <f>SUM(I5:I21)</f>
        <v>27745310432.420002</v>
      </c>
      <c r="J22" s="54">
        <f>(I22/$I$192)</f>
        <v>9.5839882438352366E-3</v>
      </c>
      <c r="K22" s="53">
        <f>SUM(K5:K21)</f>
        <v>28676360060.300003</v>
      </c>
      <c r="L22" s="54">
        <f>(K22/$K$192)</f>
        <v>9.6873734795664829E-3</v>
      </c>
      <c r="M22" s="22">
        <f t="shared" si="2"/>
        <v>3.3557008855524741E-2</v>
      </c>
      <c r="N22" s="55"/>
      <c r="O22" s="55"/>
      <c r="P22" s="56"/>
      <c r="Q22" s="56"/>
      <c r="R22" s="57"/>
      <c r="S22" s="57"/>
      <c r="T22" s="58">
        <f>SUM(T5:T21)</f>
        <v>48752</v>
      </c>
      <c r="U22" s="59"/>
      <c r="V22" s="59"/>
    </row>
    <row r="23" spans="1:23" ht="6" customHeight="1">
      <c r="A23" s="20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14"/>
    </row>
    <row r="24" spans="1:23">
      <c r="A24" s="205" t="s">
        <v>51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</row>
    <row r="25" spans="1:23" ht="12.9" customHeight="1">
      <c r="A25" s="17">
        <v>18</v>
      </c>
      <c r="B25" s="18" t="s">
        <v>52</v>
      </c>
      <c r="C25" s="18" t="s">
        <v>21</v>
      </c>
      <c r="D25" s="45">
        <v>999360849.96000004</v>
      </c>
      <c r="E25" s="45">
        <v>15782202.33</v>
      </c>
      <c r="F25" s="45"/>
      <c r="G25" s="45">
        <v>2005238.87</v>
      </c>
      <c r="H25" s="20">
        <f t="shared" ref="H25:H57" si="13">(E25+F25)-G25</f>
        <v>13776963.460000001</v>
      </c>
      <c r="I25" s="163">
        <v>954254664.66999996</v>
      </c>
      <c r="J25" s="22">
        <f t="shared" ref="J25:J57" si="14">(I25/$I$58)</f>
        <v>9.4516881420529078E-4</v>
      </c>
      <c r="K25" s="60">
        <v>962483813.88999999</v>
      </c>
      <c r="L25" s="22">
        <f t="shared" ref="L25:L57" si="15">(K25/$K$58)</f>
        <v>8.9858512238428492E-4</v>
      </c>
      <c r="M25" s="22">
        <f t="shared" ref="M25" si="16">((K25-I25)/I25)</f>
        <v>8.6236405486640518E-3</v>
      </c>
      <c r="N25" s="23">
        <f t="shared" ref="N25" si="17">(G25/K25)</f>
        <v>2.0834000957331155E-3</v>
      </c>
      <c r="O25" s="24">
        <f t="shared" ref="O25" si="18">H25/K25</f>
        <v>1.4313968984391188E-2</v>
      </c>
      <c r="P25" s="25">
        <f t="shared" ref="P25" si="19">K25/V25</f>
        <v>101.03491026269518</v>
      </c>
      <c r="Q25" s="25">
        <f t="shared" ref="Q25" si="20">H25/V25</f>
        <v>1.4462105718409659</v>
      </c>
      <c r="R25" s="26">
        <v>100</v>
      </c>
      <c r="S25" s="26">
        <v>100</v>
      </c>
      <c r="T25" s="27">
        <v>808</v>
      </c>
      <c r="U25" s="45">
        <v>9443901</v>
      </c>
      <c r="V25" s="45">
        <v>9526250</v>
      </c>
    </row>
    <row r="26" spans="1:23" ht="15" customHeight="1">
      <c r="A26" s="17">
        <v>19</v>
      </c>
      <c r="B26" s="18" t="s">
        <v>53</v>
      </c>
      <c r="C26" s="18" t="s">
        <v>54</v>
      </c>
      <c r="D26" s="26">
        <v>6035503289.6099997</v>
      </c>
      <c r="E26" s="26">
        <v>98788827.260000005</v>
      </c>
      <c r="F26" s="26"/>
      <c r="G26" s="26">
        <v>9299592.8699999992</v>
      </c>
      <c r="H26" s="20">
        <f t="shared" si="13"/>
        <v>89489234.390000001</v>
      </c>
      <c r="I26" s="159">
        <v>5346553766.5500002</v>
      </c>
      <c r="J26" s="22">
        <f t="shared" si="14"/>
        <v>5.2956470329253861E-3</v>
      </c>
      <c r="K26" s="26">
        <v>6045647074.3199997</v>
      </c>
      <c r="L26" s="22">
        <f t="shared" si="15"/>
        <v>5.6442803897280933E-3</v>
      </c>
      <c r="M26" s="22">
        <f t="shared" ref="M26:M57" si="21">((K26-I26)/I26)</f>
        <v>0.1307558734644704</v>
      </c>
      <c r="N26" s="23">
        <f t="shared" ref="N26:N57" si="22">(G26/K26)</f>
        <v>1.5382295320383048E-3</v>
      </c>
      <c r="O26" s="24">
        <f t="shared" ref="O26:O57" si="23">H26/K26</f>
        <v>1.4802259094832383E-2</v>
      </c>
      <c r="P26" s="25">
        <f t="shared" ref="P26:P57" si="24">K26/V26</f>
        <v>103.93226013327957</v>
      </c>
      <c r="Q26" s="25">
        <f t="shared" ref="Q26:Q57" si="25">H26/V26</f>
        <v>1.5384322428043227</v>
      </c>
      <c r="R26" s="26">
        <v>100</v>
      </c>
      <c r="S26" s="26">
        <v>100</v>
      </c>
      <c r="T26" s="61">
        <v>1487</v>
      </c>
      <c r="U26" s="27">
        <v>52102763.18</v>
      </c>
      <c r="V26" s="27">
        <v>58169110.020000003</v>
      </c>
    </row>
    <row r="27" spans="1:23">
      <c r="A27" s="17">
        <v>20</v>
      </c>
      <c r="B27" s="18" t="s">
        <v>55</v>
      </c>
      <c r="C27" s="18" t="s">
        <v>23</v>
      </c>
      <c r="D27" s="26">
        <v>433841554.57999998</v>
      </c>
      <c r="E27" s="26">
        <v>15716667.82</v>
      </c>
      <c r="F27" s="26"/>
      <c r="G27" s="26">
        <v>615079.47</v>
      </c>
      <c r="H27" s="20">
        <f t="shared" si="13"/>
        <v>15101588.35</v>
      </c>
      <c r="I27" s="159">
        <v>428011957.77999997</v>
      </c>
      <c r="J27" s="22">
        <f t="shared" si="14"/>
        <v>4.2393668019480594E-4</v>
      </c>
      <c r="K27" s="26">
        <v>438826994.14999998</v>
      </c>
      <c r="L27" s="22">
        <f t="shared" si="15"/>
        <v>4.0969354762455452E-4</v>
      </c>
      <c r="M27" s="22">
        <f t="shared" si="21"/>
        <v>2.5268070607408079E-2</v>
      </c>
      <c r="N27" s="23">
        <f t="shared" si="22"/>
        <v>1.4016445619791415E-3</v>
      </c>
      <c r="O27" s="24">
        <f t="shared" si="23"/>
        <v>3.4413535519280225E-2</v>
      </c>
      <c r="P27" s="25">
        <f t="shared" si="24"/>
        <v>88.595908392741649</v>
      </c>
      <c r="Q27" s="25">
        <f t="shared" si="25"/>
        <v>3.048898440336512</v>
      </c>
      <c r="R27" s="26">
        <v>100</v>
      </c>
      <c r="S27" s="26">
        <v>100</v>
      </c>
      <c r="T27" s="27">
        <v>1217</v>
      </c>
      <c r="U27" s="27">
        <v>4935844.55</v>
      </c>
      <c r="V27" s="27">
        <v>4953129.3499999996</v>
      </c>
    </row>
    <row r="28" spans="1:23">
      <c r="A28" s="17">
        <v>21</v>
      </c>
      <c r="B28" s="18" t="s">
        <v>56</v>
      </c>
      <c r="C28" s="28" t="s">
        <v>57</v>
      </c>
      <c r="D28" s="30">
        <v>32066841870.869999</v>
      </c>
      <c r="E28" s="30">
        <v>1471709106.3499999</v>
      </c>
      <c r="F28" s="30"/>
      <c r="G28" s="30">
        <v>154392628.88</v>
      </c>
      <c r="H28" s="20">
        <f t="shared" si="13"/>
        <v>1317316477.4699998</v>
      </c>
      <c r="I28" s="164">
        <v>87547101552</v>
      </c>
      <c r="J28" s="22">
        <f t="shared" si="14"/>
        <v>8.6713529652621066E-2</v>
      </c>
      <c r="K28" s="49">
        <v>90140972394</v>
      </c>
      <c r="L28" s="22">
        <f t="shared" si="15"/>
        <v>8.4156570262861746E-2</v>
      </c>
      <c r="M28" s="22">
        <f t="shared" si="21"/>
        <v>2.9628289183958066E-2</v>
      </c>
      <c r="N28" s="23">
        <f t="shared" si="22"/>
        <v>1.7127908073274428E-3</v>
      </c>
      <c r="O28" s="24">
        <f t="shared" si="23"/>
        <v>1.461395902977505E-2</v>
      </c>
      <c r="P28" s="25">
        <f t="shared" si="24"/>
        <v>1</v>
      </c>
      <c r="Q28" s="25">
        <f t="shared" si="25"/>
        <v>1.461395902977505E-2</v>
      </c>
      <c r="R28" s="26">
        <v>1</v>
      </c>
      <c r="S28" s="26">
        <v>1</v>
      </c>
      <c r="T28" s="27">
        <v>58788</v>
      </c>
      <c r="U28" s="49">
        <v>87547101552</v>
      </c>
      <c r="V28" s="49">
        <v>90140972394</v>
      </c>
    </row>
    <row r="29" spans="1:23" ht="15" customHeight="1">
      <c r="A29" s="17">
        <v>22</v>
      </c>
      <c r="B29" s="18" t="s">
        <v>58</v>
      </c>
      <c r="C29" s="18" t="s">
        <v>27</v>
      </c>
      <c r="D29" s="26">
        <v>21806699778.439999</v>
      </c>
      <c r="E29" s="26">
        <v>932365279.38999999</v>
      </c>
      <c r="F29" s="26"/>
      <c r="G29" s="26">
        <v>87620558.989999995</v>
      </c>
      <c r="H29" s="20">
        <f t="shared" si="13"/>
        <v>844744720.39999998</v>
      </c>
      <c r="I29" s="158">
        <v>55551194062.889999</v>
      </c>
      <c r="J29" s="22">
        <f t="shared" si="14"/>
        <v>5.502226833574566E-2</v>
      </c>
      <c r="K29" s="30">
        <v>57292195267.540001</v>
      </c>
      <c r="L29" s="22">
        <f t="shared" si="15"/>
        <v>5.3488602668626824E-2</v>
      </c>
      <c r="M29" s="22">
        <f t="shared" si="21"/>
        <v>3.1340482126792787E-2</v>
      </c>
      <c r="N29" s="23">
        <f t="shared" si="22"/>
        <v>1.5293629189950611E-3</v>
      </c>
      <c r="O29" s="24">
        <f t="shared" si="23"/>
        <v>1.4744499079765694E-2</v>
      </c>
      <c r="P29" s="25">
        <f t="shared" si="24"/>
        <v>1.0390553214491145</v>
      </c>
      <c r="Q29" s="25">
        <f t="shared" si="25"/>
        <v>1.5320350230932117E-2</v>
      </c>
      <c r="R29" s="26">
        <v>1</v>
      </c>
      <c r="S29" s="26">
        <v>1</v>
      </c>
      <c r="T29" s="27">
        <v>28215</v>
      </c>
      <c r="U29" s="27">
        <v>54153195693.32</v>
      </c>
      <c r="V29" s="27">
        <v>55138734276.089996</v>
      </c>
    </row>
    <row r="30" spans="1:23">
      <c r="A30" s="17">
        <v>23</v>
      </c>
      <c r="B30" s="28" t="s">
        <v>59</v>
      </c>
      <c r="C30" s="28" t="s">
        <v>43</v>
      </c>
      <c r="D30" s="26">
        <v>8032992416.3900003</v>
      </c>
      <c r="E30" s="26">
        <v>129272289.97</v>
      </c>
      <c r="F30" s="26"/>
      <c r="G30" s="26">
        <v>13672200.789999999</v>
      </c>
      <c r="H30" s="20">
        <f t="shared" si="13"/>
        <v>115600089.18000001</v>
      </c>
      <c r="I30" s="159">
        <v>9354822001.4799995</v>
      </c>
      <c r="J30" s="22">
        <f t="shared" si="14"/>
        <v>9.265750900256919E-3</v>
      </c>
      <c r="K30" s="26">
        <v>7691020888.9499998</v>
      </c>
      <c r="L30" s="22">
        <f t="shared" si="15"/>
        <v>7.1804188777215873E-3</v>
      </c>
      <c r="M30" s="22">
        <f t="shared" si="21"/>
        <v>-0.17785491934178699</v>
      </c>
      <c r="N30" s="23">
        <f t="shared" si="22"/>
        <v>1.7776834814794745E-3</v>
      </c>
      <c r="O30" s="24">
        <f t="shared" si="23"/>
        <v>1.5030525966466601E-2</v>
      </c>
      <c r="P30" s="25">
        <f t="shared" si="24"/>
        <v>99.999999986347703</v>
      </c>
      <c r="Q30" s="25">
        <f t="shared" si="25"/>
        <v>1.5030525964414589</v>
      </c>
      <c r="R30" s="26">
        <v>100</v>
      </c>
      <c r="S30" s="26">
        <v>100</v>
      </c>
      <c r="T30" s="27">
        <v>1943</v>
      </c>
      <c r="U30" s="35">
        <v>93548220.010000005</v>
      </c>
      <c r="V30" s="27">
        <v>76910208.900000006</v>
      </c>
    </row>
    <row r="31" spans="1:23">
      <c r="A31" s="17">
        <v>24</v>
      </c>
      <c r="B31" s="62" t="s">
        <v>260</v>
      </c>
      <c r="C31" s="62" t="s">
        <v>244</v>
      </c>
      <c r="D31" s="26">
        <v>262140257.77000001</v>
      </c>
      <c r="E31" s="26">
        <v>5113074.57</v>
      </c>
      <c r="F31" s="26">
        <v>0</v>
      </c>
      <c r="G31" s="26">
        <v>276483.90999999997</v>
      </c>
      <c r="H31" s="20">
        <f t="shared" si="13"/>
        <v>4836590.66</v>
      </c>
      <c r="I31" s="159">
        <v>229063244.40000001</v>
      </c>
      <c r="J31" s="22">
        <f t="shared" si="14"/>
        <v>2.2688223920019912E-4</v>
      </c>
      <c r="K31" s="26">
        <v>261863773.86000001</v>
      </c>
      <c r="L31" s="22">
        <f t="shared" si="15"/>
        <v>2.4447880357694149E-4</v>
      </c>
      <c r="M31" s="22">
        <f t="shared" si="21"/>
        <v>0.14319420623730592</v>
      </c>
      <c r="N31" s="23">
        <f t="shared" si="22"/>
        <v>1.0558310755416529E-3</v>
      </c>
      <c r="O31" s="24">
        <f t="shared" si="23"/>
        <v>1.8469873051572921E-2</v>
      </c>
      <c r="P31" s="25">
        <f t="shared" si="24"/>
        <v>1.0443942882222159</v>
      </c>
      <c r="Q31" s="25">
        <f t="shared" si="25"/>
        <v>1.928982991925219E-2</v>
      </c>
      <c r="R31" s="26">
        <v>1</v>
      </c>
      <c r="S31" s="26">
        <v>1</v>
      </c>
      <c r="T31" s="27">
        <v>104</v>
      </c>
      <c r="U31" s="35">
        <v>250732675.21000001</v>
      </c>
      <c r="V31" s="27">
        <v>250732675.21000001</v>
      </c>
    </row>
    <row r="32" spans="1:23">
      <c r="A32" s="17">
        <v>25</v>
      </c>
      <c r="B32" s="18" t="s">
        <v>266</v>
      </c>
      <c r="C32" s="18" t="s">
        <v>60</v>
      </c>
      <c r="D32" s="35">
        <v>24469238035.119999</v>
      </c>
      <c r="E32" s="26">
        <v>394497245.49000001</v>
      </c>
      <c r="F32" s="26"/>
      <c r="G32" s="26">
        <v>34077480.060000002</v>
      </c>
      <c r="H32" s="20">
        <f t="shared" si="13"/>
        <v>360419765.43000001</v>
      </c>
      <c r="I32" s="159">
        <v>19949781397.43</v>
      </c>
      <c r="J32" s="22">
        <f t="shared" si="14"/>
        <v>1.9759831337669623E-2</v>
      </c>
      <c r="K32" s="26">
        <v>23407783272.93</v>
      </c>
      <c r="L32" s="22">
        <f t="shared" si="15"/>
        <v>2.1853755349962211E-2</v>
      </c>
      <c r="M32" s="22">
        <f t="shared" si="21"/>
        <v>0.17333532666906676</v>
      </c>
      <c r="N32" s="23">
        <f t="shared" si="22"/>
        <v>1.4558183345540884E-3</v>
      </c>
      <c r="O32" s="24">
        <f t="shared" si="23"/>
        <v>1.5397432607247715E-2</v>
      </c>
      <c r="P32" s="25">
        <f t="shared" si="24"/>
        <v>100.00000000397304</v>
      </c>
      <c r="Q32" s="25">
        <f t="shared" si="25"/>
        <v>1.539743260785946</v>
      </c>
      <c r="R32" s="26">
        <v>100</v>
      </c>
      <c r="S32" s="26">
        <v>100</v>
      </c>
      <c r="T32" s="27">
        <v>2549</v>
      </c>
      <c r="U32" s="27">
        <v>199497813.97</v>
      </c>
      <c r="V32" s="27">
        <v>234077832.72</v>
      </c>
    </row>
    <row r="33" spans="1:22">
      <c r="A33" s="17">
        <v>26</v>
      </c>
      <c r="B33" s="18" t="s">
        <v>61</v>
      </c>
      <c r="C33" s="18" t="s">
        <v>62</v>
      </c>
      <c r="D33" s="26">
        <v>3620464720.6900001</v>
      </c>
      <c r="E33" s="35">
        <v>124273871.51000001</v>
      </c>
      <c r="F33" s="35"/>
      <c r="G33" s="26">
        <v>10128876.24</v>
      </c>
      <c r="H33" s="20">
        <f t="shared" si="13"/>
        <v>114144995.27000001</v>
      </c>
      <c r="I33" s="158">
        <v>6879498400</v>
      </c>
      <c r="J33" s="22">
        <f t="shared" si="14"/>
        <v>6.813995871116663E-3</v>
      </c>
      <c r="K33" s="30">
        <v>8079511100</v>
      </c>
      <c r="L33" s="22">
        <f t="shared" si="15"/>
        <v>7.5431174694314714E-3</v>
      </c>
      <c r="M33" s="22">
        <f t="shared" si="21"/>
        <v>0.17443316797631642</v>
      </c>
      <c r="N33" s="23">
        <f t="shared" si="22"/>
        <v>1.2536496471921427E-3</v>
      </c>
      <c r="O33" s="24">
        <f t="shared" si="23"/>
        <v>1.4127710681652509E-2</v>
      </c>
      <c r="P33" s="25">
        <f t="shared" si="24"/>
        <v>100</v>
      </c>
      <c r="Q33" s="25">
        <f t="shared" si="25"/>
        <v>1.4127710681652508</v>
      </c>
      <c r="R33" s="26">
        <v>100</v>
      </c>
      <c r="S33" s="26">
        <v>100</v>
      </c>
      <c r="T33" s="27">
        <v>6034</v>
      </c>
      <c r="U33" s="27">
        <v>68794984</v>
      </c>
      <c r="V33" s="27">
        <v>80795111</v>
      </c>
    </row>
    <row r="34" spans="1:22">
      <c r="A34" s="17">
        <v>27</v>
      </c>
      <c r="B34" s="18" t="s">
        <v>63</v>
      </c>
      <c r="C34" s="28" t="s">
        <v>64</v>
      </c>
      <c r="D34" s="36">
        <v>39263942.280000001</v>
      </c>
      <c r="E34" s="36">
        <v>275433.01</v>
      </c>
      <c r="F34" s="36"/>
      <c r="G34" s="36">
        <v>41437.480000000003</v>
      </c>
      <c r="H34" s="63">
        <f t="shared" si="13"/>
        <v>233995.53</v>
      </c>
      <c r="I34" s="165">
        <v>39203248.560000002</v>
      </c>
      <c r="J34" s="22">
        <f t="shared" si="14"/>
        <v>3.8829978334205332E-5</v>
      </c>
      <c r="K34" s="36">
        <v>39203248.560000002</v>
      </c>
      <c r="L34" s="22">
        <f t="shared" si="15"/>
        <v>3.6600569689346697E-5</v>
      </c>
      <c r="M34" s="22">
        <f t="shared" si="21"/>
        <v>0</v>
      </c>
      <c r="N34" s="23">
        <f t="shared" si="22"/>
        <v>1.056990977076314E-3</v>
      </c>
      <c r="O34" s="24">
        <f t="shared" si="23"/>
        <v>5.9687790832403404E-3</v>
      </c>
      <c r="P34" s="25">
        <f t="shared" si="24"/>
        <v>101.87107246798604</v>
      </c>
      <c r="Q34" s="25">
        <f t="shared" si="25"/>
        <v>0.608045926534176</v>
      </c>
      <c r="R34" s="36">
        <v>10</v>
      </c>
      <c r="S34" s="36">
        <v>10</v>
      </c>
      <c r="T34" s="36">
        <v>86</v>
      </c>
      <c r="U34" s="36">
        <v>384832</v>
      </c>
      <c r="V34" s="36">
        <v>384832</v>
      </c>
    </row>
    <row r="35" spans="1:22">
      <c r="A35" s="17">
        <v>28</v>
      </c>
      <c r="B35" s="18" t="s">
        <v>65</v>
      </c>
      <c r="C35" s="18" t="s">
        <v>66</v>
      </c>
      <c r="D35" s="30">
        <v>5520748392.2299995</v>
      </c>
      <c r="E35" s="65">
        <v>84543210.950000003</v>
      </c>
      <c r="F35" s="65"/>
      <c r="G35" s="45">
        <v>6673800.3099999996</v>
      </c>
      <c r="H35" s="20">
        <f t="shared" si="13"/>
        <v>77869410.640000001</v>
      </c>
      <c r="I35" s="160">
        <v>5333407100.3000002</v>
      </c>
      <c r="J35" s="22">
        <f t="shared" si="14"/>
        <v>5.2826255414825732E-3</v>
      </c>
      <c r="K35" s="38">
        <v>5540316339.6800003</v>
      </c>
      <c r="L35" s="22">
        <f t="shared" si="15"/>
        <v>5.1724982428722494E-3</v>
      </c>
      <c r="M35" s="22">
        <f t="shared" si="21"/>
        <v>3.8794945798973725E-2</v>
      </c>
      <c r="N35" s="23">
        <f t="shared" si="22"/>
        <v>1.2045883124402004E-3</v>
      </c>
      <c r="O35" s="24">
        <f t="shared" si="23"/>
        <v>1.4055047738392789E-2</v>
      </c>
      <c r="P35" s="25">
        <f t="shared" si="24"/>
        <v>1.0360611191757654</v>
      </c>
      <c r="Q35" s="25">
        <f t="shared" si="25"/>
        <v>1.4561888489908043E-2</v>
      </c>
      <c r="R35" s="26">
        <v>1</v>
      </c>
      <c r="S35" s="26">
        <v>1</v>
      </c>
      <c r="T35" s="46">
        <v>2381</v>
      </c>
      <c r="U35" s="30">
        <v>5215658412.79</v>
      </c>
      <c r="V35" s="30">
        <v>5347480218.2399998</v>
      </c>
    </row>
    <row r="36" spans="1:22">
      <c r="A36" s="17">
        <v>29</v>
      </c>
      <c r="B36" s="18" t="s">
        <v>67</v>
      </c>
      <c r="C36" s="18" t="s">
        <v>68</v>
      </c>
      <c r="D36" s="26">
        <v>6856735889.5100002</v>
      </c>
      <c r="E36" s="26">
        <v>253985668.93000001</v>
      </c>
      <c r="F36" s="26"/>
      <c r="G36" s="26">
        <v>22483533.649999999</v>
      </c>
      <c r="H36" s="20">
        <f t="shared" si="13"/>
        <v>231502135.28</v>
      </c>
      <c r="I36" s="158">
        <v>13958141056.120001</v>
      </c>
      <c r="J36" s="22">
        <f t="shared" si="14"/>
        <v>1.3825239864125219E-2</v>
      </c>
      <c r="K36" s="35">
        <v>15252503019.209999</v>
      </c>
      <c r="L36" s="22">
        <f t="shared" si="15"/>
        <v>1.4239898992992189E-2</v>
      </c>
      <c r="M36" s="22">
        <f t="shared" si="21"/>
        <v>9.273168668276785E-2</v>
      </c>
      <c r="N36" s="23">
        <f t="shared" si="22"/>
        <v>1.4740881297766516E-3</v>
      </c>
      <c r="O36" s="24">
        <f t="shared" si="23"/>
        <v>1.5177976689362466E-2</v>
      </c>
      <c r="P36" s="25">
        <f t="shared" si="24"/>
        <v>100.00000012594654</v>
      </c>
      <c r="Q36" s="25">
        <f t="shared" si="25"/>
        <v>1.5177976708478602</v>
      </c>
      <c r="R36" s="26">
        <v>100</v>
      </c>
      <c r="S36" s="26">
        <v>100</v>
      </c>
      <c r="T36" s="27">
        <v>5691</v>
      </c>
      <c r="U36" s="27">
        <v>141039710</v>
      </c>
      <c r="V36" s="27">
        <v>152525030</v>
      </c>
    </row>
    <row r="37" spans="1:22">
      <c r="A37" s="17">
        <v>30</v>
      </c>
      <c r="B37" s="18" t="s">
        <v>69</v>
      </c>
      <c r="C37" s="18" t="s">
        <v>68</v>
      </c>
      <c r="D37" s="34">
        <v>360469566.11000001</v>
      </c>
      <c r="E37" s="26">
        <v>7263864.5</v>
      </c>
      <c r="F37" s="26"/>
      <c r="G37" s="26">
        <v>711268.37</v>
      </c>
      <c r="H37" s="20">
        <f t="shared" si="13"/>
        <v>6552596.1299999999</v>
      </c>
      <c r="I37" s="159">
        <v>530662701.99000001</v>
      </c>
      <c r="J37" s="22">
        <f t="shared" si="14"/>
        <v>5.2561004452235534E-4</v>
      </c>
      <c r="K37" s="26">
        <v>537353789.39999998</v>
      </c>
      <c r="L37" s="22">
        <f t="shared" si="15"/>
        <v>5.0167921126914963E-4</v>
      </c>
      <c r="M37" s="22">
        <f t="shared" si="21"/>
        <v>1.2608927261908933E-2</v>
      </c>
      <c r="N37" s="23">
        <f t="shared" si="22"/>
        <v>1.3236500496147799E-3</v>
      </c>
      <c r="O37" s="24">
        <f t="shared" si="23"/>
        <v>1.2194193582065395E-2</v>
      </c>
      <c r="P37" s="25">
        <f t="shared" si="24"/>
        <v>998798.865055762</v>
      </c>
      <c r="Q37" s="25">
        <f t="shared" si="25"/>
        <v>12179.546710037175</v>
      </c>
      <c r="R37" s="26">
        <v>1000000</v>
      </c>
      <c r="S37" s="26">
        <v>1000000</v>
      </c>
      <c r="T37" s="27">
        <v>21</v>
      </c>
      <c r="U37" s="27">
        <v>538</v>
      </c>
      <c r="V37" s="27">
        <v>538</v>
      </c>
    </row>
    <row r="38" spans="1:22">
      <c r="A38" s="17">
        <v>31</v>
      </c>
      <c r="B38" s="28" t="s">
        <v>70</v>
      </c>
      <c r="C38" s="28" t="s">
        <v>71</v>
      </c>
      <c r="D38" s="30">
        <v>3595736402.8400002</v>
      </c>
      <c r="E38" s="35">
        <v>58873544.189999998</v>
      </c>
      <c r="F38" s="30">
        <v>0</v>
      </c>
      <c r="G38" s="35">
        <v>5637565.1900000004</v>
      </c>
      <c r="H38" s="20">
        <f t="shared" si="13"/>
        <v>53235979</v>
      </c>
      <c r="I38" s="166">
        <v>3310992728</v>
      </c>
      <c r="J38" s="22">
        <f t="shared" si="14"/>
        <v>3.2794674067936837E-3</v>
      </c>
      <c r="K38" s="37">
        <v>3439758127</v>
      </c>
      <c r="L38" s="22">
        <f t="shared" si="15"/>
        <v>3.2113947610508979E-3</v>
      </c>
      <c r="M38" s="22">
        <f t="shared" si="21"/>
        <v>3.8890269347640803E-2</v>
      </c>
      <c r="N38" s="23">
        <f t="shared" si="22"/>
        <v>1.6389423272957938E-3</v>
      </c>
      <c r="O38" s="24">
        <f t="shared" si="23"/>
        <v>1.5476663484600875E-2</v>
      </c>
      <c r="P38" s="25">
        <f t="shared" si="24"/>
        <v>0.99623784981993813</v>
      </c>
      <c r="Q38" s="25">
        <f t="shared" si="25"/>
        <v>1.5418437952285527E-2</v>
      </c>
      <c r="R38" s="26">
        <v>1</v>
      </c>
      <c r="S38" s="26">
        <v>1</v>
      </c>
      <c r="T38" s="46">
        <v>563</v>
      </c>
      <c r="U38" s="35">
        <v>3331406715</v>
      </c>
      <c r="V38" s="35">
        <v>3452747883.0700002</v>
      </c>
    </row>
    <row r="39" spans="1:22" ht="12.75" customHeight="1">
      <c r="A39" s="17">
        <v>32</v>
      </c>
      <c r="B39" s="18" t="s">
        <v>72</v>
      </c>
      <c r="C39" s="18" t="s">
        <v>73</v>
      </c>
      <c r="D39" s="66">
        <v>538508576.87</v>
      </c>
      <c r="E39" s="30">
        <v>7616576.3099999996</v>
      </c>
      <c r="F39" s="66"/>
      <c r="G39" s="66">
        <v>950911.52</v>
      </c>
      <c r="H39" s="20">
        <f t="shared" si="13"/>
        <v>6665664.7899999991</v>
      </c>
      <c r="I39" s="160">
        <v>584490735.32000005</v>
      </c>
      <c r="J39" s="22">
        <f t="shared" si="14"/>
        <v>5.7892555904605228E-4</v>
      </c>
      <c r="K39" s="38">
        <v>598012523.52999997</v>
      </c>
      <c r="L39" s="22">
        <f t="shared" si="15"/>
        <v>5.5831085041493933E-4</v>
      </c>
      <c r="M39" s="22">
        <f t="shared" si="21"/>
        <v>2.3134307171861226E-2</v>
      </c>
      <c r="N39" s="23">
        <f t="shared" si="22"/>
        <v>1.5901197426215715E-3</v>
      </c>
      <c r="O39" s="24">
        <f t="shared" si="23"/>
        <v>1.1146363207668859E-2</v>
      </c>
      <c r="P39" s="25">
        <f t="shared" si="24"/>
        <v>0.69352375584688186</v>
      </c>
      <c r="Q39" s="25">
        <f t="shared" si="25"/>
        <v>7.7302676758160046E-3</v>
      </c>
      <c r="R39" s="26">
        <v>1</v>
      </c>
      <c r="S39" s="26">
        <v>1</v>
      </c>
      <c r="T39" s="46">
        <v>558</v>
      </c>
      <c r="U39" s="30">
        <v>572528684</v>
      </c>
      <c r="V39" s="30">
        <v>862281239.09000003</v>
      </c>
    </row>
    <row r="40" spans="1:22">
      <c r="A40" s="17">
        <v>33</v>
      </c>
      <c r="B40" s="18" t="s">
        <v>74</v>
      </c>
      <c r="C40" s="18" t="s">
        <v>75</v>
      </c>
      <c r="D40" s="30">
        <v>244929034168.32999</v>
      </c>
      <c r="E40" s="30">
        <v>4180953586.8699999</v>
      </c>
      <c r="F40" s="30"/>
      <c r="G40" s="35">
        <v>307901778.35000002</v>
      </c>
      <c r="H40" s="20">
        <f t="shared" si="13"/>
        <v>3873051808.52</v>
      </c>
      <c r="I40" s="158">
        <v>220548939522.42999</v>
      </c>
      <c r="J40" s="22">
        <f t="shared" si="14"/>
        <v>0.21844900251521193</v>
      </c>
      <c r="K40" s="30">
        <v>234165213317.06</v>
      </c>
      <c r="L40" s="22">
        <f t="shared" si="15"/>
        <v>0.21861913294544053</v>
      </c>
      <c r="M40" s="22">
        <f t="shared" si="21"/>
        <v>6.1738105946527212E-2</v>
      </c>
      <c r="N40" s="23">
        <f t="shared" si="22"/>
        <v>1.3148912000566909E-3</v>
      </c>
      <c r="O40" s="24">
        <f t="shared" si="23"/>
        <v>1.6539825679725891E-2</v>
      </c>
      <c r="P40" s="25">
        <f t="shared" si="24"/>
        <v>100.05986999495492</v>
      </c>
      <c r="Q40" s="25">
        <f t="shared" si="25"/>
        <v>1.6549728072525896</v>
      </c>
      <c r="R40" s="26">
        <v>100</v>
      </c>
      <c r="S40" s="26">
        <v>100</v>
      </c>
      <c r="T40" s="46">
        <v>27315</v>
      </c>
      <c r="U40" s="30">
        <v>2204281714</v>
      </c>
      <c r="V40" s="30">
        <v>2340251025</v>
      </c>
    </row>
    <row r="41" spans="1:22" ht="15.6" customHeight="1">
      <c r="A41" s="17">
        <v>34</v>
      </c>
      <c r="B41" s="18" t="s">
        <v>76</v>
      </c>
      <c r="C41" s="18" t="s">
        <v>77</v>
      </c>
      <c r="D41" s="26">
        <v>658056243.23000002</v>
      </c>
      <c r="E41" s="26">
        <v>9466862.0999999996</v>
      </c>
      <c r="F41" s="26"/>
      <c r="G41" s="26">
        <v>2198648.5499999998</v>
      </c>
      <c r="H41" s="20">
        <f t="shared" si="13"/>
        <v>7268213.5499999998</v>
      </c>
      <c r="I41" s="159">
        <v>605210816.88999999</v>
      </c>
      <c r="J41" s="22">
        <f t="shared" si="14"/>
        <v>5.9944835621207539E-4</v>
      </c>
      <c r="K41" s="26">
        <v>631821422.96000004</v>
      </c>
      <c r="L41" s="22">
        <f t="shared" si="15"/>
        <v>5.8987519840038674E-4</v>
      </c>
      <c r="M41" s="22">
        <f t="shared" si="21"/>
        <v>4.3969151454932867E-2</v>
      </c>
      <c r="N41" s="23">
        <f t="shared" si="22"/>
        <v>3.4798575516791141E-3</v>
      </c>
      <c r="O41" s="24">
        <f t="shared" si="23"/>
        <v>1.150358833347147E-2</v>
      </c>
      <c r="P41" s="25">
        <f t="shared" si="24"/>
        <v>9.8650224483324873</v>
      </c>
      <c r="Q41" s="25">
        <f t="shared" si="25"/>
        <v>0.11348315714607177</v>
      </c>
      <c r="R41" s="26">
        <v>10</v>
      </c>
      <c r="S41" s="26">
        <v>10</v>
      </c>
      <c r="T41" s="27">
        <v>361</v>
      </c>
      <c r="U41" s="27">
        <v>63658130</v>
      </c>
      <c r="V41" s="27">
        <v>64046628</v>
      </c>
    </row>
    <row r="42" spans="1:22">
      <c r="A42" s="17">
        <v>35</v>
      </c>
      <c r="B42" s="18" t="s">
        <v>78</v>
      </c>
      <c r="C42" s="18" t="s">
        <v>79</v>
      </c>
      <c r="D42" s="26">
        <v>1420737557.77</v>
      </c>
      <c r="E42" s="26">
        <v>47429398.770000003</v>
      </c>
      <c r="F42" s="26"/>
      <c r="G42" s="26">
        <v>6217141.1699999999</v>
      </c>
      <c r="H42" s="20">
        <f t="shared" si="13"/>
        <v>41212257.600000001</v>
      </c>
      <c r="I42" s="159">
        <v>3131796266.1399999</v>
      </c>
      <c r="J42" s="22">
        <f t="shared" si="14"/>
        <v>3.1019771480223818E-3</v>
      </c>
      <c r="K42" s="26">
        <v>3289621872.5700002</v>
      </c>
      <c r="L42" s="22">
        <f t="shared" si="15"/>
        <v>3.0712259575714474E-3</v>
      </c>
      <c r="M42" s="22">
        <f t="shared" si="21"/>
        <v>5.0394595630744353E-2</v>
      </c>
      <c r="N42" s="23">
        <f t="shared" si="22"/>
        <v>1.8899257759199207E-3</v>
      </c>
      <c r="O42" s="24">
        <f t="shared" si="23"/>
        <v>1.2527961934969486E-2</v>
      </c>
      <c r="P42" s="25">
        <f t="shared" si="24"/>
        <v>100.04578525778467</v>
      </c>
      <c r="Q42" s="25">
        <f t="shared" si="25"/>
        <v>1.2533697894636577</v>
      </c>
      <c r="R42" s="26">
        <v>100</v>
      </c>
      <c r="S42" s="26">
        <v>100</v>
      </c>
      <c r="T42" s="67">
        <v>1531</v>
      </c>
      <c r="U42" s="30">
        <v>31332531</v>
      </c>
      <c r="V42" s="30">
        <v>32881164</v>
      </c>
    </row>
    <row r="43" spans="1:22">
      <c r="A43" s="17">
        <v>36</v>
      </c>
      <c r="B43" s="28" t="s">
        <v>80</v>
      </c>
      <c r="C43" s="28" t="s">
        <v>35</v>
      </c>
      <c r="D43" s="30">
        <v>27617893917.900002</v>
      </c>
      <c r="E43" s="30">
        <v>458046101.39999998</v>
      </c>
      <c r="F43" s="30"/>
      <c r="G43" s="30">
        <v>28334502.600000001</v>
      </c>
      <c r="H43" s="20">
        <f t="shared" si="13"/>
        <v>429711598.79999995</v>
      </c>
      <c r="I43" s="158">
        <v>24065751668.330002</v>
      </c>
      <c r="J43" s="22">
        <f t="shared" si="14"/>
        <v>2.3836611765665875E-2</v>
      </c>
      <c r="K43" s="30">
        <v>26528387004.799999</v>
      </c>
      <c r="L43" s="22">
        <f t="shared" si="15"/>
        <v>2.4767184174268379E-2</v>
      </c>
      <c r="M43" s="22">
        <f t="shared" si="21"/>
        <v>0.10232945849394645</v>
      </c>
      <c r="N43" s="23">
        <f t="shared" si="22"/>
        <v>1.0680823751128632E-3</v>
      </c>
      <c r="O43" s="24">
        <f t="shared" si="23"/>
        <v>1.6198180414144617E-2</v>
      </c>
      <c r="P43" s="25">
        <f t="shared" si="24"/>
        <v>99.999999999246086</v>
      </c>
      <c r="Q43" s="25">
        <f t="shared" si="25"/>
        <v>1.6198180414022496</v>
      </c>
      <c r="R43" s="26">
        <v>100</v>
      </c>
      <c r="S43" s="26">
        <v>100</v>
      </c>
      <c r="T43" s="27">
        <v>12343</v>
      </c>
      <c r="U43" s="35">
        <v>240657516.68000001</v>
      </c>
      <c r="V43" s="35">
        <v>265283870.05000001</v>
      </c>
    </row>
    <row r="44" spans="1:22">
      <c r="A44" s="17">
        <v>37</v>
      </c>
      <c r="B44" s="18" t="s">
        <v>81</v>
      </c>
      <c r="C44" s="18" t="s">
        <v>37</v>
      </c>
      <c r="D44" s="26">
        <v>3624354114.1500001</v>
      </c>
      <c r="E44" s="26">
        <v>61610961.549999997</v>
      </c>
      <c r="F44" s="26"/>
      <c r="G44" s="26">
        <v>4126644.55</v>
      </c>
      <c r="H44" s="20">
        <f t="shared" si="13"/>
        <v>57484317</v>
      </c>
      <c r="I44" s="159">
        <v>3513513281.3299999</v>
      </c>
      <c r="J44" s="22">
        <f t="shared" si="14"/>
        <v>3.4800596787835834E-3</v>
      </c>
      <c r="K44" s="26">
        <v>3606831856.6399999</v>
      </c>
      <c r="L44" s="22">
        <f t="shared" si="15"/>
        <v>3.3673765714763524E-3</v>
      </c>
      <c r="M44" s="22">
        <f t="shared" si="21"/>
        <v>2.6559903958773501E-2</v>
      </c>
      <c r="N44" s="23">
        <f t="shared" si="22"/>
        <v>1.1441189148873271E-3</v>
      </c>
      <c r="O44" s="24">
        <f t="shared" si="23"/>
        <v>1.5937620406167315E-2</v>
      </c>
      <c r="P44" s="25">
        <f t="shared" si="24"/>
        <v>0.98461775139309782</v>
      </c>
      <c r="Q44" s="25">
        <f t="shared" si="25"/>
        <v>1.569246396687721E-2</v>
      </c>
      <c r="R44" s="26">
        <v>1</v>
      </c>
      <c r="S44" s="68">
        <v>1</v>
      </c>
      <c r="T44" s="27">
        <v>940</v>
      </c>
      <c r="U44" s="27">
        <v>3570228921</v>
      </c>
      <c r="V44" s="27">
        <v>3663179799</v>
      </c>
    </row>
    <row r="45" spans="1:22">
      <c r="A45" s="17">
        <v>38</v>
      </c>
      <c r="B45" s="18" t="s">
        <v>82</v>
      </c>
      <c r="C45" s="18" t="s">
        <v>39</v>
      </c>
      <c r="D45" s="26">
        <v>5712677089.0600004</v>
      </c>
      <c r="E45" s="26">
        <v>87323334.069999993</v>
      </c>
      <c r="F45" s="26"/>
      <c r="G45" s="26">
        <v>7562292.1900000004</v>
      </c>
      <c r="H45" s="20">
        <f t="shared" si="13"/>
        <v>79761041.879999995</v>
      </c>
      <c r="I45" s="158">
        <v>4559230310.54</v>
      </c>
      <c r="J45" s="22">
        <f t="shared" si="14"/>
        <v>4.5158200068030393E-3</v>
      </c>
      <c r="K45" s="35">
        <v>5707930762.2299995</v>
      </c>
      <c r="L45" s="22">
        <f t="shared" si="15"/>
        <v>5.3289848499474685E-3</v>
      </c>
      <c r="M45" s="22">
        <f t="shared" si="21"/>
        <v>0.25195052091017228</v>
      </c>
      <c r="N45" s="23">
        <f t="shared" si="22"/>
        <v>1.324874548240934E-3</v>
      </c>
      <c r="O45" s="24">
        <f t="shared" si="23"/>
        <v>1.3973722738157146E-2</v>
      </c>
      <c r="P45" s="25">
        <f t="shared" si="24"/>
        <v>9.8415229992981246</v>
      </c>
      <c r="Q45" s="25">
        <f t="shared" si="25"/>
        <v>0.1375227137133887</v>
      </c>
      <c r="R45" s="26">
        <v>10</v>
      </c>
      <c r="S45" s="26">
        <v>10</v>
      </c>
      <c r="T45" s="27">
        <v>2143</v>
      </c>
      <c r="U45" s="27">
        <v>444033976.13</v>
      </c>
      <c r="V45" s="27">
        <v>579984496.57000005</v>
      </c>
    </row>
    <row r="46" spans="1:22" ht="14.1" customHeight="1">
      <c r="A46" s="17">
        <v>39</v>
      </c>
      <c r="B46" s="18" t="s">
        <v>83</v>
      </c>
      <c r="C46" s="18" t="s">
        <v>84</v>
      </c>
      <c r="D46" s="26">
        <v>2983706377</v>
      </c>
      <c r="E46" s="26">
        <v>88638133</v>
      </c>
      <c r="F46" s="26"/>
      <c r="G46" s="26">
        <v>13428381</v>
      </c>
      <c r="H46" s="20">
        <f t="shared" si="13"/>
        <v>75209752</v>
      </c>
      <c r="I46" s="167">
        <v>4930200617</v>
      </c>
      <c r="J46" s="22">
        <f t="shared" si="14"/>
        <v>4.8832581526604933E-3</v>
      </c>
      <c r="K46" s="69">
        <v>5993346330</v>
      </c>
      <c r="L46" s="22">
        <f t="shared" si="15"/>
        <v>5.5954518587363533E-3</v>
      </c>
      <c r="M46" s="22">
        <f t="shared" si="21"/>
        <v>0.21563944260891321</v>
      </c>
      <c r="N46" s="23">
        <f t="shared" si="22"/>
        <v>2.2405481446622823E-3</v>
      </c>
      <c r="O46" s="24">
        <f t="shared" si="23"/>
        <v>1.2548874678497012E-2</v>
      </c>
      <c r="P46" s="25">
        <f t="shared" si="24"/>
        <v>100.00000050055509</v>
      </c>
      <c r="Q46" s="25">
        <f t="shared" si="25"/>
        <v>1.2548874741311045</v>
      </c>
      <c r="R46" s="26">
        <v>100</v>
      </c>
      <c r="S46" s="26">
        <v>100</v>
      </c>
      <c r="T46" s="27">
        <v>2396</v>
      </c>
      <c r="U46" s="70">
        <v>49302006</v>
      </c>
      <c r="V46" s="70">
        <v>59933463</v>
      </c>
    </row>
    <row r="47" spans="1:22">
      <c r="A47" s="17">
        <v>40</v>
      </c>
      <c r="B47" s="18" t="s">
        <v>85</v>
      </c>
      <c r="C47" s="28" t="s">
        <v>86</v>
      </c>
      <c r="D47" s="26">
        <f>174375160.14+2702041.83</f>
        <v>177077201.97</v>
      </c>
      <c r="E47" s="26">
        <v>2253014.56</v>
      </c>
      <c r="F47" s="26"/>
      <c r="G47" s="26">
        <v>2349231.14</v>
      </c>
      <c r="H47" s="20">
        <f t="shared" si="13"/>
        <v>-96216.580000000075</v>
      </c>
      <c r="I47" s="158">
        <v>156435683.66</v>
      </c>
      <c r="J47" s="22">
        <f t="shared" si="14"/>
        <v>1.5494619528577146E-4</v>
      </c>
      <c r="K47" s="30">
        <v>159827793</v>
      </c>
      <c r="L47" s="22">
        <f t="shared" si="15"/>
        <v>1.4921692693496976E-4</v>
      </c>
      <c r="M47" s="22">
        <f t="shared" si="21"/>
        <v>2.1683731362548152E-2</v>
      </c>
      <c r="N47" s="23">
        <f t="shared" si="22"/>
        <v>1.4698514544338357E-2</v>
      </c>
      <c r="O47" s="24">
        <f t="shared" si="23"/>
        <v>-6.0200155551168799E-4</v>
      </c>
      <c r="P47" s="25">
        <f t="shared" si="24"/>
        <v>0.9983947317612446</v>
      </c>
      <c r="Q47" s="25">
        <f t="shared" si="25"/>
        <v>-6.0103518153494374E-4</v>
      </c>
      <c r="R47" s="26">
        <v>1</v>
      </c>
      <c r="S47" s="26">
        <v>1</v>
      </c>
      <c r="T47" s="27">
        <v>74</v>
      </c>
      <c r="U47" s="27">
        <v>156378772</v>
      </c>
      <c r="V47" s="30">
        <v>160084772</v>
      </c>
    </row>
    <row r="48" spans="1:22" ht="15" customHeight="1">
      <c r="A48" s="17">
        <v>41</v>
      </c>
      <c r="B48" s="28" t="s">
        <v>87</v>
      </c>
      <c r="C48" s="28" t="s">
        <v>41</v>
      </c>
      <c r="D48" s="26">
        <v>794686425.61000001</v>
      </c>
      <c r="E48" s="26">
        <v>26486585.699999999</v>
      </c>
      <c r="F48" s="26">
        <v>0</v>
      </c>
      <c r="G48" s="26">
        <v>1017735.42</v>
      </c>
      <c r="H48" s="20">
        <f t="shared" si="13"/>
        <v>25468850.279999997</v>
      </c>
      <c r="I48" s="159">
        <v>893982137.99000001</v>
      </c>
      <c r="J48" s="22">
        <f t="shared" si="14"/>
        <v>8.8547016699878965E-4</v>
      </c>
      <c r="K48" s="26">
        <v>806326252.19000006</v>
      </c>
      <c r="L48" s="22">
        <f t="shared" si="15"/>
        <v>7.5279476241521548E-4</v>
      </c>
      <c r="M48" s="22">
        <f t="shared" si="21"/>
        <v>-9.8051048309625688E-2</v>
      </c>
      <c r="N48" s="23">
        <f t="shared" si="22"/>
        <v>1.262188124516358E-3</v>
      </c>
      <c r="O48" s="24">
        <f t="shared" si="23"/>
        <v>3.1586284349326386E-2</v>
      </c>
      <c r="P48" s="25">
        <f t="shared" si="24"/>
        <v>12.849628140713481</v>
      </c>
      <c r="Q48" s="25">
        <f t="shared" si="25"/>
        <v>0.40587200823568209</v>
      </c>
      <c r="R48" s="26">
        <v>10</v>
      </c>
      <c r="S48" s="26">
        <v>10</v>
      </c>
      <c r="T48" s="27">
        <v>711</v>
      </c>
      <c r="U48" s="27">
        <v>76086503.599999994</v>
      </c>
      <c r="V48" s="27">
        <v>62750940.600000001</v>
      </c>
    </row>
    <row r="49" spans="1:23" ht="15" customHeight="1">
      <c r="A49" s="17">
        <v>42</v>
      </c>
      <c r="B49" s="36" t="s">
        <v>255</v>
      </c>
      <c r="C49" s="36" t="s">
        <v>256</v>
      </c>
      <c r="D49" s="26">
        <f>328331140.89+323660805.3</f>
        <v>651991946.19000006</v>
      </c>
      <c r="E49" s="26">
        <v>9412010.2899999991</v>
      </c>
      <c r="F49" s="26">
        <v>0</v>
      </c>
      <c r="G49" s="26">
        <v>1453888.26</v>
      </c>
      <c r="H49" s="20">
        <f t="shared" si="13"/>
        <v>7958122.0299999993</v>
      </c>
      <c r="I49" s="159">
        <v>595784952.99000001</v>
      </c>
      <c r="J49" s="22">
        <f t="shared" si="14"/>
        <v>5.9011223983238296E-4</v>
      </c>
      <c r="K49" s="26">
        <v>618959953.33000004</v>
      </c>
      <c r="L49" s="22">
        <f t="shared" si="15"/>
        <v>5.7786759360254009E-4</v>
      </c>
      <c r="M49" s="22">
        <f t="shared" si="21"/>
        <v>3.8898263918372263E-2</v>
      </c>
      <c r="N49" s="23">
        <f t="shared" si="22"/>
        <v>2.3489213674941192E-3</v>
      </c>
      <c r="O49" s="24">
        <f t="shared" si="23"/>
        <v>1.2857248659118189E-2</v>
      </c>
      <c r="P49" s="25">
        <f t="shared" si="24"/>
        <v>1.0000081174408098</v>
      </c>
      <c r="Q49" s="25">
        <f t="shared" si="25"/>
        <v>1.2857353027073155E-2</v>
      </c>
      <c r="R49" s="26">
        <v>1</v>
      </c>
      <c r="S49" s="26">
        <v>1</v>
      </c>
      <c r="T49" s="27">
        <v>49</v>
      </c>
      <c r="U49" s="27">
        <v>595784929</v>
      </c>
      <c r="V49" s="27">
        <v>618954929</v>
      </c>
    </row>
    <row r="50" spans="1:23" ht="15" customHeight="1">
      <c r="A50" s="17">
        <v>43</v>
      </c>
      <c r="B50" s="32" t="s">
        <v>261</v>
      </c>
      <c r="C50" s="33" t="s">
        <v>229</v>
      </c>
      <c r="D50" s="26">
        <v>5065712319.1550999</v>
      </c>
      <c r="E50" s="26">
        <v>93377776.782576054</v>
      </c>
      <c r="F50" s="26">
        <v>0</v>
      </c>
      <c r="G50" s="26">
        <v>10665501.52</v>
      </c>
      <c r="H50" s="20">
        <f t="shared" si="13"/>
        <v>82712275.262576059</v>
      </c>
      <c r="I50" s="26">
        <v>0</v>
      </c>
      <c r="J50" s="22">
        <f t="shared" si="14"/>
        <v>0</v>
      </c>
      <c r="K50" s="26">
        <v>4949742900.0100002</v>
      </c>
      <c r="L50" s="22">
        <f t="shared" si="15"/>
        <v>4.6211326002460508E-3</v>
      </c>
      <c r="M50" s="22" t="e">
        <f t="shared" si="21"/>
        <v>#DIV/0!</v>
      </c>
      <c r="N50" s="23">
        <f t="shared" si="22"/>
        <v>2.1547586885731886E-3</v>
      </c>
      <c r="O50" s="24">
        <f t="shared" si="23"/>
        <v>1.6710418487071107E-2</v>
      </c>
      <c r="P50" s="25">
        <f t="shared" si="24"/>
        <v>123.54148950878601</v>
      </c>
      <c r="Q50" s="25">
        <f t="shared" si="25"/>
        <v>2.0644299902079188</v>
      </c>
      <c r="R50" s="26">
        <v>100</v>
      </c>
      <c r="S50" s="26">
        <v>100</v>
      </c>
      <c r="T50" s="27">
        <v>26</v>
      </c>
      <c r="U50" s="27">
        <v>50000000</v>
      </c>
      <c r="V50" s="27">
        <v>40065430</v>
      </c>
    </row>
    <row r="51" spans="1:23" ht="15" customHeight="1">
      <c r="A51" s="17">
        <v>44</v>
      </c>
      <c r="B51" s="32" t="s">
        <v>257</v>
      </c>
      <c r="C51" s="33" t="s">
        <v>112</v>
      </c>
      <c r="D51" s="26">
        <v>50000000</v>
      </c>
      <c r="E51" s="26">
        <v>972522.51</v>
      </c>
      <c r="F51" s="26">
        <v>0</v>
      </c>
      <c r="G51" s="26">
        <v>467720.98</v>
      </c>
      <c r="H51" s="20">
        <f t="shared" si="13"/>
        <v>504801.53</v>
      </c>
      <c r="I51" s="159">
        <v>50623710.979999997</v>
      </c>
      <c r="J51" s="22">
        <f t="shared" si="14"/>
        <v>5.014170184243712E-5</v>
      </c>
      <c r="K51" s="26">
        <v>50635480.420000002</v>
      </c>
      <c r="L51" s="22">
        <f t="shared" si="15"/>
        <v>4.7273822908561537E-5</v>
      </c>
      <c r="M51" s="22">
        <f t="shared" si="21"/>
        <v>2.3248868508780088E-4</v>
      </c>
      <c r="N51" s="23">
        <f t="shared" si="22"/>
        <v>9.2370206843195978E-3</v>
      </c>
      <c r="O51" s="24">
        <f t="shared" si="23"/>
        <v>9.9693243909781005E-3</v>
      </c>
      <c r="P51" s="25">
        <f t="shared" si="24"/>
        <v>1012.5071069786043</v>
      </c>
      <c r="Q51" s="25">
        <f t="shared" si="25"/>
        <v>10.094011797640473</v>
      </c>
      <c r="R51" s="26">
        <v>1</v>
      </c>
      <c r="S51" s="26">
        <v>1</v>
      </c>
      <c r="T51" s="27">
        <v>1</v>
      </c>
      <c r="U51" s="27">
        <v>50000</v>
      </c>
      <c r="V51" s="27">
        <v>50010</v>
      </c>
    </row>
    <row r="52" spans="1:23">
      <c r="A52" s="17">
        <v>45</v>
      </c>
      <c r="B52" s="18" t="s">
        <v>88</v>
      </c>
      <c r="C52" s="18" t="s">
        <v>45</v>
      </c>
      <c r="D52" s="30">
        <v>478565263810.95001</v>
      </c>
      <c r="E52" s="30">
        <v>8367701589.3699999</v>
      </c>
      <c r="F52" s="30"/>
      <c r="G52" s="30">
        <v>762074211.63999999</v>
      </c>
      <c r="H52" s="20">
        <f t="shared" si="13"/>
        <v>7605627377.7299995</v>
      </c>
      <c r="I52" s="158">
        <v>461335416566</v>
      </c>
      <c r="J52" s="22">
        <f t="shared" si="14"/>
        <v>0.45694285264760137</v>
      </c>
      <c r="K52" s="30">
        <v>484855919634.71002</v>
      </c>
      <c r="L52" s="22">
        <f t="shared" si="15"/>
        <v>0.45266664186572414</v>
      </c>
      <c r="M52" s="22">
        <f t="shared" si="21"/>
        <v>5.0983519201251506E-2</v>
      </c>
      <c r="N52" s="23">
        <f t="shared" si="22"/>
        <v>1.5717539598447017E-3</v>
      </c>
      <c r="O52" s="24">
        <f t="shared" si="23"/>
        <v>1.5686365927964893E-2</v>
      </c>
      <c r="P52" s="25">
        <f t="shared" si="24"/>
        <v>0.99999999999812317</v>
      </c>
      <c r="Q52" s="25">
        <f t="shared" si="25"/>
        <v>1.5686365927935451E-2</v>
      </c>
      <c r="R52" s="26">
        <v>100</v>
      </c>
      <c r="S52" s="26">
        <v>100</v>
      </c>
      <c r="T52" s="49">
        <v>125188</v>
      </c>
      <c r="U52" s="30">
        <v>461335416566</v>
      </c>
      <c r="V52" s="30">
        <v>484855919635.62</v>
      </c>
    </row>
    <row r="53" spans="1:23">
      <c r="A53" s="17">
        <v>46</v>
      </c>
      <c r="B53" s="18" t="s">
        <v>89</v>
      </c>
      <c r="C53" s="18" t="s">
        <v>90</v>
      </c>
      <c r="D53" s="45">
        <v>3782419146.6999998</v>
      </c>
      <c r="E53" s="45">
        <v>61055278.969999999</v>
      </c>
      <c r="F53" s="45"/>
      <c r="G53" s="45">
        <v>5002442.4800000004</v>
      </c>
      <c r="H53" s="20">
        <f t="shared" si="13"/>
        <v>56052836.489999995</v>
      </c>
      <c r="I53" s="159">
        <v>3280995937.3000002</v>
      </c>
      <c r="J53" s="22">
        <f t="shared" si="14"/>
        <v>3.2497562278541625E-3</v>
      </c>
      <c r="K53" s="26">
        <v>3629946736</v>
      </c>
      <c r="L53" s="22">
        <f t="shared" si="15"/>
        <v>3.3889568686188637E-3</v>
      </c>
      <c r="M53" s="22">
        <f t="shared" si="21"/>
        <v>0.10635514501342501</v>
      </c>
      <c r="N53" s="23">
        <f t="shared" si="22"/>
        <v>1.3781035491205072E-3</v>
      </c>
      <c r="O53" s="24">
        <f t="shared" si="23"/>
        <v>1.544177933359075E-2</v>
      </c>
      <c r="P53" s="25">
        <f t="shared" si="24"/>
        <v>1.0000395241805931</v>
      </c>
      <c r="Q53" s="25">
        <f t="shared" si="25"/>
        <v>1.5442389657265807E-2</v>
      </c>
      <c r="R53" s="26">
        <v>1</v>
      </c>
      <c r="S53" s="26">
        <v>1</v>
      </c>
      <c r="T53" s="46">
        <v>362</v>
      </c>
      <c r="U53" s="46">
        <v>3198811027.3899999</v>
      </c>
      <c r="V53" s="45">
        <v>3629803271</v>
      </c>
    </row>
    <row r="54" spans="1:23">
      <c r="A54" s="17">
        <v>47</v>
      </c>
      <c r="B54" s="18" t="s">
        <v>91</v>
      </c>
      <c r="C54" s="18" t="s">
        <v>49</v>
      </c>
      <c r="D54" s="51">
        <v>15444609111</v>
      </c>
      <c r="E54" s="51">
        <v>613147728</v>
      </c>
      <c r="F54" s="51"/>
      <c r="G54" s="51">
        <v>41395922</v>
      </c>
      <c r="H54" s="20">
        <f t="shared" si="13"/>
        <v>571751806</v>
      </c>
      <c r="I54" s="168">
        <v>39816583984</v>
      </c>
      <c r="J54" s="22">
        <f t="shared" si="14"/>
        <v>3.9437473939807274E-2</v>
      </c>
      <c r="K54" s="52">
        <v>39826306893</v>
      </c>
      <c r="L54" s="22">
        <f t="shared" si="15"/>
        <v>3.7182263573785714E-2</v>
      </c>
      <c r="M54" s="22">
        <f t="shared" si="21"/>
        <v>2.4419244513560178E-4</v>
      </c>
      <c r="N54" s="23">
        <f t="shared" si="22"/>
        <v>1.0394115153889872E-3</v>
      </c>
      <c r="O54" s="24">
        <f t="shared" si="23"/>
        <v>1.4356134188794015E-2</v>
      </c>
      <c r="P54" s="25">
        <f t="shared" si="24"/>
        <v>1.0017439064708176</v>
      </c>
      <c r="Q54" s="25">
        <f t="shared" si="25"/>
        <v>1.4381169944101779E-2</v>
      </c>
      <c r="R54" s="26">
        <v>1</v>
      </c>
      <c r="S54" s="26">
        <v>1</v>
      </c>
      <c r="T54" s="46">
        <v>7331</v>
      </c>
      <c r="U54" s="52">
        <v>40468497178</v>
      </c>
      <c r="V54" s="52">
        <v>39756974448</v>
      </c>
    </row>
    <row r="55" spans="1:23">
      <c r="A55" s="17">
        <v>48</v>
      </c>
      <c r="B55" s="71" t="s">
        <v>92</v>
      </c>
      <c r="C55" s="18" t="s">
        <v>93</v>
      </c>
      <c r="D55" s="72">
        <v>813445997.66999996</v>
      </c>
      <c r="E55" s="72">
        <v>19393147.23</v>
      </c>
      <c r="F55" s="72"/>
      <c r="G55" s="72">
        <v>1639495.25</v>
      </c>
      <c r="H55" s="20">
        <f t="shared" si="13"/>
        <v>17753651.98</v>
      </c>
      <c r="I55" s="158">
        <v>1326203876.77</v>
      </c>
      <c r="J55" s="22">
        <f t="shared" si="14"/>
        <v>1.3135765451402228E-3</v>
      </c>
      <c r="K55" s="30">
        <v>1329705236.1700001</v>
      </c>
      <c r="L55" s="22">
        <f t="shared" si="15"/>
        <v>1.2414269467552843E-3</v>
      </c>
      <c r="M55" s="22">
        <f t="shared" si="21"/>
        <v>2.6401366044319949E-3</v>
      </c>
      <c r="N55" s="23">
        <f t="shared" si="22"/>
        <v>1.2329764562876355E-3</v>
      </c>
      <c r="O55" s="24">
        <f t="shared" si="23"/>
        <v>1.3351569578786131E-2</v>
      </c>
      <c r="P55" s="25">
        <f t="shared" si="24"/>
        <v>1.0058975598432414</v>
      </c>
      <c r="Q55" s="25">
        <f t="shared" si="25"/>
        <v>1.3430311259378222E-2</v>
      </c>
      <c r="R55" s="26">
        <v>1</v>
      </c>
      <c r="S55" s="26">
        <v>1</v>
      </c>
      <c r="T55" s="46">
        <v>92</v>
      </c>
      <c r="U55" s="30">
        <v>1298395507.74</v>
      </c>
      <c r="V55" s="30">
        <v>1321909197.5699999</v>
      </c>
    </row>
    <row r="56" spans="1:23">
      <c r="A56" s="17">
        <v>49</v>
      </c>
      <c r="B56" s="18" t="s">
        <v>94</v>
      </c>
      <c r="C56" s="18" t="s">
        <v>95</v>
      </c>
      <c r="D56" s="30">
        <v>1888701111.46</v>
      </c>
      <c r="E56" s="30">
        <v>27792339.66</v>
      </c>
      <c r="F56" s="30"/>
      <c r="G56" s="30">
        <v>2652804.7200000002</v>
      </c>
      <c r="H56" s="20">
        <f t="shared" si="13"/>
        <v>25139534.940000001</v>
      </c>
      <c r="I56" s="158">
        <v>1615188024.96</v>
      </c>
      <c r="J56" s="22">
        <f t="shared" si="14"/>
        <v>1.5998091566028299E-3</v>
      </c>
      <c r="K56" s="30">
        <v>1887584526.76</v>
      </c>
      <c r="L56" s="22">
        <f t="shared" si="15"/>
        <v>1.7622689841755269E-3</v>
      </c>
      <c r="M56" s="22">
        <f t="shared" si="21"/>
        <v>0.16864693001097864</v>
      </c>
      <c r="N56" s="23">
        <f t="shared" si="22"/>
        <v>1.4053965172905315E-3</v>
      </c>
      <c r="O56" s="24">
        <f t="shared" si="23"/>
        <v>1.3318362480514446E-2</v>
      </c>
      <c r="P56" s="25">
        <f t="shared" si="24"/>
        <v>1.029496127934894</v>
      </c>
      <c r="Q56" s="25">
        <f t="shared" si="25"/>
        <v>1.3711202604122993E-2</v>
      </c>
      <c r="R56" s="26">
        <v>1</v>
      </c>
      <c r="S56" s="26">
        <v>1</v>
      </c>
      <c r="T56" s="27">
        <v>261</v>
      </c>
      <c r="U56" s="30">
        <v>1585754609.9300001</v>
      </c>
      <c r="V56" s="30">
        <v>1833503279.46</v>
      </c>
    </row>
    <row r="57" spans="1:23">
      <c r="A57" s="17">
        <v>50</v>
      </c>
      <c r="B57" s="18" t="s">
        <v>96</v>
      </c>
      <c r="C57" s="18" t="s">
        <v>97</v>
      </c>
      <c r="D57" s="26">
        <v>33361975315.049999</v>
      </c>
      <c r="E57" s="73">
        <v>515848176.93000001</v>
      </c>
      <c r="F57" s="73"/>
      <c r="G57" s="38">
        <v>36242376.399999999</v>
      </c>
      <c r="H57" s="20">
        <f t="shared" si="13"/>
        <v>479605800.53000003</v>
      </c>
      <c r="I57" s="160">
        <v>29189903352.18</v>
      </c>
      <c r="J57" s="22">
        <f t="shared" si="14"/>
        <v>2.8911974297435545E-2</v>
      </c>
      <c r="K57" s="38">
        <v>33344778101.990002</v>
      </c>
      <c r="L57" s="22">
        <f t="shared" si="15"/>
        <v>3.1131039378785776E-2</v>
      </c>
      <c r="M57" s="22">
        <f t="shared" si="21"/>
        <v>0.14233944866760587</v>
      </c>
      <c r="N57" s="23">
        <f t="shared" si="22"/>
        <v>1.0868981130762742E-3</v>
      </c>
      <c r="O57" s="24">
        <f t="shared" si="23"/>
        <v>1.4383235631769803E-2</v>
      </c>
      <c r="P57" s="25">
        <f t="shared" si="24"/>
        <v>1.0359305516467179</v>
      </c>
      <c r="Q57" s="25">
        <f t="shared" si="25"/>
        <v>1.4900033222484019E-2</v>
      </c>
      <c r="R57" s="26">
        <v>1</v>
      </c>
      <c r="S57" s="26">
        <v>1</v>
      </c>
      <c r="T57" s="67">
        <v>3580</v>
      </c>
      <c r="U57" s="38">
        <v>28494589156.380001</v>
      </c>
      <c r="V57" s="30">
        <v>32188236990.389999</v>
      </c>
    </row>
    <row r="58" spans="1:23" ht="15" customHeight="1">
      <c r="A58" s="201" t="s">
        <v>50</v>
      </c>
      <c r="B58" s="201"/>
      <c r="C58" s="201"/>
      <c r="D58" s="201"/>
      <c r="E58" s="201"/>
      <c r="F58" s="201"/>
      <c r="G58" s="201"/>
      <c r="H58" s="201"/>
      <c r="I58" s="74">
        <f>SUM(I25:I57)</f>
        <v>1009612939326.9801</v>
      </c>
      <c r="J58" s="54">
        <f>(I58/$I$192)</f>
        <v>0.34874789254573657</v>
      </c>
      <c r="K58" s="74">
        <f>SUM(K25:K57)</f>
        <v>1071110337700.86</v>
      </c>
      <c r="L58" s="54">
        <f>(K58/$K$192)</f>
        <v>0.36183971247793911</v>
      </c>
      <c r="M58" s="75">
        <f t="shared" ref="M58" si="26">((K58-I58)/I58)</f>
        <v>6.0911856394069964E-2</v>
      </c>
      <c r="N58" s="76"/>
      <c r="O58" s="77"/>
      <c r="P58" s="78"/>
      <c r="Q58" s="78"/>
      <c r="R58" s="74"/>
      <c r="S58" s="74"/>
      <c r="T58" s="79">
        <f>SUM(T25:T57)</f>
        <v>295149</v>
      </c>
      <c r="U58" s="79"/>
      <c r="V58" s="79"/>
    </row>
    <row r="59" spans="1:23" ht="6.9" customHeight="1">
      <c r="A59" s="203"/>
      <c r="B59" s="203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14"/>
    </row>
    <row r="60" spans="1:23">
      <c r="A60" s="200" t="s">
        <v>98</v>
      </c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</row>
    <row r="61" spans="1:23">
      <c r="A61" s="17">
        <v>51</v>
      </c>
      <c r="B61" s="18" t="s">
        <v>99</v>
      </c>
      <c r="C61" s="18" t="s">
        <v>23</v>
      </c>
      <c r="D61" s="26">
        <v>457977816.01999998</v>
      </c>
      <c r="E61" s="26">
        <v>6850557.0599999996</v>
      </c>
      <c r="F61" s="26"/>
      <c r="G61" s="26">
        <v>652729.29</v>
      </c>
      <c r="H61" s="20">
        <f t="shared" ref="H61:H75" si="27">(E61+F61)-G61</f>
        <v>6197827.7699999996</v>
      </c>
      <c r="I61" s="159">
        <v>462220211.18000001</v>
      </c>
      <c r="J61" s="22">
        <f t="shared" ref="J61:J92" si="28">(I61/$I$93)</f>
        <v>1.8747410964093636E-3</v>
      </c>
      <c r="K61" s="26">
        <v>465802977.52999997</v>
      </c>
      <c r="L61" s="22">
        <f t="shared" ref="L61:L92" si="29">(K61/$K$93)</f>
        <v>1.9539111326613489E-3</v>
      </c>
      <c r="M61" s="22">
        <f t="shared" ref="M61" si="30">((K61-I61)/I61)</f>
        <v>7.7512109235845297E-3</v>
      </c>
      <c r="N61" s="23">
        <f t="shared" ref="N61" si="31">(G61/K61)</f>
        <v>1.4012990931513768E-3</v>
      </c>
      <c r="O61" s="24">
        <f t="shared" ref="O61" si="32">H61/K61</f>
        <v>1.330568516943589E-2</v>
      </c>
      <c r="P61" s="25">
        <f t="shared" ref="P61" si="33">K61/V61</f>
        <v>1.2616603391687544</v>
      </c>
      <c r="Q61" s="25">
        <f t="shared" ref="Q61" si="34">H61/V61</f>
        <v>1.678725526374315E-2</v>
      </c>
      <c r="R61" s="80">
        <v>1.25</v>
      </c>
      <c r="S61" s="80">
        <v>1.25</v>
      </c>
      <c r="T61" s="81">
        <v>344</v>
      </c>
      <c r="U61" s="27">
        <v>369178872.92000002</v>
      </c>
      <c r="V61" s="27">
        <v>369198399.18000001</v>
      </c>
    </row>
    <row r="62" spans="1:23" ht="12.9" customHeight="1">
      <c r="A62" s="17">
        <v>52</v>
      </c>
      <c r="B62" s="18" t="s">
        <v>213</v>
      </c>
      <c r="C62" s="28" t="s">
        <v>25</v>
      </c>
      <c r="D62" s="26">
        <v>1314274471.6199999</v>
      </c>
      <c r="E62" s="26">
        <v>16966632.100000001</v>
      </c>
      <c r="F62" s="26">
        <v>1796110.93</v>
      </c>
      <c r="G62" s="26">
        <v>3429964.96</v>
      </c>
      <c r="H62" s="20">
        <f t="shared" si="27"/>
        <v>15332778.07</v>
      </c>
      <c r="I62" s="159">
        <v>1417322051</v>
      </c>
      <c r="J62" s="22">
        <f t="shared" si="28"/>
        <v>5.7485844010879113E-3</v>
      </c>
      <c r="K62" s="26">
        <v>1423405682</v>
      </c>
      <c r="L62" s="22">
        <f t="shared" si="29"/>
        <v>5.9707823747736713E-3</v>
      </c>
      <c r="M62" s="22">
        <f t="shared" ref="M62:M76" si="35">((K62-I62)/I62)</f>
        <v>4.2923420232597511E-3</v>
      </c>
      <c r="N62" s="23">
        <f t="shared" ref="N62:N76" si="36">(G62/K62)</f>
        <v>2.4096889617446393E-3</v>
      </c>
      <c r="O62" s="24">
        <f t="shared" ref="O62:O76" si="37">H62/K62</f>
        <v>1.0771896068629013E-2</v>
      </c>
      <c r="P62" s="25">
        <f t="shared" ref="P62:P76" si="38">K62/V62</f>
        <v>1.1583948264929602</v>
      </c>
      <c r="Q62" s="25">
        <f t="shared" ref="Q62:Q76" si="39">H62/V62</f>
        <v>1.2478108677419705E-2</v>
      </c>
      <c r="R62" s="80">
        <v>1.1584000000000001</v>
      </c>
      <c r="S62" s="80">
        <v>1.1584000000000001</v>
      </c>
      <c r="T62" s="27">
        <v>688</v>
      </c>
      <c r="U62" s="49">
        <v>1241278994</v>
      </c>
      <c r="V62" s="49">
        <v>1228774205</v>
      </c>
    </row>
    <row r="63" spans="1:23" ht="15" customHeight="1">
      <c r="A63" s="17">
        <v>53</v>
      </c>
      <c r="B63" s="18" t="s">
        <v>100</v>
      </c>
      <c r="C63" s="18" t="s">
        <v>101</v>
      </c>
      <c r="D63" s="26">
        <v>770312345.02999997</v>
      </c>
      <c r="E63" s="26">
        <v>9697485.9800000004</v>
      </c>
      <c r="F63" s="26"/>
      <c r="G63" s="26">
        <v>1718894.73</v>
      </c>
      <c r="H63" s="20">
        <f t="shared" si="27"/>
        <v>7978591.25</v>
      </c>
      <c r="I63" s="159">
        <v>862179327</v>
      </c>
      <c r="J63" s="22">
        <f t="shared" si="28"/>
        <v>3.4969544336346976E-3</v>
      </c>
      <c r="K63" s="26">
        <v>868348300</v>
      </c>
      <c r="L63" s="22">
        <f t="shared" si="29"/>
        <v>3.6424743770305393E-3</v>
      </c>
      <c r="M63" s="22">
        <f t="shared" si="35"/>
        <v>7.1550926898993018E-3</v>
      </c>
      <c r="N63" s="23">
        <f t="shared" si="36"/>
        <v>1.9794991594962526E-3</v>
      </c>
      <c r="O63" s="24">
        <f t="shared" si="37"/>
        <v>9.1882384637592997E-3</v>
      </c>
      <c r="P63" s="25">
        <f t="shared" si="38"/>
        <v>1.0555427500099683</v>
      </c>
      <c r="Q63" s="25">
        <f t="shared" si="39"/>
        <v>9.6985784957838578E-3</v>
      </c>
      <c r="R63" s="80">
        <v>1.0555000000000001</v>
      </c>
      <c r="S63" s="80">
        <v>1.0555000000000001</v>
      </c>
      <c r="T63" s="27">
        <v>170</v>
      </c>
      <c r="U63" s="27">
        <v>824379311</v>
      </c>
      <c r="V63" s="27">
        <v>822655738</v>
      </c>
    </row>
    <row r="64" spans="1:23">
      <c r="A64" s="17">
        <v>54</v>
      </c>
      <c r="B64" s="18" t="s">
        <v>102</v>
      </c>
      <c r="C64" s="28" t="s">
        <v>103</v>
      </c>
      <c r="D64" s="82">
        <v>245141409.59999999</v>
      </c>
      <c r="E64" s="82">
        <v>3518289.41</v>
      </c>
      <c r="F64" s="82"/>
      <c r="G64" s="82">
        <v>415382.11</v>
      </c>
      <c r="H64" s="63">
        <f t="shared" si="27"/>
        <v>3102907.3000000003</v>
      </c>
      <c r="I64" s="160">
        <v>258722255.19999999</v>
      </c>
      <c r="J64" s="22">
        <f t="shared" si="28"/>
        <v>1.049363988521622E-3</v>
      </c>
      <c r="K64" s="84">
        <v>258722255.19999999</v>
      </c>
      <c r="L64" s="22">
        <f t="shared" si="29"/>
        <v>1.0852663445457961E-3</v>
      </c>
      <c r="M64" s="22">
        <f t="shared" si="35"/>
        <v>0</v>
      </c>
      <c r="N64" s="23">
        <f t="shared" si="36"/>
        <v>1.6055136411782483E-3</v>
      </c>
      <c r="O64" s="24">
        <f t="shared" si="37"/>
        <v>1.1993198256568074E-2</v>
      </c>
      <c r="P64" s="25">
        <f t="shared" si="38"/>
        <v>1040.0894681407035</v>
      </c>
      <c r="Q64" s="25">
        <f t="shared" si="39"/>
        <v>12.4739991959799</v>
      </c>
      <c r="R64" s="36">
        <v>1040.0899999999999</v>
      </c>
      <c r="S64" s="36">
        <v>1040.0899999999999</v>
      </c>
      <c r="T64" s="36">
        <v>110</v>
      </c>
      <c r="U64" s="36">
        <v>249080</v>
      </c>
      <c r="V64" s="36">
        <v>248750</v>
      </c>
    </row>
    <row r="65" spans="1:22">
      <c r="A65" s="17">
        <v>55</v>
      </c>
      <c r="B65" s="18" t="s">
        <v>104</v>
      </c>
      <c r="C65" s="28" t="s">
        <v>105</v>
      </c>
      <c r="D65" s="26">
        <v>1697995418.3699999</v>
      </c>
      <c r="E65" s="26">
        <v>18918244.93</v>
      </c>
      <c r="F65" s="26"/>
      <c r="G65" s="26">
        <v>2310651.3199999998</v>
      </c>
      <c r="H65" s="20">
        <f t="shared" si="27"/>
        <v>16607593.609999999</v>
      </c>
      <c r="I65" s="159">
        <v>1455273416.4400001</v>
      </c>
      <c r="J65" s="22">
        <f t="shared" si="28"/>
        <v>5.9025131621725513E-3</v>
      </c>
      <c r="K65" s="26">
        <v>1709717082.4300001</v>
      </c>
      <c r="L65" s="22">
        <f t="shared" si="29"/>
        <v>7.1717773440941679E-3</v>
      </c>
      <c r="M65" s="22">
        <f t="shared" si="35"/>
        <v>0.17484251626916911</v>
      </c>
      <c r="N65" s="23">
        <f t="shared" si="36"/>
        <v>1.351481682990439E-3</v>
      </c>
      <c r="O65" s="24">
        <f t="shared" si="37"/>
        <v>9.7136501592391122E-3</v>
      </c>
      <c r="P65" s="25">
        <f t="shared" si="38"/>
        <v>1.0704546673131772</v>
      </c>
      <c r="Q65" s="25">
        <f t="shared" si="39"/>
        <v>1.0398022149604893E-2</v>
      </c>
      <c r="R65" s="20">
        <v>1.0704</v>
      </c>
      <c r="S65" s="50">
        <v>1.0704</v>
      </c>
      <c r="T65" s="27">
        <v>880</v>
      </c>
      <c r="U65" s="27">
        <v>1610891837.3900001</v>
      </c>
      <c r="V65" s="27">
        <v>1597187750.8099999</v>
      </c>
    </row>
    <row r="66" spans="1:22">
      <c r="A66" s="17">
        <v>56</v>
      </c>
      <c r="B66" s="18" t="s">
        <v>106</v>
      </c>
      <c r="C66" s="18" t="s">
        <v>107</v>
      </c>
      <c r="D66" s="26">
        <v>426787751.87</v>
      </c>
      <c r="E66" s="26">
        <v>4858052.8499999996</v>
      </c>
      <c r="F66" s="26">
        <v>0</v>
      </c>
      <c r="G66" s="26">
        <v>785243.3</v>
      </c>
      <c r="H66" s="20">
        <f t="shared" si="27"/>
        <v>4072809.55</v>
      </c>
      <c r="I66" s="159">
        <v>412777578.62</v>
      </c>
      <c r="J66" s="22">
        <f t="shared" si="28"/>
        <v>1.6742043545428271E-3</v>
      </c>
      <c r="K66" s="26">
        <v>416247058.38</v>
      </c>
      <c r="L66" s="22">
        <f t="shared" si="29"/>
        <v>1.7460381331586474E-3</v>
      </c>
      <c r="M66" s="22">
        <f t="shared" si="35"/>
        <v>8.4052040122895525E-3</v>
      </c>
      <c r="N66" s="23">
        <f t="shared" si="36"/>
        <v>1.8864837220858778E-3</v>
      </c>
      <c r="O66" s="24">
        <f t="shared" si="37"/>
        <v>9.784596594750835E-3</v>
      </c>
      <c r="P66" s="25">
        <f t="shared" si="38"/>
        <v>2.371577199190654</v>
      </c>
      <c r="Q66" s="25">
        <f t="shared" si="39"/>
        <v>2.3204926187389598E-2</v>
      </c>
      <c r="R66" s="80">
        <v>2.3628999999999998</v>
      </c>
      <c r="S66" s="80">
        <v>2.3628999999999998</v>
      </c>
      <c r="T66" s="27">
        <v>1392</v>
      </c>
      <c r="U66" s="27">
        <v>175771167.91</v>
      </c>
      <c r="V66" s="27">
        <v>175514867.71000001</v>
      </c>
    </row>
    <row r="67" spans="1:22">
      <c r="A67" s="17">
        <v>57</v>
      </c>
      <c r="B67" s="32" t="s">
        <v>248</v>
      </c>
      <c r="C67" s="33" t="s">
        <v>244</v>
      </c>
      <c r="D67" s="35">
        <v>137986963.30000001</v>
      </c>
      <c r="E67" s="35">
        <v>5099079.32</v>
      </c>
      <c r="F67" s="43">
        <v>0</v>
      </c>
      <c r="G67" s="35">
        <v>332014.74</v>
      </c>
      <c r="H67" s="20">
        <f t="shared" si="27"/>
        <v>4767064.58</v>
      </c>
      <c r="I67" s="159">
        <v>132448917.44</v>
      </c>
      <c r="J67" s="22">
        <f t="shared" si="28"/>
        <v>5.3720590898826326E-4</v>
      </c>
      <c r="K67" s="35">
        <v>137654948.56</v>
      </c>
      <c r="L67" s="22">
        <f t="shared" si="29"/>
        <v>5.7742339450800675E-4</v>
      </c>
      <c r="M67" s="22">
        <f t="shared" si="35"/>
        <v>3.9305954481344572E-2</v>
      </c>
      <c r="N67" s="23">
        <f t="shared" si="36"/>
        <v>2.4119346487226638E-3</v>
      </c>
      <c r="O67" s="24">
        <f t="shared" si="37"/>
        <v>3.4630535479239728E-2</v>
      </c>
      <c r="P67" s="25">
        <f t="shared" si="38"/>
        <v>11.11584394806991</v>
      </c>
      <c r="Q67" s="25">
        <f t="shared" si="39"/>
        <v>0.38494762822532724</v>
      </c>
      <c r="R67" s="43">
        <v>10.69</v>
      </c>
      <c r="S67" s="43">
        <v>10.71</v>
      </c>
      <c r="T67" s="85">
        <v>29</v>
      </c>
      <c r="U67" s="35">
        <v>12383670.48</v>
      </c>
      <c r="V67" s="35">
        <v>12383670.48</v>
      </c>
    </row>
    <row r="68" spans="1:22">
      <c r="A68" s="17">
        <v>58</v>
      </c>
      <c r="B68" s="28" t="s">
        <v>108</v>
      </c>
      <c r="C68" s="18" t="s">
        <v>60</v>
      </c>
      <c r="D68" s="26">
        <v>2588771445.2399998</v>
      </c>
      <c r="E68" s="26">
        <v>26502819.140000001</v>
      </c>
      <c r="F68" s="26"/>
      <c r="G68" s="26">
        <v>4593859.3099999996</v>
      </c>
      <c r="H68" s="20">
        <f t="shared" si="27"/>
        <v>21908959.830000002</v>
      </c>
      <c r="I68" s="159">
        <v>2667377587.2199998</v>
      </c>
      <c r="J68" s="22">
        <f t="shared" si="28"/>
        <v>1.0818744532257616E-2</v>
      </c>
      <c r="K68" s="26">
        <v>2557057792.8899999</v>
      </c>
      <c r="L68" s="22">
        <f t="shared" si="29"/>
        <v>1.0726130852318232E-2</v>
      </c>
      <c r="M68" s="22">
        <f t="shared" si="35"/>
        <v>-4.1358896790078252E-2</v>
      </c>
      <c r="N68" s="23">
        <f t="shared" si="36"/>
        <v>1.7965410569809595E-3</v>
      </c>
      <c r="O68" s="24">
        <f t="shared" si="37"/>
        <v>8.568034672864544E-3</v>
      </c>
      <c r="P68" s="25">
        <f t="shared" si="38"/>
        <v>4184.4440856682477</v>
      </c>
      <c r="Q68" s="25">
        <f t="shared" si="39"/>
        <v>35.852462012668518</v>
      </c>
      <c r="R68" s="26">
        <v>4184.4399999999996</v>
      </c>
      <c r="S68" s="26">
        <v>4184.4399999999996</v>
      </c>
      <c r="T68" s="27">
        <v>1042</v>
      </c>
      <c r="U68" s="27">
        <v>642775.41</v>
      </c>
      <c r="V68" s="27">
        <v>611086.62</v>
      </c>
    </row>
    <row r="69" spans="1:22">
      <c r="A69" s="17">
        <v>59</v>
      </c>
      <c r="B69" s="18" t="s">
        <v>109</v>
      </c>
      <c r="C69" s="18" t="s">
        <v>62</v>
      </c>
      <c r="D69" s="26">
        <v>326844294.47000003</v>
      </c>
      <c r="E69" s="26">
        <v>3574085.97</v>
      </c>
      <c r="F69" s="26"/>
      <c r="G69" s="26">
        <v>743808.41</v>
      </c>
      <c r="H69" s="20">
        <f t="shared" si="27"/>
        <v>2830277.56</v>
      </c>
      <c r="I69" s="158">
        <v>336234528.82999998</v>
      </c>
      <c r="J69" s="22">
        <f t="shared" si="28"/>
        <v>1.3637497322330741E-3</v>
      </c>
      <c r="K69" s="35">
        <v>59227588.950000003</v>
      </c>
      <c r="L69" s="22">
        <f t="shared" si="29"/>
        <v>2.4844290610538666E-4</v>
      </c>
      <c r="M69" s="22">
        <f t="shared" si="35"/>
        <v>-0.8238503667184478</v>
      </c>
      <c r="N69" s="23">
        <f t="shared" si="36"/>
        <v>1.2558478627720672E-2</v>
      </c>
      <c r="O69" s="24">
        <f t="shared" si="37"/>
        <v>4.7786472658701735E-2</v>
      </c>
      <c r="P69" s="25">
        <f t="shared" si="38"/>
        <v>18.915487777887428</v>
      </c>
      <c r="Q69" s="25">
        <f t="shared" si="39"/>
        <v>0.90390443952402444</v>
      </c>
      <c r="R69" s="80">
        <v>108.44</v>
      </c>
      <c r="S69" s="80">
        <v>108.44</v>
      </c>
      <c r="T69" s="27">
        <v>123</v>
      </c>
      <c r="U69" s="27">
        <v>3110196</v>
      </c>
      <c r="V69" s="27">
        <v>3131169</v>
      </c>
    </row>
    <row r="70" spans="1:22">
      <c r="A70" s="17">
        <v>60</v>
      </c>
      <c r="B70" s="28" t="s">
        <v>110</v>
      </c>
      <c r="C70" s="28" t="s">
        <v>66</v>
      </c>
      <c r="D70" s="38">
        <v>322087194.54000002</v>
      </c>
      <c r="E70" s="30">
        <v>379343.4</v>
      </c>
      <c r="F70" s="30">
        <v>42009.36</v>
      </c>
      <c r="G70" s="30">
        <v>66930.22</v>
      </c>
      <c r="H70" s="20">
        <f t="shared" si="27"/>
        <v>354422.54000000004</v>
      </c>
      <c r="I70" s="160">
        <v>322078829.79000002</v>
      </c>
      <c r="J70" s="22">
        <f t="shared" si="28"/>
        <v>1.3063349543917047E-3</v>
      </c>
      <c r="K70" s="38">
        <v>325346542.24000001</v>
      </c>
      <c r="L70" s="22">
        <f t="shared" si="29"/>
        <v>1.3647362973644148E-3</v>
      </c>
      <c r="M70" s="22">
        <f t="shared" si="35"/>
        <v>1.01456915132565E-2</v>
      </c>
      <c r="N70" s="23">
        <f t="shared" si="36"/>
        <v>2.0571978278664861E-4</v>
      </c>
      <c r="O70" s="24">
        <f t="shared" si="37"/>
        <v>1.0893693154376647E-3</v>
      </c>
      <c r="P70" s="25">
        <f t="shared" si="38"/>
        <v>1.3704753504845302</v>
      </c>
      <c r="Q70" s="25">
        <f t="shared" si="39"/>
        <v>1.492953794381526E-3</v>
      </c>
      <c r="R70" s="30">
        <v>1.3705000000000001</v>
      </c>
      <c r="S70" s="86">
        <v>1.3705000000000001</v>
      </c>
      <c r="T70" s="46">
        <v>332</v>
      </c>
      <c r="U70" s="65">
        <v>237834848.99000001</v>
      </c>
      <c r="V70" s="65">
        <v>237396858.05000001</v>
      </c>
    </row>
    <row r="71" spans="1:22">
      <c r="A71" s="17">
        <v>61</v>
      </c>
      <c r="B71" s="18" t="s">
        <v>249</v>
      </c>
      <c r="C71" s="18" t="s">
        <v>47</v>
      </c>
      <c r="D71" s="26">
        <v>99884419.620000005</v>
      </c>
      <c r="E71" s="26">
        <v>2724608.17</v>
      </c>
      <c r="F71" s="87">
        <v>0</v>
      </c>
      <c r="G71" s="26">
        <v>0</v>
      </c>
      <c r="H71" s="20">
        <f>(E71+F71)-G71</f>
        <v>2724608.17</v>
      </c>
      <c r="I71" s="159">
        <v>100162247.39</v>
      </c>
      <c r="J71" s="22">
        <f t="shared" si="28"/>
        <v>4.0625285729366131E-4</v>
      </c>
      <c r="K71" s="35">
        <v>107610103.20999999</v>
      </c>
      <c r="L71" s="22">
        <f t="shared" si="29"/>
        <v>4.5139380551794338E-4</v>
      </c>
      <c r="M71" s="22">
        <f t="shared" si="35"/>
        <v>7.4357914424587598E-2</v>
      </c>
      <c r="N71" s="23">
        <f t="shared" si="36"/>
        <v>0</v>
      </c>
      <c r="O71" s="24">
        <f t="shared" si="37"/>
        <v>2.5319259890337207E-2</v>
      </c>
      <c r="P71" s="25">
        <f t="shared" si="38"/>
        <v>119.59469075877784</v>
      </c>
      <c r="Q71" s="25">
        <f t="shared" si="39"/>
        <v>3.0280490568260059</v>
      </c>
      <c r="R71" s="80">
        <v>119.5967</v>
      </c>
      <c r="S71" s="80">
        <v>119.5967</v>
      </c>
      <c r="T71" s="27">
        <v>127</v>
      </c>
      <c r="U71" s="27">
        <v>846395.45</v>
      </c>
      <c r="V71" s="27">
        <v>899789.97</v>
      </c>
    </row>
    <row r="72" spans="1:22">
      <c r="A72" s="17">
        <v>62</v>
      </c>
      <c r="B72" s="18" t="s">
        <v>111</v>
      </c>
      <c r="C72" s="18" t="s">
        <v>112</v>
      </c>
      <c r="D72" s="26">
        <v>1366048840.1700001</v>
      </c>
      <c r="E72" s="26">
        <v>18549542.66</v>
      </c>
      <c r="F72" s="87"/>
      <c r="G72" s="48">
        <v>18467944.52</v>
      </c>
      <c r="H72" s="20">
        <f t="shared" si="27"/>
        <v>81598.140000000596</v>
      </c>
      <c r="I72" s="169">
        <v>1618270754.3900001</v>
      </c>
      <c r="J72" s="22">
        <f t="shared" si="28"/>
        <v>6.5636218732782001E-3</v>
      </c>
      <c r="K72" s="20">
        <v>1728570324.6700001</v>
      </c>
      <c r="L72" s="22">
        <f t="shared" si="29"/>
        <v>7.2508613381356722E-3</v>
      </c>
      <c r="M72" s="22">
        <f t="shared" si="35"/>
        <v>6.815890973793004E-2</v>
      </c>
      <c r="N72" s="23">
        <f t="shared" si="36"/>
        <v>1.0683941669266884E-2</v>
      </c>
      <c r="O72" s="24">
        <f t="shared" si="37"/>
        <v>4.7205565683639992E-5</v>
      </c>
      <c r="P72" s="25">
        <f t="shared" si="38"/>
        <v>1041.956601123582</v>
      </c>
      <c r="Q72" s="25">
        <f t="shared" si="39"/>
        <v>4.9186150773841524E-2</v>
      </c>
      <c r="R72" s="80">
        <v>1000</v>
      </c>
      <c r="S72" s="80">
        <v>1000</v>
      </c>
      <c r="T72" s="27">
        <v>327</v>
      </c>
      <c r="U72" s="48">
        <v>1547780.76</v>
      </c>
      <c r="V72" s="48">
        <v>1658965.76</v>
      </c>
    </row>
    <row r="73" spans="1:22">
      <c r="A73" s="17">
        <v>63</v>
      </c>
      <c r="B73" s="18" t="s">
        <v>113</v>
      </c>
      <c r="C73" s="18" t="s">
        <v>68</v>
      </c>
      <c r="D73" s="26">
        <v>198471711.06</v>
      </c>
      <c r="E73" s="35">
        <v>2854971.68</v>
      </c>
      <c r="F73" s="88"/>
      <c r="G73" s="26">
        <v>637675.46</v>
      </c>
      <c r="H73" s="20">
        <f t="shared" si="27"/>
        <v>2217296.2200000002</v>
      </c>
      <c r="I73" s="159">
        <v>218282541.19999999</v>
      </c>
      <c r="J73" s="22">
        <f t="shared" si="28"/>
        <v>8.8534261531231142E-4</v>
      </c>
      <c r="K73" s="26">
        <v>221636666.18000001</v>
      </c>
      <c r="L73" s="22">
        <f t="shared" si="29"/>
        <v>9.2970283648982925E-4</v>
      </c>
      <c r="M73" s="22">
        <f t="shared" si="35"/>
        <v>1.536597916425585E-2</v>
      </c>
      <c r="N73" s="23">
        <f t="shared" si="36"/>
        <v>2.8771207895814414E-3</v>
      </c>
      <c r="O73" s="24">
        <f t="shared" si="37"/>
        <v>1.0004194063265892E-2</v>
      </c>
      <c r="P73" s="25">
        <f t="shared" si="38"/>
        <v>1092.93686167957</v>
      </c>
      <c r="Q73" s="25">
        <f t="shared" si="39"/>
        <v>10.933952463139208</v>
      </c>
      <c r="R73" s="26">
        <v>1080.79</v>
      </c>
      <c r="S73" s="35">
        <v>1092.94</v>
      </c>
      <c r="T73" s="27">
        <v>281</v>
      </c>
      <c r="U73" s="27">
        <v>201615</v>
      </c>
      <c r="V73" s="27">
        <v>202790</v>
      </c>
    </row>
    <row r="74" spans="1:22">
      <c r="A74" s="17">
        <v>64</v>
      </c>
      <c r="B74" s="18" t="s">
        <v>114</v>
      </c>
      <c r="C74" s="28" t="s">
        <v>71</v>
      </c>
      <c r="D74" s="89">
        <v>911701803.13</v>
      </c>
      <c r="E74" s="38">
        <v>10807132.26</v>
      </c>
      <c r="F74" s="90"/>
      <c r="G74" s="30">
        <v>1767623.51</v>
      </c>
      <c r="H74" s="20">
        <f t="shared" si="27"/>
        <v>9039508.75</v>
      </c>
      <c r="I74" s="160">
        <v>893629304</v>
      </c>
      <c r="J74" s="22">
        <f t="shared" si="28"/>
        <v>3.6245139019074266E-3</v>
      </c>
      <c r="K74" s="38">
        <v>904152454.88999999</v>
      </c>
      <c r="L74" s="22">
        <f t="shared" si="29"/>
        <v>3.7926626330311072E-3</v>
      </c>
      <c r="M74" s="22">
        <f t="shared" si="35"/>
        <v>1.1775745091277788E-2</v>
      </c>
      <c r="N74" s="23">
        <f t="shared" si="36"/>
        <v>1.955006039567797E-3</v>
      </c>
      <c r="O74" s="24">
        <f t="shared" si="37"/>
        <v>9.9977705099520576E-3</v>
      </c>
      <c r="P74" s="25">
        <f t="shared" si="38"/>
        <v>1.1715321565155228</v>
      </c>
      <c r="Q74" s="25">
        <f t="shared" si="39"/>
        <v>1.1712709645871433E-2</v>
      </c>
      <c r="R74" s="80">
        <v>1.17</v>
      </c>
      <c r="S74" s="80">
        <v>1.17</v>
      </c>
      <c r="T74" s="26">
        <v>40</v>
      </c>
      <c r="U74" s="38">
        <v>770972657.36000001</v>
      </c>
      <c r="V74" s="38">
        <v>771769216.79999995</v>
      </c>
    </row>
    <row r="75" spans="1:22">
      <c r="A75" s="17">
        <v>65</v>
      </c>
      <c r="B75" s="18" t="s">
        <v>250</v>
      </c>
      <c r="C75" s="18" t="s">
        <v>29</v>
      </c>
      <c r="D75" s="30">
        <v>43787364314.559998</v>
      </c>
      <c r="E75" s="30">
        <v>502976886.29000002</v>
      </c>
      <c r="F75" s="91"/>
      <c r="G75" s="38">
        <v>50309052.850000001</v>
      </c>
      <c r="H75" s="20">
        <f t="shared" si="27"/>
        <v>452667833.44</v>
      </c>
      <c r="I75" s="170">
        <v>45587337856.790001</v>
      </c>
      <c r="J75" s="22">
        <f t="shared" si="28"/>
        <v>0.18489986739835701</v>
      </c>
      <c r="K75" s="92">
        <v>41903015658.260002</v>
      </c>
      <c r="L75" s="22">
        <f t="shared" si="29"/>
        <v>0.17577124393002386</v>
      </c>
      <c r="M75" s="22">
        <f t="shared" si="35"/>
        <v>-8.0818981141300358E-2</v>
      </c>
      <c r="N75" s="23">
        <f t="shared" si="36"/>
        <v>1.2006069744549038E-3</v>
      </c>
      <c r="O75" s="24">
        <f t="shared" si="37"/>
        <v>1.080275074070401E-2</v>
      </c>
      <c r="P75" s="25">
        <f t="shared" si="38"/>
        <v>1640.0803840603642</v>
      </c>
      <c r="Q75" s="25">
        <f t="shared" si="39"/>
        <v>17.717379583722217</v>
      </c>
      <c r="R75" s="93">
        <v>1640.08</v>
      </c>
      <c r="S75" s="93">
        <v>1640.08</v>
      </c>
      <c r="T75" s="46">
        <v>2354</v>
      </c>
      <c r="U75" s="65">
        <v>28055644.359999999</v>
      </c>
      <c r="V75" s="65">
        <v>25549367.010000002</v>
      </c>
    </row>
    <row r="76" spans="1:22" ht="13.2" customHeight="1">
      <c r="A76" s="17">
        <v>66</v>
      </c>
      <c r="B76" s="18" t="s">
        <v>115</v>
      </c>
      <c r="C76" s="18" t="s">
        <v>77</v>
      </c>
      <c r="D76" s="26">
        <v>23227351.23</v>
      </c>
      <c r="E76" s="26">
        <v>289979.64</v>
      </c>
      <c r="F76" s="87"/>
      <c r="G76" s="26">
        <v>245469.3</v>
      </c>
      <c r="H76" s="20">
        <f t="shared" ref="H76:H92" si="40">(E76+F76)-G76</f>
        <v>44510.340000000026</v>
      </c>
      <c r="I76" s="159">
        <v>23955901.109999999</v>
      </c>
      <c r="J76" s="22">
        <f t="shared" si="28"/>
        <v>9.7163886879334638E-5</v>
      </c>
      <c r="K76" s="26">
        <v>24175640.739999998</v>
      </c>
      <c r="L76" s="22">
        <f t="shared" si="29"/>
        <v>1.01409943387631E-4</v>
      </c>
      <c r="M76" s="22">
        <f t="shared" si="35"/>
        <v>9.1726722777408787E-3</v>
      </c>
      <c r="N76" s="23">
        <f t="shared" si="36"/>
        <v>1.0153579904662332E-2</v>
      </c>
      <c r="O76" s="24">
        <f t="shared" si="37"/>
        <v>1.8411234878401832E-3</v>
      </c>
      <c r="P76" s="25">
        <f t="shared" si="38"/>
        <v>0.73737635237358046</v>
      </c>
      <c r="Q76" s="25">
        <f t="shared" si="39"/>
        <v>1.3576009217329183E-3</v>
      </c>
      <c r="R76" s="20">
        <v>0.73740000000000006</v>
      </c>
      <c r="S76" s="20">
        <v>0.73740000000000006</v>
      </c>
      <c r="T76" s="27">
        <v>746</v>
      </c>
      <c r="U76" s="27">
        <v>32786026.649999999</v>
      </c>
      <c r="V76" s="27">
        <v>32786026.649999999</v>
      </c>
    </row>
    <row r="77" spans="1:22" ht="13.2" customHeight="1">
      <c r="A77" s="17">
        <v>67</v>
      </c>
      <c r="B77" s="18" t="s">
        <v>251</v>
      </c>
      <c r="C77" s="28" t="s">
        <v>35</v>
      </c>
      <c r="D77" s="26">
        <v>11365631880.889999</v>
      </c>
      <c r="E77" s="26">
        <v>77917463.159999996</v>
      </c>
      <c r="F77" s="87"/>
      <c r="G77" s="26">
        <v>3882933.57</v>
      </c>
      <c r="H77" s="20">
        <f>(E77+F77)-G77</f>
        <v>74034529.590000004</v>
      </c>
      <c r="I77" s="159">
        <v>9421589128.7099991</v>
      </c>
      <c r="J77" s="22">
        <f t="shared" si="28"/>
        <v>3.8213474672568783E-2</v>
      </c>
      <c r="K77" s="26">
        <v>9402280376.6000004</v>
      </c>
      <c r="L77" s="22">
        <f t="shared" si="29"/>
        <v>3.9439894518619491E-2</v>
      </c>
      <c r="M77" s="22">
        <f t="shared" ref="M77:M92" si="41">((K77-I77)/I77)</f>
        <v>-2.049415639571883E-3</v>
      </c>
      <c r="N77" s="23">
        <f t="shared" ref="N77:N92" si="42">(G77/K77)</f>
        <v>4.1297785371979351E-4</v>
      </c>
      <c r="O77" s="24">
        <f t="shared" ref="O77:O92" si="43">H77/K77</f>
        <v>7.8741035817495968E-3</v>
      </c>
      <c r="P77" s="25">
        <f t="shared" ref="P77:P92" si="44">K77/V77</f>
        <v>1</v>
      </c>
      <c r="Q77" s="25">
        <f t="shared" ref="Q77:Q92" si="45">H77/V77</f>
        <v>7.8741035817495968E-3</v>
      </c>
      <c r="R77" s="80">
        <v>1</v>
      </c>
      <c r="S77" s="80">
        <v>1</v>
      </c>
      <c r="T77" s="27">
        <v>5259</v>
      </c>
      <c r="U77" s="27">
        <v>9421589128.7099991</v>
      </c>
      <c r="V77" s="27">
        <v>9402280376.6000004</v>
      </c>
    </row>
    <row r="78" spans="1:22">
      <c r="A78" s="17">
        <v>68</v>
      </c>
      <c r="B78" s="28" t="s">
        <v>116</v>
      </c>
      <c r="C78" s="28" t="s">
        <v>117</v>
      </c>
      <c r="D78" s="30">
        <v>1398299769.6400001</v>
      </c>
      <c r="E78" s="35">
        <v>57623236.079999998</v>
      </c>
      <c r="F78" s="88">
        <v>0</v>
      </c>
      <c r="G78" s="35">
        <v>4477138.57</v>
      </c>
      <c r="H78" s="20">
        <f t="shared" si="40"/>
        <v>53146097.509999998</v>
      </c>
      <c r="I78" s="158">
        <v>1198031750.72</v>
      </c>
      <c r="J78" s="22">
        <f t="shared" si="28"/>
        <v>4.8591543674480183E-3</v>
      </c>
      <c r="K78" s="35">
        <v>1389358561.77</v>
      </c>
      <c r="L78" s="22">
        <f t="shared" si="29"/>
        <v>5.8279643799097978E-3</v>
      </c>
      <c r="M78" s="22">
        <f t="shared" si="41"/>
        <v>0.15970095194473374</v>
      </c>
      <c r="N78" s="23">
        <f t="shared" si="42"/>
        <v>3.2224500522717936E-3</v>
      </c>
      <c r="O78" s="24">
        <f t="shared" si="43"/>
        <v>3.8252254653610443E-2</v>
      </c>
      <c r="P78" s="25">
        <f t="shared" si="44"/>
        <v>226.77138239829932</v>
      </c>
      <c r="Q78" s="25">
        <f t="shared" si="45"/>
        <v>8.6745166676510195</v>
      </c>
      <c r="R78" s="81">
        <v>226.77180000000001</v>
      </c>
      <c r="S78" s="94">
        <v>228.2312</v>
      </c>
      <c r="T78" s="27">
        <v>490</v>
      </c>
      <c r="U78" s="95">
        <v>6126680.6500000004</v>
      </c>
      <c r="V78" s="95">
        <f>(U78+26)-14</f>
        <v>6126692.6500000004</v>
      </c>
    </row>
    <row r="79" spans="1:22">
      <c r="A79" s="17">
        <v>69</v>
      </c>
      <c r="B79" s="18" t="s">
        <v>118</v>
      </c>
      <c r="C79" s="28" t="s">
        <v>37</v>
      </c>
      <c r="D79" s="26">
        <v>1125512986.8699999</v>
      </c>
      <c r="E79" s="26">
        <v>11671310.109999999</v>
      </c>
      <c r="F79" s="87"/>
      <c r="G79" s="26">
        <v>1367119.39</v>
      </c>
      <c r="H79" s="20">
        <f t="shared" si="40"/>
        <v>10304190.719999999</v>
      </c>
      <c r="I79" s="159">
        <v>1109556401.8299999</v>
      </c>
      <c r="J79" s="22">
        <f t="shared" si="28"/>
        <v>4.5003029616217886E-3</v>
      </c>
      <c r="K79" s="26">
        <v>1116644814.03</v>
      </c>
      <c r="L79" s="22">
        <f t="shared" si="29"/>
        <v>4.6840076998461407E-3</v>
      </c>
      <c r="M79" s="22">
        <f t="shared" si="41"/>
        <v>6.3885100282500959E-3</v>
      </c>
      <c r="N79" s="23">
        <f t="shared" si="42"/>
        <v>1.2243099800607418E-3</v>
      </c>
      <c r="O79" s="24">
        <f t="shared" si="43"/>
        <v>9.2278140645384883E-3</v>
      </c>
      <c r="P79" s="25">
        <f t="shared" si="44"/>
        <v>3.4621170074918339</v>
      </c>
      <c r="Q79" s="25">
        <f t="shared" si="45"/>
        <v>3.1947772014811048E-2</v>
      </c>
      <c r="R79" s="20">
        <v>3.46</v>
      </c>
      <c r="S79" s="96">
        <v>3.46</v>
      </c>
      <c r="T79" s="27">
        <v>772</v>
      </c>
      <c r="U79" s="70">
        <v>322532373</v>
      </c>
      <c r="V79" s="70">
        <v>322532373</v>
      </c>
    </row>
    <row r="80" spans="1:22">
      <c r="A80" s="17">
        <v>70</v>
      </c>
      <c r="B80" s="18" t="s">
        <v>247</v>
      </c>
      <c r="C80" s="18" t="s">
        <v>43</v>
      </c>
      <c r="D80" s="26">
        <v>1718850384.8199999</v>
      </c>
      <c r="E80" s="26">
        <v>25296524.829999998</v>
      </c>
      <c r="F80" s="26">
        <v>0</v>
      </c>
      <c r="G80" s="26">
        <v>3934512.53</v>
      </c>
      <c r="H80" s="20">
        <f>(E80+F80)-G80</f>
        <v>21362012.299999997</v>
      </c>
      <c r="I80" s="159">
        <v>2612375904.6199999</v>
      </c>
      <c r="J80" s="22">
        <f t="shared" si="28"/>
        <v>1.0595660573036869E-2</v>
      </c>
      <c r="K80" s="26">
        <v>1720749109.29</v>
      </c>
      <c r="L80" s="22">
        <f t="shared" si="29"/>
        <v>7.2180535620176237E-3</v>
      </c>
      <c r="M80" s="22">
        <f t="shared" si="41"/>
        <v>-0.34130876561568091</v>
      </c>
      <c r="N80" s="23">
        <f t="shared" si="42"/>
        <v>2.2865114436255167E-3</v>
      </c>
      <c r="O80" s="24">
        <f t="shared" si="43"/>
        <v>1.2414367780096773E-2</v>
      </c>
      <c r="P80" s="25">
        <f t="shared" si="44"/>
        <v>104.13609535887741</v>
      </c>
      <c r="Q80" s="25">
        <f t="shared" si="45"/>
        <v>1.2927837869683327</v>
      </c>
      <c r="R80" s="80">
        <v>104.14</v>
      </c>
      <c r="S80" s="80">
        <v>104.14</v>
      </c>
      <c r="T80" s="27">
        <v>143</v>
      </c>
      <c r="U80" s="27">
        <v>25264493</v>
      </c>
      <c r="V80" s="27">
        <v>16524041</v>
      </c>
    </row>
    <row r="81" spans="1:23">
      <c r="A81" s="17">
        <v>71</v>
      </c>
      <c r="B81" s="18" t="s">
        <v>121</v>
      </c>
      <c r="C81" s="18" t="s">
        <v>21</v>
      </c>
      <c r="D81" s="26">
        <v>1295650999.5699999</v>
      </c>
      <c r="E81" s="26">
        <v>14567704.01</v>
      </c>
      <c r="F81" s="97">
        <v>72413000</v>
      </c>
      <c r="G81" s="26">
        <v>1963525.94</v>
      </c>
      <c r="H81" s="20">
        <f t="shared" si="40"/>
        <v>85017178.070000008</v>
      </c>
      <c r="I81" s="159">
        <v>1251612838.1800001</v>
      </c>
      <c r="J81" s="22">
        <f t="shared" si="28"/>
        <v>5.0764764667892096E-3</v>
      </c>
      <c r="K81" s="26">
        <v>1264933218.9000001</v>
      </c>
      <c r="L81" s="22">
        <f t="shared" si="29"/>
        <v>5.3060354220743136E-3</v>
      </c>
      <c r="M81" s="22">
        <f t="shared" si="41"/>
        <v>1.0642572777832409E-2</v>
      </c>
      <c r="N81" s="23">
        <f t="shared" si="42"/>
        <v>1.5522763657890998E-3</v>
      </c>
      <c r="O81" s="24">
        <f t="shared" si="43"/>
        <v>6.721080354260274E-2</v>
      </c>
      <c r="P81" s="25">
        <f t="shared" si="44"/>
        <v>344.10995105496221</v>
      </c>
      <c r="Q81" s="25">
        <f t="shared" si="45"/>
        <v>23.127906317409707</v>
      </c>
      <c r="R81" s="86">
        <v>344.11</v>
      </c>
      <c r="S81" s="86">
        <v>344.11</v>
      </c>
      <c r="T81" s="46">
        <v>105</v>
      </c>
      <c r="U81" s="45">
        <v>3674251.7702000001</v>
      </c>
      <c r="V81" s="45">
        <v>3675956.5221000002</v>
      </c>
    </row>
    <row r="82" spans="1:23">
      <c r="A82" s="17">
        <v>72</v>
      </c>
      <c r="B82" s="32" t="s">
        <v>252</v>
      </c>
      <c r="C82" s="33" t="s">
        <v>227</v>
      </c>
      <c r="D82" s="26">
        <v>1635967235.8499999</v>
      </c>
      <c r="E82" s="26">
        <v>25293594.210000001</v>
      </c>
      <c r="F82" s="97">
        <v>0</v>
      </c>
      <c r="G82" s="26">
        <v>3878395.31</v>
      </c>
      <c r="H82" s="20">
        <f t="shared" si="40"/>
        <v>21415198.900000002</v>
      </c>
      <c r="I82" s="159">
        <v>1673242702.5699999</v>
      </c>
      <c r="J82" s="22">
        <f t="shared" si="28"/>
        <v>6.7865852312404898E-3</v>
      </c>
      <c r="K82" s="26">
        <v>1678519751.2</v>
      </c>
      <c r="L82" s="22">
        <f t="shared" si="29"/>
        <v>7.040913404316766E-3</v>
      </c>
      <c r="M82" s="22">
        <f t="shared" si="41"/>
        <v>3.1537855338588275E-3</v>
      </c>
      <c r="N82" s="23">
        <f t="shared" si="42"/>
        <v>2.3106045116402562E-3</v>
      </c>
      <c r="O82" s="24">
        <f t="shared" si="43"/>
        <v>1.2758383620264189E-2</v>
      </c>
      <c r="P82" s="25">
        <f t="shared" si="44"/>
        <v>104.51752303919558</v>
      </c>
      <c r="Q82" s="25">
        <f t="shared" si="45"/>
        <v>1.3334746539738578</v>
      </c>
      <c r="R82" s="86">
        <v>104.52</v>
      </c>
      <c r="S82" s="86">
        <v>104.52</v>
      </c>
      <c r="T82" s="46">
        <v>371</v>
      </c>
      <c r="U82" s="45">
        <v>16185494</v>
      </c>
      <c r="V82" s="45">
        <v>16059697</v>
      </c>
    </row>
    <row r="83" spans="1:23">
      <c r="A83" s="17">
        <v>73</v>
      </c>
      <c r="B83" s="28" t="s">
        <v>122</v>
      </c>
      <c r="C83" s="28" t="s">
        <v>41</v>
      </c>
      <c r="D83" s="26">
        <v>57551060.030000001</v>
      </c>
      <c r="E83" s="26">
        <v>1994038.75</v>
      </c>
      <c r="F83" s="87"/>
      <c r="G83" s="26">
        <v>147707.57</v>
      </c>
      <c r="H83" s="20">
        <f t="shared" si="40"/>
        <v>1846331.18</v>
      </c>
      <c r="I83" s="159">
        <v>57434146.210000001</v>
      </c>
      <c r="J83" s="22">
        <f t="shared" si="28"/>
        <v>2.3294990489963692E-4</v>
      </c>
      <c r="K83" s="26">
        <v>57958479.350000001</v>
      </c>
      <c r="L83" s="22">
        <f t="shared" si="29"/>
        <v>2.4311935195131797E-4</v>
      </c>
      <c r="M83" s="22">
        <f t="shared" si="41"/>
        <v>9.1292928440661249E-3</v>
      </c>
      <c r="N83" s="23">
        <f t="shared" si="42"/>
        <v>2.5485066491828172E-3</v>
      </c>
      <c r="O83" s="24">
        <f t="shared" si="43"/>
        <v>3.1856101138374671E-2</v>
      </c>
      <c r="P83" s="25">
        <f t="shared" si="44"/>
        <v>12.65590304022485</v>
      </c>
      <c r="Q83" s="25">
        <f t="shared" si="45"/>
        <v>0.40316772724686628</v>
      </c>
      <c r="R83" s="80">
        <v>12.51</v>
      </c>
      <c r="S83" s="80">
        <v>12.57</v>
      </c>
      <c r="T83" s="27">
        <v>56</v>
      </c>
      <c r="U83" s="27">
        <v>4579560.95</v>
      </c>
      <c r="V83" s="27">
        <v>4579560.95</v>
      </c>
    </row>
    <row r="84" spans="1:23">
      <c r="A84" s="17">
        <v>74</v>
      </c>
      <c r="B84" s="18" t="s">
        <v>123</v>
      </c>
      <c r="C84" s="18" t="s">
        <v>124</v>
      </c>
      <c r="D84" s="26">
        <v>6985727071.1899996</v>
      </c>
      <c r="E84" s="26">
        <v>94619401.519999996</v>
      </c>
      <c r="F84" s="87"/>
      <c r="G84" s="26">
        <v>10171328.890000001</v>
      </c>
      <c r="H84" s="20">
        <f t="shared" si="40"/>
        <v>84448072.629999995</v>
      </c>
      <c r="I84" s="159">
        <v>7663543238</v>
      </c>
      <c r="J84" s="22">
        <f t="shared" si="28"/>
        <v>3.10829321281967E-2</v>
      </c>
      <c r="K84" s="26">
        <v>6677781948</v>
      </c>
      <c r="L84" s="22">
        <f t="shared" si="29"/>
        <v>2.8011397777812294E-2</v>
      </c>
      <c r="M84" s="22">
        <f t="shared" si="41"/>
        <v>-0.12862996389347181</v>
      </c>
      <c r="N84" s="23">
        <f t="shared" si="42"/>
        <v>1.5231597810776555E-3</v>
      </c>
      <c r="O84" s="24">
        <f t="shared" si="43"/>
        <v>1.2646126107081447E-2</v>
      </c>
      <c r="P84" s="25">
        <f t="shared" si="44"/>
        <v>1.030757257819404</v>
      </c>
      <c r="Q84" s="25">
        <f t="shared" si="45"/>
        <v>1.3035086268173646E-2</v>
      </c>
      <c r="R84" s="80">
        <v>1.07</v>
      </c>
      <c r="S84" s="80">
        <v>1.07</v>
      </c>
      <c r="T84" s="20">
        <v>4443</v>
      </c>
      <c r="U84" s="27">
        <v>7298612608</v>
      </c>
      <c r="V84" s="27">
        <v>6478520425</v>
      </c>
    </row>
    <row r="85" spans="1:23">
      <c r="A85" s="17">
        <v>75</v>
      </c>
      <c r="B85" s="28" t="s">
        <v>125</v>
      </c>
      <c r="C85" s="18" t="s">
        <v>45</v>
      </c>
      <c r="D85" s="30">
        <v>13221062153.469999</v>
      </c>
      <c r="E85" s="30">
        <v>157706440.53999999</v>
      </c>
      <c r="F85" s="91"/>
      <c r="G85" s="30">
        <v>16583780.210000001</v>
      </c>
      <c r="H85" s="20">
        <f t="shared" si="40"/>
        <v>141122660.32999998</v>
      </c>
      <c r="I85" s="158">
        <v>14833268417.68</v>
      </c>
      <c r="J85" s="22">
        <f t="shared" si="28"/>
        <v>6.0162963938127006E-2</v>
      </c>
      <c r="K85" s="30">
        <v>13367031243.290001</v>
      </c>
      <c r="L85" s="22">
        <f t="shared" si="29"/>
        <v>5.6070897819055443E-2</v>
      </c>
      <c r="M85" s="22">
        <f t="shared" si="41"/>
        <v>-9.8847882550441066E-2</v>
      </c>
      <c r="N85" s="23">
        <f t="shared" si="42"/>
        <v>1.2406479724751708E-3</v>
      </c>
      <c r="O85" s="24">
        <f t="shared" si="43"/>
        <v>1.0557517055317793E-2</v>
      </c>
      <c r="P85" s="25">
        <f t="shared" si="44"/>
        <v>5161.6623275930333</v>
      </c>
      <c r="Q85" s="25">
        <f t="shared" si="45"/>
        <v>54.494338057354781</v>
      </c>
      <c r="R85" s="30">
        <v>5161.66</v>
      </c>
      <c r="S85" s="30">
        <v>5161.66</v>
      </c>
      <c r="T85" s="31">
        <v>363</v>
      </c>
      <c r="U85" s="30">
        <v>2875739.21</v>
      </c>
      <c r="V85" s="30">
        <v>2589675.65</v>
      </c>
    </row>
    <row r="86" spans="1:23">
      <c r="A86" s="17">
        <v>76</v>
      </c>
      <c r="B86" s="18" t="s">
        <v>126</v>
      </c>
      <c r="C86" s="18" t="s">
        <v>45</v>
      </c>
      <c r="D86" s="30">
        <v>27406044582.66</v>
      </c>
      <c r="E86" s="30">
        <v>255015463.59999999</v>
      </c>
      <c r="F86" s="91"/>
      <c r="G86" s="30">
        <v>46264357.770000003</v>
      </c>
      <c r="H86" s="20">
        <f t="shared" si="40"/>
        <v>208751105.82999998</v>
      </c>
      <c r="I86" s="158">
        <v>28437015493.130001</v>
      </c>
      <c r="J86" s="22">
        <f t="shared" si="28"/>
        <v>0.1153390533661445</v>
      </c>
      <c r="K86" s="30">
        <v>27713844033.529999</v>
      </c>
      <c r="L86" s="22">
        <f t="shared" si="29"/>
        <v>0.11625170082230105</v>
      </c>
      <c r="M86" s="22">
        <f t="shared" si="41"/>
        <v>-2.54306384499003E-2</v>
      </c>
      <c r="N86" s="23">
        <f t="shared" si="42"/>
        <v>1.6693591013222993E-3</v>
      </c>
      <c r="O86" s="24">
        <f t="shared" si="43"/>
        <v>7.5323764389176543E-3</v>
      </c>
      <c r="P86" s="25">
        <f t="shared" si="44"/>
        <v>258.35213621232134</v>
      </c>
      <c r="Q86" s="25">
        <f t="shared" si="45"/>
        <v>1.9460055437497341</v>
      </c>
      <c r="R86" s="31">
        <v>258.35000000000002</v>
      </c>
      <c r="S86" s="31">
        <v>258.35000000000002</v>
      </c>
      <c r="T86" s="49">
        <v>6561</v>
      </c>
      <c r="U86" s="30">
        <v>110100910.41</v>
      </c>
      <c r="V86" s="30">
        <v>107271588.45999999</v>
      </c>
    </row>
    <row r="87" spans="1:23">
      <c r="A87" s="17">
        <v>77</v>
      </c>
      <c r="B87" s="28" t="s">
        <v>127</v>
      </c>
      <c r="C87" s="18" t="s">
        <v>45</v>
      </c>
      <c r="D87" s="30">
        <v>344507373.16000003</v>
      </c>
      <c r="E87" s="30">
        <v>4071834.69</v>
      </c>
      <c r="F87" s="98">
        <v>7148048.3300000001</v>
      </c>
      <c r="G87" s="30">
        <v>405226.17</v>
      </c>
      <c r="H87" s="20">
        <f t="shared" si="40"/>
        <v>10814656.85</v>
      </c>
      <c r="I87" s="158">
        <v>331327337.93000001</v>
      </c>
      <c r="J87" s="22">
        <f t="shared" si="28"/>
        <v>1.34384642159101E-3</v>
      </c>
      <c r="K87" s="30">
        <v>343404824.85000002</v>
      </c>
      <c r="L87" s="22">
        <f t="shared" si="29"/>
        <v>1.440485661646122E-3</v>
      </c>
      <c r="M87" s="22">
        <f t="shared" si="41"/>
        <v>3.6451827354347814E-2</v>
      </c>
      <c r="N87" s="23">
        <f t="shared" si="42"/>
        <v>1.1800246842105485E-3</v>
      </c>
      <c r="O87" s="24">
        <f t="shared" si="43"/>
        <v>3.1492442934440028E-2</v>
      </c>
      <c r="P87" s="25">
        <f t="shared" si="44"/>
        <v>5971.2608825309171</v>
      </c>
      <c r="Q87" s="25">
        <f t="shared" si="45"/>
        <v>188.04959258975893</v>
      </c>
      <c r="R87" s="30">
        <v>5954.85</v>
      </c>
      <c r="S87" s="30">
        <v>5982.51</v>
      </c>
      <c r="T87" s="27">
        <v>15</v>
      </c>
      <c r="U87" s="30">
        <v>57509.599999999999</v>
      </c>
      <c r="V87" s="30">
        <v>57509.599999999999</v>
      </c>
    </row>
    <row r="88" spans="1:23">
      <c r="A88" s="17">
        <v>78</v>
      </c>
      <c r="B88" s="18" t="s">
        <v>128</v>
      </c>
      <c r="C88" s="18" t="s">
        <v>45</v>
      </c>
      <c r="D88" s="30">
        <v>11746958594.18</v>
      </c>
      <c r="E88" s="30">
        <v>157723808.22999999</v>
      </c>
      <c r="F88" s="91"/>
      <c r="G88" s="30">
        <v>17667336.710000001</v>
      </c>
      <c r="H88" s="20">
        <f t="shared" si="40"/>
        <v>140056471.51999998</v>
      </c>
      <c r="I88" s="158">
        <v>13223478063.75</v>
      </c>
      <c r="J88" s="22">
        <f t="shared" si="28"/>
        <v>5.3633738127313889E-2</v>
      </c>
      <c r="K88" s="30">
        <v>12356454869.799999</v>
      </c>
      <c r="L88" s="22">
        <f t="shared" si="29"/>
        <v>5.1831817087890572E-2</v>
      </c>
      <c r="M88" s="22">
        <f t="shared" si="41"/>
        <v>-6.5566955211791289E-2</v>
      </c>
      <c r="N88" s="23">
        <f t="shared" si="42"/>
        <v>1.4298062750328292E-3</v>
      </c>
      <c r="O88" s="24">
        <f t="shared" si="43"/>
        <v>1.13346807798657E-2</v>
      </c>
      <c r="P88" s="25">
        <f t="shared" si="44"/>
        <v>131.10041425552285</v>
      </c>
      <c r="Q88" s="25">
        <f t="shared" si="45"/>
        <v>1.4859813456945061</v>
      </c>
      <c r="R88" s="31">
        <v>131.1</v>
      </c>
      <c r="S88" s="31">
        <v>131.1</v>
      </c>
      <c r="T88" s="27">
        <v>4412</v>
      </c>
      <c r="U88" s="30">
        <v>101277563.38</v>
      </c>
      <c r="V88" s="30">
        <v>94251836.959999993</v>
      </c>
    </row>
    <row r="89" spans="1:23">
      <c r="A89" s="17">
        <v>79</v>
      </c>
      <c r="B89" s="18" t="s">
        <v>129</v>
      </c>
      <c r="C89" s="18" t="s">
        <v>45</v>
      </c>
      <c r="D89" s="30">
        <v>9554219664.5300007</v>
      </c>
      <c r="E89" s="30">
        <v>78473159.109999999</v>
      </c>
      <c r="F89" s="98">
        <v>41881043.600000001</v>
      </c>
      <c r="G89" s="30">
        <v>17575791.379999999</v>
      </c>
      <c r="H89" s="20">
        <f t="shared" si="40"/>
        <v>102778411.33000001</v>
      </c>
      <c r="I89" s="158">
        <v>10540834340.719999</v>
      </c>
      <c r="J89" s="22">
        <f t="shared" si="28"/>
        <v>4.275307494352585E-2</v>
      </c>
      <c r="K89" s="30">
        <v>10468093476.879999</v>
      </c>
      <c r="L89" s="22">
        <f t="shared" si="29"/>
        <v>4.3910677623133401E-2</v>
      </c>
      <c r="M89" s="22">
        <f t="shared" si="41"/>
        <v>-6.9008639628266406E-3</v>
      </c>
      <c r="N89" s="23">
        <f t="shared" si="42"/>
        <v>1.6789868583823957E-3</v>
      </c>
      <c r="O89" s="24">
        <f t="shared" si="43"/>
        <v>9.8182550200758209E-3</v>
      </c>
      <c r="P89" s="25">
        <f t="shared" si="44"/>
        <v>358.94281620897749</v>
      </c>
      <c r="Q89" s="25">
        <f t="shared" si="45"/>
        <v>3.5241921071639464</v>
      </c>
      <c r="R89" s="51">
        <v>358.68</v>
      </c>
      <c r="S89" s="80">
        <v>359.12</v>
      </c>
      <c r="T89" s="27">
        <v>10201</v>
      </c>
      <c r="U89" s="27">
        <v>29502547.100000001</v>
      </c>
      <c r="V89" s="27">
        <v>29163680.129999999</v>
      </c>
    </row>
    <row r="90" spans="1:23">
      <c r="A90" s="17">
        <v>80</v>
      </c>
      <c r="B90" s="18" t="s">
        <v>130</v>
      </c>
      <c r="C90" s="18" t="s">
        <v>49</v>
      </c>
      <c r="D90" s="49">
        <v>90263085003</v>
      </c>
      <c r="E90" s="38">
        <v>636701748</v>
      </c>
      <c r="F90" s="90"/>
      <c r="G90" s="38">
        <v>130293652</v>
      </c>
      <c r="H90" s="20">
        <f t="shared" si="40"/>
        <v>506408096</v>
      </c>
      <c r="I90" s="160">
        <v>94785015673</v>
      </c>
      <c r="J90" s="22">
        <f t="shared" si="28"/>
        <v>0.38444308558540941</v>
      </c>
      <c r="K90" s="38">
        <v>95079629499</v>
      </c>
      <c r="L90" s="22">
        <f t="shared" si="29"/>
        <v>0.3988320288387327</v>
      </c>
      <c r="M90" s="22">
        <f t="shared" si="41"/>
        <v>3.1082320755887395E-3</v>
      </c>
      <c r="N90" s="23">
        <f t="shared" si="42"/>
        <v>1.370363480448463E-3</v>
      </c>
      <c r="O90" s="24">
        <f t="shared" si="43"/>
        <v>5.3261471323394899E-3</v>
      </c>
      <c r="P90" s="25">
        <f t="shared" si="44"/>
        <v>2.0618123374838158</v>
      </c>
      <c r="Q90" s="25">
        <f t="shared" si="45"/>
        <v>1.0981515868711605E-2</v>
      </c>
      <c r="R90" s="86">
        <v>2.06</v>
      </c>
      <c r="S90" s="86">
        <v>2.06</v>
      </c>
      <c r="T90" s="46">
        <v>1499</v>
      </c>
      <c r="U90" s="65">
        <v>43768199674</v>
      </c>
      <c r="V90" s="65">
        <v>46114589466</v>
      </c>
    </row>
    <row r="91" spans="1:23">
      <c r="A91" s="17">
        <v>81</v>
      </c>
      <c r="B91" s="32" t="s">
        <v>253</v>
      </c>
      <c r="C91" s="32" t="s">
        <v>254</v>
      </c>
      <c r="D91" s="35">
        <v>87066947.760000005</v>
      </c>
      <c r="E91" s="35">
        <v>972596.38</v>
      </c>
      <c r="F91" s="43"/>
      <c r="G91" s="35">
        <v>410435.89</v>
      </c>
      <c r="H91" s="20">
        <f t="shared" si="40"/>
        <v>562160.49</v>
      </c>
      <c r="I91" s="158">
        <v>86088619.129999995</v>
      </c>
      <c r="J91" s="22">
        <f t="shared" si="28"/>
        <v>3.4917095426035692E-4</v>
      </c>
      <c r="K91" s="35">
        <v>86424326.810000002</v>
      </c>
      <c r="L91" s="22">
        <f t="shared" si="29"/>
        <v>3.6252549346562724E-4</v>
      </c>
      <c r="M91" s="22">
        <f t="shared" si="41"/>
        <v>3.8995593539845777E-3</v>
      </c>
      <c r="N91" s="23">
        <f t="shared" si="42"/>
        <v>4.7490782416196873E-3</v>
      </c>
      <c r="O91" s="24">
        <f t="shared" si="43"/>
        <v>6.5046556999614766E-3</v>
      </c>
      <c r="P91" s="25">
        <f t="shared" si="44"/>
        <v>106.42894949332221</v>
      </c>
      <c r="Q91" s="25">
        <f t="shared" si="45"/>
        <v>0.69228367296265048</v>
      </c>
      <c r="R91" s="43">
        <v>106.4289</v>
      </c>
      <c r="S91" s="43">
        <v>106.4289</v>
      </c>
      <c r="T91" s="85">
        <v>56</v>
      </c>
      <c r="U91" s="43">
        <v>814164.24</v>
      </c>
      <c r="V91" s="43">
        <v>812037.77</v>
      </c>
    </row>
    <row r="92" spans="1:23">
      <c r="A92" s="17">
        <v>82</v>
      </c>
      <c r="B92" s="28" t="s">
        <v>131</v>
      </c>
      <c r="C92" s="28" t="s">
        <v>97</v>
      </c>
      <c r="D92" s="38">
        <v>2553572584.3400002</v>
      </c>
      <c r="E92" s="38">
        <v>14546969.4</v>
      </c>
      <c r="F92" s="90"/>
      <c r="G92" s="35">
        <v>4547458.97</v>
      </c>
      <c r="H92" s="20">
        <f t="shared" si="40"/>
        <v>9999510.4299999997</v>
      </c>
      <c r="I92" s="160">
        <v>2558802900.8099999</v>
      </c>
      <c r="J92" s="22">
        <f t="shared" si="28"/>
        <v>1.0378371260558947E-2</v>
      </c>
      <c r="K92" s="38">
        <v>2561370848.27</v>
      </c>
      <c r="L92" s="22">
        <f t="shared" si="29"/>
        <v>1.0744222894081158E-2</v>
      </c>
      <c r="M92" s="22">
        <f t="shared" si="41"/>
        <v>1.0035737645862225E-3</v>
      </c>
      <c r="N92" s="23">
        <f t="shared" si="42"/>
        <v>1.7754004552177373E-3</v>
      </c>
      <c r="O92" s="24">
        <f t="shared" si="43"/>
        <v>3.9039682351167011E-3</v>
      </c>
      <c r="P92" s="25">
        <f t="shared" si="44"/>
        <v>25.546916345820549</v>
      </c>
      <c r="Q92" s="25">
        <f t="shared" si="45"/>
        <v>9.9734349919267051E-2</v>
      </c>
      <c r="R92" s="80">
        <v>25.546900000000001</v>
      </c>
      <c r="S92" s="80">
        <v>25.546900000000001</v>
      </c>
      <c r="T92" s="99">
        <v>1320</v>
      </c>
      <c r="U92" s="30">
        <v>103421290.18000001</v>
      </c>
      <c r="V92" s="30">
        <v>100261448.92</v>
      </c>
    </row>
    <row r="93" spans="1:23">
      <c r="A93" s="201" t="s">
        <v>50</v>
      </c>
      <c r="B93" s="201"/>
      <c r="C93" s="201"/>
      <c r="D93" s="201"/>
      <c r="E93" s="201"/>
      <c r="F93" s="201"/>
      <c r="G93" s="201"/>
      <c r="H93" s="201"/>
      <c r="I93" s="100">
        <f>SUM(I61:I92)</f>
        <v>246551490264.59</v>
      </c>
      <c r="J93" s="54">
        <f>(I93/$I$192)</f>
        <v>8.5165620689355084E-2</v>
      </c>
      <c r="K93" s="74">
        <f>SUM(K61:K92)</f>
        <v>238395170457.69998</v>
      </c>
      <c r="L93" s="54">
        <f>(K93/$K$192)</f>
        <v>8.0534037342691017E-2</v>
      </c>
      <c r="M93" s="75">
        <f t="shared" ref="M93" si="46">((K93-I93)/I93)</f>
        <v>-3.3081608219593203E-2</v>
      </c>
      <c r="N93" s="76"/>
      <c r="O93" s="77"/>
      <c r="P93" s="78"/>
      <c r="Q93" s="78"/>
      <c r="R93" s="74"/>
      <c r="S93" s="74"/>
      <c r="T93" s="79">
        <f>SUM(T61:T92)</f>
        <v>45051</v>
      </c>
      <c r="U93" s="79"/>
      <c r="V93" s="27"/>
    </row>
    <row r="94" spans="1:23" ht="6.9" customHeight="1">
      <c r="A94" s="203"/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14"/>
    </row>
    <row r="95" spans="1:23">
      <c r="A95" s="200" t="s">
        <v>132</v>
      </c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</row>
    <row r="96" spans="1:23">
      <c r="A96" s="204" t="s">
        <v>133</v>
      </c>
      <c r="B96" s="204"/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</row>
    <row r="97" spans="1:24">
      <c r="A97" s="101">
        <v>83</v>
      </c>
      <c r="B97" s="18" t="s">
        <v>134</v>
      </c>
      <c r="C97" s="18" t="s">
        <v>21</v>
      </c>
      <c r="D97" s="35">
        <v>2552984819.0599999</v>
      </c>
      <c r="E97" s="35">
        <v>17060900.710000001</v>
      </c>
      <c r="F97" s="35">
        <v>149262317.43000001</v>
      </c>
      <c r="G97" s="35">
        <v>4866111.68</v>
      </c>
      <c r="H97" s="20">
        <f t="shared" ref="H97:H111" si="47">(E97+F97)-G97</f>
        <v>161457106.46000001</v>
      </c>
      <c r="I97" s="157">
        <v>2586778493.52</v>
      </c>
      <c r="J97" s="22">
        <f t="shared" ref="J97:J111" si="48">(I97/$I$125)</f>
        <v>1.8354036659164652E-3</v>
      </c>
      <c r="K97" s="21">
        <v>2609188618.48</v>
      </c>
      <c r="L97" s="22">
        <f t="shared" ref="L97:L111" si="49">(K97/$K$125)</f>
        <v>1.8302324154498015E-3</v>
      </c>
      <c r="M97" s="22">
        <f t="shared" ref="M97" si="50">((K97-I97)/I97)</f>
        <v>8.6633335695879797E-3</v>
      </c>
      <c r="N97" s="23">
        <f t="shared" ref="N97" si="51">(G97/K97)</f>
        <v>1.8649903826557335E-3</v>
      </c>
      <c r="O97" s="24">
        <f t="shared" ref="O97" si="52">H97/K97</f>
        <v>6.1880197282961437E-2</v>
      </c>
      <c r="P97" s="25">
        <f t="shared" ref="P97" si="53">K97/V97</f>
        <v>163040.4577600148</v>
      </c>
      <c r="Q97" s="25">
        <f t="shared" ref="Q97" si="54">H97/V97</f>
        <v>10088.975691294057</v>
      </c>
      <c r="R97" s="26">
        <f>110.9*1470.19</f>
        <v>163044.07100000003</v>
      </c>
      <c r="S97" s="26">
        <f>110.9*1470.19</f>
        <v>163044.07100000003</v>
      </c>
      <c r="T97" s="67">
        <v>241</v>
      </c>
      <c r="U97" s="26">
        <v>15782.57</v>
      </c>
      <c r="V97" s="26">
        <v>16003.32</v>
      </c>
    </row>
    <row r="98" spans="1:24">
      <c r="A98" s="101">
        <v>84</v>
      </c>
      <c r="B98" s="32" t="s">
        <v>241</v>
      </c>
      <c r="C98" s="33" t="s">
        <v>54</v>
      </c>
      <c r="D98" s="35">
        <f>989441.32*1470.19</f>
        <v>1454666734.2507999</v>
      </c>
      <c r="E98" s="35">
        <f>8134.56*1470.19</f>
        <v>11959348.766400002</v>
      </c>
      <c r="F98" s="35"/>
      <c r="G98" s="35">
        <f>1876.2*1470.19</f>
        <v>2758370.4780000001</v>
      </c>
      <c r="H98" s="20">
        <f t="shared" si="47"/>
        <v>9200978.2884000018</v>
      </c>
      <c r="I98" s="157">
        <f>1361659.08*1483.482</f>
        <v>2019996735.31656</v>
      </c>
      <c r="J98" s="22">
        <f t="shared" si="48"/>
        <v>1.433253532309314E-3</v>
      </c>
      <c r="K98" s="21">
        <f>983917.44*1470.19</f>
        <v>1446545581.1136</v>
      </c>
      <c r="L98" s="22">
        <f t="shared" si="49"/>
        <v>1.0146888554657685E-3</v>
      </c>
      <c r="M98" s="22">
        <f t="shared" ref="M98:M111" si="55">((K98-I98)/I98)</f>
        <v>-0.28388716881420734</v>
      </c>
      <c r="N98" s="23">
        <f t="shared" ref="N98:N111" si="56">(G98/K98)</f>
        <v>1.9068673078911987E-3</v>
      </c>
      <c r="O98" s="24">
        <f t="shared" ref="O98:O111" si="57">H98/K98</f>
        <v>6.3606556257403074E-3</v>
      </c>
      <c r="P98" s="25">
        <f t="shared" ref="P98:P111" si="58">K98/V98</f>
        <v>150528.16719532147</v>
      </c>
      <c r="Q98" s="25">
        <f t="shared" ref="Q98:Q111" si="59">H98/V98</f>
        <v>957.45783350329896</v>
      </c>
      <c r="R98" s="26">
        <f>100*1470.19</f>
        <v>147019</v>
      </c>
      <c r="S98" s="26">
        <f>100*1470.19</f>
        <v>147019</v>
      </c>
      <c r="T98" s="27">
        <v>14</v>
      </c>
      <c r="U98" s="26">
        <v>13449.8</v>
      </c>
      <c r="V98" s="26">
        <v>9609.7999999999993</v>
      </c>
    </row>
    <row r="99" spans="1:24" ht="12.9" customHeight="1">
      <c r="A99" s="101">
        <v>85</v>
      </c>
      <c r="B99" s="18" t="s">
        <v>135</v>
      </c>
      <c r="C99" s="28" t="s">
        <v>25</v>
      </c>
      <c r="D99" s="26">
        <f>8419310.37*1470.19</f>
        <v>12377985912.870298</v>
      </c>
      <c r="E99" s="21">
        <f>77369.69*1470.19</f>
        <v>113748144.54110001</v>
      </c>
      <c r="F99" s="21"/>
      <c r="G99" s="21">
        <f>17247.1*1470.19</f>
        <v>25356513.948999997</v>
      </c>
      <c r="H99" s="20">
        <f t="shared" si="47"/>
        <v>88391630.592100009</v>
      </c>
      <c r="I99" s="157">
        <f>10975542*1483.482</f>
        <v>16282018997.243999</v>
      </c>
      <c r="J99" s="22">
        <f t="shared" si="48"/>
        <v>1.1552623245834216E-2</v>
      </c>
      <c r="K99" s="21">
        <f>10883968*1470.19</f>
        <v>16001500913.92</v>
      </c>
      <c r="L99" s="22">
        <f t="shared" si="49"/>
        <v>1.1224357434751893E-2</v>
      </c>
      <c r="M99" s="22">
        <f t="shared" si="55"/>
        <v>-1.7228703846340048E-2</v>
      </c>
      <c r="N99" s="23">
        <f t="shared" si="56"/>
        <v>1.5846334719102444E-3</v>
      </c>
      <c r="O99" s="24">
        <f t="shared" si="57"/>
        <v>5.5239587253472265E-3</v>
      </c>
      <c r="P99" s="25">
        <f t="shared" si="58"/>
        <v>1662.0758807651355</v>
      </c>
      <c r="Q99" s="25">
        <f t="shared" si="59"/>
        <v>9.1812385637417471</v>
      </c>
      <c r="R99" s="26">
        <f>1.1305*1470.19</f>
        <v>1662.0497950000001</v>
      </c>
      <c r="S99" s="26">
        <f>1.1305*1470.19</f>
        <v>1662.0497950000001</v>
      </c>
      <c r="T99" s="27">
        <v>302</v>
      </c>
      <c r="U99" s="27">
        <v>9751750</v>
      </c>
      <c r="V99" s="27">
        <v>9627419</v>
      </c>
    </row>
    <row r="100" spans="1:24" ht="12.9" customHeight="1">
      <c r="A100" s="101">
        <v>86</v>
      </c>
      <c r="B100" s="32" t="s">
        <v>242</v>
      </c>
      <c r="C100" s="33" t="s">
        <v>105</v>
      </c>
      <c r="D100" s="26">
        <f>1725000.21*1470.19</f>
        <v>2536078058.7399001</v>
      </c>
      <c r="E100" s="21">
        <f>12195.76*1470.19</f>
        <v>17930084.394400001</v>
      </c>
      <c r="F100" s="21">
        <v>0</v>
      </c>
      <c r="G100" s="21">
        <f>2467.1*1470.19</f>
        <v>3627105.7489999998</v>
      </c>
      <c r="H100" s="20">
        <f t="shared" si="47"/>
        <v>14302978.645400001</v>
      </c>
      <c r="I100" s="171">
        <f>1524537.39*1483.482</f>
        <v>2261623776.3919797</v>
      </c>
      <c r="J100" s="22">
        <f t="shared" si="48"/>
        <v>1.6046957946001593E-3</v>
      </c>
      <c r="K100" s="21">
        <f>1744917.89*1470.19</f>
        <v>2565360832.6991</v>
      </c>
      <c r="L100" s="22">
        <f t="shared" si="49"/>
        <v>1.7994891285653437E-3</v>
      </c>
      <c r="M100" s="22">
        <f t="shared" si="55"/>
        <v>0.13430043470434283</v>
      </c>
      <c r="N100" s="23">
        <f t="shared" si="56"/>
        <v>1.4138774174640388E-3</v>
      </c>
      <c r="O100" s="24">
        <f t="shared" si="57"/>
        <v>5.5754256723220368E-3</v>
      </c>
      <c r="P100" s="25">
        <f t="shared" si="58"/>
        <v>1509.1458983272521</v>
      </c>
      <c r="Q100" s="25">
        <f t="shared" si="59"/>
        <v>8.4141307848132652</v>
      </c>
      <c r="R100" s="26">
        <f>1.0265*1470.19</f>
        <v>1509.1500350000001</v>
      </c>
      <c r="S100" s="26">
        <f>1.0265*1470.19</f>
        <v>1509.1500350000001</v>
      </c>
      <c r="T100" s="27">
        <v>216</v>
      </c>
      <c r="U100" s="27">
        <v>1493887.48</v>
      </c>
      <c r="V100" s="27">
        <v>1699875.96</v>
      </c>
    </row>
    <row r="101" spans="1:24" ht="12.9" customHeight="1">
      <c r="A101" s="101">
        <v>87</v>
      </c>
      <c r="B101" s="32" t="s">
        <v>243</v>
      </c>
      <c r="C101" s="33" t="s">
        <v>244</v>
      </c>
      <c r="D101" s="26">
        <f>387442.16*1470.19</f>
        <v>569613589.21039999</v>
      </c>
      <c r="E101" s="21">
        <f>4968.93*1470.19</f>
        <v>7305271.1967000011</v>
      </c>
      <c r="F101" s="21">
        <v>0</v>
      </c>
      <c r="G101" s="21">
        <f>812.98*1470.19</f>
        <v>1195235.0662</v>
      </c>
      <c r="H101" s="20">
        <f t="shared" si="47"/>
        <v>6110036.1305000009</v>
      </c>
      <c r="I101" s="171">
        <f>363759.93*1483.482</f>
        <v>539631308.47625995</v>
      </c>
      <c r="J101" s="22">
        <f t="shared" si="48"/>
        <v>3.8288600446529443E-4</v>
      </c>
      <c r="K101" s="21">
        <f>386629.18*1470.19</f>
        <v>568418354.14419997</v>
      </c>
      <c r="L101" s="22">
        <f t="shared" si="49"/>
        <v>3.9872077086454389E-4</v>
      </c>
      <c r="M101" s="22">
        <f t="shared" si="55"/>
        <v>5.3345766295927306E-2</v>
      </c>
      <c r="N101" s="23">
        <f t="shared" si="56"/>
        <v>2.1027383396152355E-3</v>
      </c>
      <c r="O101" s="24">
        <f t="shared" si="57"/>
        <v>1.0749188667032325E-2</v>
      </c>
      <c r="P101" s="25">
        <f t="shared" si="58"/>
        <v>1662.6848760005914</v>
      </c>
      <c r="Q101" s="25">
        <f t="shared" si="59"/>
        <v>17.872513425951603</v>
      </c>
      <c r="R101" s="26">
        <v>1470.19</v>
      </c>
      <c r="S101" s="26">
        <v>1470.19</v>
      </c>
      <c r="T101" s="27">
        <v>14</v>
      </c>
      <c r="U101" s="27">
        <v>357487.13</v>
      </c>
      <c r="V101" s="27">
        <v>341867.76</v>
      </c>
    </row>
    <row r="102" spans="1:24" ht="12.9" customHeight="1">
      <c r="A102" s="101">
        <v>88</v>
      </c>
      <c r="B102" s="32" t="s">
        <v>245</v>
      </c>
      <c r="C102" s="33" t="s">
        <v>47</v>
      </c>
      <c r="D102" s="26">
        <f>384998.48*1470.19</f>
        <v>566020915.31120002</v>
      </c>
      <c r="E102" s="21">
        <f>3261.51*1470.19</f>
        <v>4795039.3869000003</v>
      </c>
      <c r="F102" s="21">
        <v>0</v>
      </c>
      <c r="G102" s="21">
        <v>0</v>
      </c>
      <c r="H102" s="20">
        <f t="shared" si="47"/>
        <v>4795039.3869000003</v>
      </c>
      <c r="I102" s="157">
        <f>471923.34*1483.482</f>
        <v>700089780.26988006</v>
      </c>
      <c r="J102" s="22">
        <f t="shared" si="48"/>
        <v>4.9673652088759945E-4</v>
      </c>
      <c r="K102" s="21">
        <f>473952.27*1470.19</f>
        <v>696799887.83130002</v>
      </c>
      <c r="L102" s="22">
        <f t="shared" si="49"/>
        <v>4.8877483703480538E-4</v>
      </c>
      <c r="M102" s="22">
        <f t="shared" si="55"/>
        <v>-4.6992436274556158E-3</v>
      </c>
      <c r="N102" s="23">
        <f t="shared" si="56"/>
        <v>0</v>
      </c>
      <c r="O102" s="24">
        <f t="shared" si="57"/>
        <v>6.8815157273115291E-3</v>
      </c>
      <c r="P102" s="25">
        <f t="shared" si="58"/>
        <v>1607.3980178834593</v>
      </c>
      <c r="Q102" s="25">
        <f t="shared" si="59"/>
        <v>11.061334740114404</v>
      </c>
      <c r="R102" s="26">
        <f>1.1488*1470.19</f>
        <v>1688.9542720000002</v>
      </c>
      <c r="S102" s="26">
        <f>1.1488*1470.19</f>
        <v>1688.9542720000002</v>
      </c>
      <c r="T102" s="27">
        <v>33</v>
      </c>
      <c r="U102" s="35">
        <v>433958.77</v>
      </c>
      <c r="V102" s="35">
        <v>433495.55</v>
      </c>
    </row>
    <row r="103" spans="1:24" ht="12.9" customHeight="1">
      <c r="A103" s="101">
        <v>89</v>
      </c>
      <c r="B103" s="32" t="s">
        <v>246</v>
      </c>
      <c r="C103" s="33" t="s">
        <v>173</v>
      </c>
      <c r="D103" s="26">
        <f>329328.85*1470.19</f>
        <v>484175981.98149997</v>
      </c>
      <c r="E103" s="21">
        <f>2516.39*1470.19</f>
        <v>3699571.4141000002</v>
      </c>
      <c r="F103" s="21"/>
      <c r="G103" s="21">
        <f>899.42*1470.19</f>
        <v>1322318.2897999999</v>
      </c>
      <c r="H103" s="20">
        <f t="shared" si="47"/>
        <v>2377253.1243000003</v>
      </c>
      <c r="I103" s="158">
        <f>417042.83*1483.482</f>
        <v>618675531.53406</v>
      </c>
      <c r="J103" s="22">
        <f t="shared" si="48"/>
        <v>4.3897045743768165E-4</v>
      </c>
      <c r="K103" s="21">
        <f>427571.06*1470.19</f>
        <v>628610696.70140004</v>
      </c>
      <c r="L103" s="22">
        <f t="shared" si="49"/>
        <v>4.4094308309209913E-4</v>
      </c>
      <c r="M103" s="22">
        <f t="shared" si="55"/>
        <v>1.6058765315487635E-2</v>
      </c>
      <c r="N103" s="23">
        <f t="shared" si="56"/>
        <v>2.1035567748668486E-3</v>
      </c>
      <c r="O103" s="24">
        <f t="shared" si="57"/>
        <v>3.7817573528011929E-3</v>
      </c>
      <c r="P103" s="25">
        <f t="shared" si="58"/>
        <v>158699.9991672305</v>
      </c>
      <c r="Q103" s="25">
        <f t="shared" si="59"/>
        <v>600.16488874021718</v>
      </c>
      <c r="R103" s="26">
        <f>105.89*1470.19</f>
        <v>155678.4191</v>
      </c>
      <c r="S103" s="26">
        <f>107.94*1470.19</f>
        <v>158692.30859999999</v>
      </c>
      <c r="T103" s="27">
        <v>42</v>
      </c>
      <c r="U103" s="27">
        <v>3879.06</v>
      </c>
      <c r="V103" s="27">
        <v>3961</v>
      </c>
    </row>
    <row r="104" spans="1:24" ht="15" customHeight="1">
      <c r="A104" s="101">
        <v>90</v>
      </c>
      <c r="B104" s="18" t="s">
        <v>136</v>
      </c>
      <c r="C104" s="28" t="s">
        <v>71</v>
      </c>
      <c r="D104" s="30">
        <f>2438007.65*1470.19</f>
        <v>3584334466.9534998</v>
      </c>
      <c r="E104" s="21">
        <f>19961.69*1470.19</f>
        <v>29347477.0211</v>
      </c>
      <c r="F104" s="21"/>
      <c r="G104" s="21">
        <f>7851.67*1470.19</f>
        <v>11543446.7173</v>
      </c>
      <c r="H104" s="20">
        <f t="shared" si="47"/>
        <v>17804030.303800002</v>
      </c>
      <c r="I104" s="158">
        <f>2913021.56*1483.482</f>
        <v>4321415049.8719196</v>
      </c>
      <c r="J104" s="22">
        <f t="shared" si="48"/>
        <v>3.0661848489734948E-3</v>
      </c>
      <c r="K104" s="30">
        <f>2917227.36*1470.19</f>
        <v>4288878492.3983998</v>
      </c>
      <c r="L104" s="22">
        <f t="shared" si="49"/>
        <v>3.0084618594135555E-3</v>
      </c>
      <c r="M104" s="22">
        <f t="shared" si="55"/>
        <v>-7.5291442960296389E-3</v>
      </c>
      <c r="N104" s="23">
        <f t="shared" si="56"/>
        <v>2.6914837381752789E-3</v>
      </c>
      <c r="O104" s="24">
        <f t="shared" si="57"/>
        <v>4.1512088382442709E-3</v>
      </c>
      <c r="P104" s="25">
        <f t="shared" si="58"/>
        <v>157773.32427395729</v>
      </c>
      <c r="Q104" s="25">
        <f t="shared" si="59"/>
        <v>654.95001816523086</v>
      </c>
      <c r="R104" s="21">
        <f>107.72*1470.19</f>
        <v>158368.86680000002</v>
      </c>
      <c r="S104" s="21">
        <f>107.72*1470.19</f>
        <v>158368.86680000002</v>
      </c>
      <c r="T104" s="27">
        <v>51</v>
      </c>
      <c r="U104" s="27">
        <v>26482.38</v>
      </c>
      <c r="V104" s="27">
        <v>27183.8</v>
      </c>
    </row>
    <row r="105" spans="1:24" ht="15" customHeight="1">
      <c r="A105" s="101">
        <v>91</v>
      </c>
      <c r="B105" s="18" t="s">
        <v>137</v>
      </c>
      <c r="C105" s="18" t="s">
        <v>138</v>
      </c>
      <c r="D105" s="30">
        <v>51995343319.809998</v>
      </c>
      <c r="E105" s="30">
        <v>363438997.73000002</v>
      </c>
      <c r="F105" s="30"/>
      <c r="G105" s="35">
        <v>80462386.930000007</v>
      </c>
      <c r="H105" s="20">
        <f t="shared" si="47"/>
        <v>282976610.80000001</v>
      </c>
      <c r="I105" s="160">
        <v>46209236106.370003</v>
      </c>
      <c r="J105" s="22">
        <f t="shared" si="48"/>
        <v>3.2786959363273853E-2</v>
      </c>
      <c r="K105" s="38">
        <v>51614470674.790001</v>
      </c>
      <c r="L105" s="22">
        <f t="shared" si="49"/>
        <v>3.6205307913046131E-2</v>
      </c>
      <c r="M105" s="22">
        <f t="shared" si="55"/>
        <v>0.11697303448119281</v>
      </c>
      <c r="N105" s="23">
        <f t="shared" si="56"/>
        <v>1.5589114036831566E-3</v>
      </c>
      <c r="O105" s="24">
        <f t="shared" si="57"/>
        <v>5.4825053342688638E-3</v>
      </c>
      <c r="P105" s="25">
        <f t="shared" si="58"/>
        <v>191082.61145133944</v>
      </c>
      <c r="Q105" s="25">
        <f t="shared" si="59"/>
        <v>1047.611436567993</v>
      </c>
      <c r="R105" s="38">
        <f>128.64*1470.19</f>
        <v>189125.24159999998</v>
      </c>
      <c r="S105" s="38">
        <f>128.64*1470.19</f>
        <v>189125.24159999998</v>
      </c>
      <c r="T105" s="67">
        <v>2127</v>
      </c>
      <c r="U105" s="26">
        <v>269825</v>
      </c>
      <c r="V105" s="26">
        <v>270116</v>
      </c>
    </row>
    <row r="106" spans="1:24">
      <c r="A106" s="101">
        <v>92</v>
      </c>
      <c r="B106" s="18" t="s">
        <v>139</v>
      </c>
      <c r="C106" s="18" t="s">
        <v>138</v>
      </c>
      <c r="D106" s="30">
        <v>77813439581.350006</v>
      </c>
      <c r="E106" s="48">
        <v>599847908.39999998</v>
      </c>
      <c r="F106" s="48"/>
      <c r="G106" s="48">
        <v>119883116.67</v>
      </c>
      <c r="H106" s="20">
        <f t="shared" si="47"/>
        <v>479964791.72999996</v>
      </c>
      <c r="I106" s="160">
        <v>68293358797.93</v>
      </c>
      <c r="J106" s="22">
        <f t="shared" si="48"/>
        <v>4.8456364319351825E-2</v>
      </c>
      <c r="K106" s="38">
        <v>77209851134.809998</v>
      </c>
      <c r="L106" s="22">
        <f t="shared" si="49"/>
        <v>5.4159354880715799E-2</v>
      </c>
      <c r="M106" s="22">
        <f t="shared" si="55"/>
        <v>0.13056163137710924</v>
      </c>
      <c r="N106" s="23">
        <f t="shared" si="56"/>
        <v>1.5526919804660885E-3</v>
      </c>
      <c r="O106" s="24">
        <f t="shared" si="57"/>
        <v>6.2163672727715991E-3</v>
      </c>
      <c r="P106" s="25">
        <f t="shared" si="58"/>
        <v>174025.4043203507</v>
      </c>
      <c r="Q106" s="25">
        <f t="shared" si="59"/>
        <v>1081.8058280478733</v>
      </c>
      <c r="R106" s="38">
        <f>117.16*1470.19</f>
        <v>172247.46040000001</v>
      </c>
      <c r="S106" s="38">
        <f>117.16*1470.19</f>
        <v>172247.46040000001</v>
      </c>
      <c r="T106" s="67">
        <v>421</v>
      </c>
      <c r="U106" s="38">
        <v>438524</v>
      </c>
      <c r="V106" s="38">
        <v>443670</v>
      </c>
    </row>
    <row r="107" spans="1:24" s="6" customFormat="1">
      <c r="A107" s="101">
        <v>93</v>
      </c>
      <c r="B107" s="32" t="s">
        <v>140</v>
      </c>
      <c r="C107" s="33" t="s">
        <v>141</v>
      </c>
      <c r="D107" s="102">
        <f>105023.04*1470.19</f>
        <v>154403823.1776</v>
      </c>
      <c r="E107" s="19">
        <f>4630.39*1470.19</f>
        <v>6807553.0741000008</v>
      </c>
      <c r="F107" s="19"/>
      <c r="G107" s="19">
        <f>2309.26*1470.19</f>
        <v>3395050.9594000005</v>
      </c>
      <c r="H107" s="20">
        <f t="shared" si="47"/>
        <v>3412502.1147000003</v>
      </c>
      <c r="I107" s="157">
        <f>96119.39*1483.482</f>
        <v>142591384.91598001</v>
      </c>
      <c r="J107" s="22">
        <f t="shared" si="48"/>
        <v>1.0117323584469951E-4</v>
      </c>
      <c r="K107" s="21">
        <f>97039.09*1470.19</f>
        <v>142665899.72710001</v>
      </c>
      <c r="L107" s="22">
        <f t="shared" si="49"/>
        <v>1.0007392812098109E-4</v>
      </c>
      <c r="M107" s="22">
        <f t="shared" si="55"/>
        <v>5.2257582857414761E-4</v>
      </c>
      <c r="N107" s="23">
        <f t="shared" si="56"/>
        <v>2.3797214091764465E-2</v>
      </c>
      <c r="O107" s="24">
        <f t="shared" si="57"/>
        <v>2.3919535931344781E-2</v>
      </c>
      <c r="P107" s="25">
        <f t="shared" si="58"/>
        <v>165053.79671329077</v>
      </c>
      <c r="Q107" s="25">
        <f t="shared" si="59"/>
        <v>3948.0102210884356</v>
      </c>
      <c r="R107" s="38">
        <f>112.2663*1470.19</f>
        <v>165052.791597</v>
      </c>
      <c r="S107" s="38">
        <f>112.2663*1470.19</f>
        <v>165052.791597</v>
      </c>
      <c r="T107" s="27">
        <v>5</v>
      </c>
      <c r="U107" s="27">
        <v>864.36</v>
      </c>
      <c r="V107" s="27">
        <v>864.36</v>
      </c>
      <c r="W107" s="8"/>
      <c r="X107" s="8"/>
    </row>
    <row r="108" spans="1:24">
      <c r="A108" s="101">
        <v>94</v>
      </c>
      <c r="B108" s="18" t="s">
        <v>142</v>
      </c>
      <c r="C108" s="18" t="s">
        <v>143</v>
      </c>
      <c r="D108" s="30">
        <f>10289983.17*1470.19</f>
        <v>15128230356.702301</v>
      </c>
      <c r="E108" s="20">
        <f>60862.29*1470.19</f>
        <v>89479130.135100007</v>
      </c>
      <c r="F108" s="20"/>
      <c r="G108" s="20">
        <f>17129.05*1470.19</f>
        <v>25182958.019499999</v>
      </c>
      <c r="H108" s="20">
        <f t="shared" si="47"/>
        <v>64296172.115600005</v>
      </c>
      <c r="I108" s="158">
        <f>10891628.55*1483.482</f>
        <v>16157534904.611101</v>
      </c>
      <c r="J108" s="22">
        <f t="shared" si="48"/>
        <v>1.1464297724132587E-2</v>
      </c>
      <c r="K108" s="30">
        <f>10216766.7*1470.19</f>
        <v>15020588234.673</v>
      </c>
      <c r="L108" s="22">
        <f t="shared" si="49"/>
        <v>1.0536289822633672E-2</v>
      </c>
      <c r="M108" s="22">
        <f t="shared" si="55"/>
        <v>-7.0366344659025581E-2</v>
      </c>
      <c r="N108" s="23">
        <f t="shared" si="56"/>
        <v>1.6765627035410331E-3</v>
      </c>
      <c r="O108" s="24">
        <f t="shared" si="57"/>
        <v>4.28053622874642E-3</v>
      </c>
      <c r="P108" s="25">
        <f t="shared" si="58"/>
        <v>1990.5243401210382</v>
      </c>
      <c r="Q108" s="25">
        <f t="shared" si="59"/>
        <v>8.5205115520896637</v>
      </c>
      <c r="R108" s="38">
        <f>1.35*1470.19</f>
        <v>1984.7565000000002</v>
      </c>
      <c r="S108" s="38">
        <f>1.35*1470.19</f>
        <v>1984.7565000000002</v>
      </c>
      <c r="T108" s="27">
        <v>113</v>
      </c>
      <c r="U108" s="27">
        <v>8074779</v>
      </c>
      <c r="V108" s="27">
        <v>7546046</v>
      </c>
    </row>
    <row r="109" spans="1:24">
      <c r="A109" s="101">
        <v>95</v>
      </c>
      <c r="B109" s="18" t="s">
        <v>144</v>
      </c>
      <c r="C109" s="18" t="s">
        <v>49</v>
      </c>
      <c r="D109" s="26">
        <f>136946614*1470.19</f>
        <v>201337542436.66</v>
      </c>
      <c r="E109" s="21">
        <f>1000988*1470.19</f>
        <v>1471642547.72</v>
      </c>
      <c r="F109" s="21"/>
      <c r="G109" s="103">
        <f>165169*1470.19</f>
        <v>242829812.11000001</v>
      </c>
      <c r="H109" s="20">
        <f t="shared" si="47"/>
        <v>1228812735.6100001</v>
      </c>
      <c r="I109" s="157">
        <f>149318646*1483.482</f>
        <v>221511523605.37201</v>
      </c>
      <c r="J109" s="22">
        <f t="shared" si="48"/>
        <v>0.15716964691275295</v>
      </c>
      <c r="K109" s="21">
        <f>148659865*1470.19</f>
        <v>218558246924.35001</v>
      </c>
      <c r="L109" s="22">
        <f t="shared" si="49"/>
        <v>0.15330911125078306</v>
      </c>
      <c r="M109" s="22">
        <f t="shared" si="55"/>
        <v>-1.3332383945330695E-2</v>
      </c>
      <c r="N109" s="23">
        <f t="shared" si="56"/>
        <v>1.1110530740761806E-3</v>
      </c>
      <c r="O109" s="24">
        <f t="shared" si="57"/>
        <v>5.6223581260483454E-3</v>
      </c>
      <c r="P109" s="25">
        <f t="shared" si="58"/>
        <v>177915.85961690312</v>
      </c>
      <c r="Q109" s="25">
        <f t="shared" si="59"/>
        <v>1000.306679069972</v>
      </c>
      <c r="R109" s="21">
        <f>121*1470.19</f>
        <v>177892.99000000002</v>
      </c>
      <c r="S109" s="21">
        <f>121*1470.19</f>
        <v>177892.99000000002</v>
      </c>
      <c r="T109" s="67">
        <v>1068</v>
      </c>
      <c r="U109" s="26">
        <v>1173228</v>
      </c>
      <c r="V109" s="26">
        <v>1228436</v>
      </c>
    </row>
    <row r="110" spans="1:24">
      <c r="A110" s="101">
        <v>96</v>
      </c>
      <c r="B110" s="18" t="s">
        <v>145</v>
      </c>
      <c r="C110" s="18" t="s">
        <v>227</v>
      </c>
      <c r="D110" s="104">
        <v>16828498881.190001</v>
      </c>
      <c r="E110" s="21">
        <v>161249284.52000001</v>
      </c>
      <c r="F110" s="21">
        <v>0</v>
      </c>
      <c r="G110" s="30">
        <v>49715411</v>
      </c>
      <c r="H110" s="20">
        <f t="shared" si="47"/>
        <v>111533873.52000001</v>
      </c>
      <c r="I110" s="157">
        <v>15314683675.17</v>
      </c>
      <c r="J110" s="22">
        <f t="shared" si="48"/>
        <v>1.0866267301267376E-2</v>
      </c>
      <c r="K110" s="21">
        <v>17063880797.360001</v>
      </c>
      <c r="L110" s="22">
        <f t="shared" si="49"/>
        <v>1.1969570749888303E-2</v>
      </c>
      <c r="M110" s="22">
        <f t="shared" si="55"/>
        <v>0.11421699326548994</v>
      </c>
      <c r="N110" s="23">
        <f t="shared" si="56"/>
        <v>2.9134879451157211E-3</v>
      </c>
      <c r="O110" s="24">
        <f t="shared" si="57"/>
        <v>6.5362548440478863E-3</v>
      </c>
      <c r="P110" s="25">
        <f t="shared" si="58"/>
        <v>154854.4898256695</v>
      </c>
      <c r="Q110" s="25">
        <f t="shared" si="59"/>
        <v>1012.1684092455964</v>
      </c>
      <c r="R110" s="21">
        <v>154854.49</v>
      </c>
      <c r="S110" s="21">
        <v>154854.49</v>
      </c>
      <c r="T110" s="27">
        <v>334</v>
      </c>
      <c r="U110" s="27">
        <v>106229</v>
      </c>
      <c r="V110" s="27">
        <v>110193</v>
      </c>
    </row>
    <row r="111" spans="1:24">
      <c r="A111" s="101">
        <v>97</v>
      </c>
      <c r="B111" s="18" t="s">
        <v>147</v>
      </c>
      <c r="C111" s="18" t="s">
        <v>41</v>
      </c>
      <c r="D111" s="26">
        <f>1928565.61*1470.19</f>
        <v>2835357874.1659002</v>
      </c>
      <c r="E111" s="26">
        <f>41432.84*1470.19</f>
        <v>60914147.0396</v>
      </c>
      <c r="F111" s="26">
        <v>0</v>
      </c>
      <c r="G111" s="26">
        <f>2043.62*1470.19</f>
        <v>3004509.6878</v>
      </c>
      <c r="H111" s="20">
        <f t="shared" si="47"/>
        <v>57909637.351800002</v>
      </c>
      <c r="I111" s="157">
        <f>2045504.06*1483.482</f>
        <v>3034468453.9369202</v>
      </c>
      <c r="J111" s="22">
        <f t="shared" si="48"/>
        <v>2.1530542867955194E-3</v>
      </c>
      <c r="K111" s="21">
        <f>1979984.03*1470.19</f>
        <v>2910952721.0657001</v>
      </c>
      <c r="L111" s="22">
        <f t="shared" si="49"/>
        <v>2.0419068181586454E-3</v>
      </c>
      <c r="M111" s="22">
        <f t="shared" si="55"/>
        <v>-4.0704240214120786E-2</v>
      </c>
      <c r="N111" s="23">
        <f t="shared" si="56"/>
        <v>1.0321396380151612E-3</v>
      </c>
      <c r="O111" s="24">
        <f t="shared" si="57"/>
        <v>1.9893705910345148E-2</v>
      </c>
      <c r="P111" s="25">
        <f t="shared" si="58"/>
        <v>206020.388710784</v>
      </c>
      <c r="Q111" s="25">
        <f t="shared" si="59"/>
        <v>4098.5090245473284</v>
      </c>
      <c r="R111" s="85">
        <f>136.06*1470.19</f>
        <v>200034.0514</v>
      </c>
      <c r="S111" s="21">
        <f>139.64*1470.419</f>
        <v>205329.30916</v>
      </c>
      <c r="T111" s="27">
        <v>48</v>
      </c>
      <c r="U111" s="27">
        <v>14100.44</v>
      </c>
      <c r="V111" s="35">
        <v>14129.44</v>
      </c>
    </row>
    <row r="112" spans="1:24" ht="8.1" customHeight="1">
      <c r="A112" s="194"/>
      <c r="B112" s="194"/>
      <c r="C112" s="194"/>
      <c r="D112" s="194"/>
      <c r="E112" s="194"/>
      <c r="F112" s="194"/>
      <c r="G112" s="194"/>
      <c r="H112" s="194"/>
      <c r="I112" s="194"/>
      <c r="J112" s="194"/>
      <c r="K112" s="194"/>
      <c r="L112" s="194"/>
      <c r="M112" s="194"/>
      <c r="N112" s="194"/>
      <c r="O112" s="194"/>
      <c r="P112" s="194"/>
      <c r="Q112" s="194"/>
      <c r="R112" s="194"/>
      <c r="S112" s="194"/>
      <c r="T112" s="194"/>
      <c r="U112" s="194"/>
      <c r="V112" s="194"/>
    </row>
    <row r="113" spans="1:22">
      <c r="A113" s="204" t="s">
        <v>148</v>
      </c>
      <c r="B113" s="204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4"/>
      <c r="S113" s="204"/>
      <c r="T113" s="204"/>
      <c r="U113" s="204"/>
      <c r="V113" s="204"/>
    </row>
    <row r="114" spans="1:22">
      <c r="A114" s="17">
        <v>98</v>
      </c>
      <c r="B114" s="18" t="s">
        <v>149</v>
      </c>
      <c r="C114" s="28" t="s">
        <v>103</v>
      </c>
      <c r="D114" s="105">
        <f>910441.4*1470.19</f>
        <v>1338521841.8660002</v>
      </c>
      <c r="E114" s="26">
        <f>7799.6*1470.19</f>
        <v>11466893.924000001</v>
      </c>
      <c r="F114" s="26"/>
      <c r="G114" s="26">
        <f>1694.33*1470.19</f>
        <v>2490987.0227000001</v>
      </c>
      <c r="H114" s="20">
        <f t="shared" ref="H114:H124" si="60">(E114+F114)-G114</f>
        <v>8975906.9013</v>
      </c>
      <c r="I114" s="159">
        <f>1049306.05*1483.482</f>
        <v>1556626637.6661</v>
      </c>
      <c r="J114" s="22">
        <f t="shared" ref="J114:J124" si="61">(I114/$I$125)</f>
        <v>1.1044773429161384E-3</v>
      </c>
      <c r="K114" s="26">
        <f>1092746.86*1470.19</f>
        <v>1606545506.1034002</v>
      </c>
      <c r="L114" s="22">
        <f t="shared" ref="L114:L124" si="62">(K114/$K$125)</f>
        <v>1.1269218489380699E-3</v>
      </c>
      <c r="M114" s="22">
        <f t="shared" ref="M114" si="63">((K114-I114)/I114)</f>
        <v>3.206862020050303E-2</v>
      </c>
      <c r="N114" s="23">
        <f t="shared" ref="N114" si="64">(G114/K114)</f>
        <v>1.5505237873664536E-3</v>
      </c>
      <c r="O114" s="24">
        <f t="shared" ref="O114" si="65">H114/K114</f>
        <v>5.5870853749238857E-3</v>
      </c>
      <c r="P114" s="25">
        <f t="shared" ref="P114" si="66">K114/V114</f>
        <v>153780.55959638176</v>
      </c>
      <c r="Q114" s="25">
        <f t="shared" ref="Q114" si="67">H114/V114</f>
        <v>859.18511546855552</v>
      </c>
      <c r="R114" s="26">
        <f>104.6*1470.19</f>
        <v>153781.87400000001</v>
      </c>
      <c r="S114" s="26">
        <f>104.6*1470.19</f>
        <v>153781.87400000001</v>
      </c>
      <c r="T114" s="27">
        <v>23</v>
      </c>
      <c r="U114" s="27">
        <v>10387</v>
      </c>
      <c r="V114" s="106">
        <v>10447</v>
      </c>
    </row>
    <row r="115" spans="1:22">
      <c r="A115" s="17">
        <v>99</v>
      </c>
      <c r="B115" s="18" t="s">
        <v>150</v>
      </c>
      <c r="C115" s="28" t="s">
        <v>27</v>
      </c>
      <c r="D115" s="26">
        <f>5941953.16*1470.19</f>
        <v>8735800116.3003998</v>
      </c>
      <c r="E115" s="26">
        <f>49121.7*1470.19</f>
        <v>72218232.122999996</v>
      </c>
      <c r="F115" s="26"/>
      <c r="G115" s="26">
        <f>9486.11*1470.19</f>
        <v>13946384.060900001</v>
      </c>
      <c r="H115" s="20">
        <f t="shared" si="60"/>
        <v>58271848.062099993</v>
      </c>
      <c r="I115" s="159">
        <f>8240111.85*1483.482</f>
        <v>12224057607.461699</v>
      </c>
      <c r="J115" s="22">
        <f t="shared" si="61"/>
        <v>8.6733673568543564E-3</v>
      </c>
      <c r="K115" s="26">
        <f>8745924.8*1470.19</f>
        <v>12858171181.712002</v>
      </c>
      <c r="L115" s="22">
        <f t="shared" si="62"/>
        <v>9.0194482428339537E-3</v>
      </c>
      <c r="M115" s="22">
        <f t="shared" ref="M115:M124" si="68">((K115-I115)/I115)</f>
        <v>5.1874229868094979E-2</v>
      </c>
      <c r="N115" s="23">
        <f t="shared" ref="N115:N124" si="69">(G115/K115)</f>
        <v>1.084632010556505E-3</v>
      </c>
      <c r="O115" s="24">
        <f t="shared" ref="O115:O124" si="70">H115/K115</f>
        <v>4.5318923848967907E-3</v>
      </c>
      <c r="P115" s="25">
        <f t="shared" ref="P115:P124" si="71">K115/V115</f>
        <v>190762.73191074716</v>
      </c>
      <c r="Q115" s="25">
        <f t="shared" ref="Q115:Q124" si="72">H115/V115</f>
        <v>864.51617206842309</v>
      </c>
      <c r="R115" s="26">
        <f>129.75*1470.19</f>
        <v>190757.1525</v>
      </c>
      <c r="S115" s="26">
        <f>129.75*1470.19</f>
        <v>190757.1525</v>
      </c>
      <c r="T115" s="27">
        <v>441</v>
      </c>
      <c r="U115" s="27">
        <v>63883.91</v>
      </c>
      <c r="V115" s="27">
        <v>67404</v>
      </c>
    </row>
    <row r="116" spans="1:22" ht="14.1" customHeight="1">
      <c r="A116" s="17">
        <v>100</v>
      </c>
      <c r="B116" s="18" t="s">
        <v>151</v>
      </c>
      <c r="C116" s="18" t="s">
        <v>62</v>
      </c>
      <c r="D116" s="26">
        <f>9887047.86*1470.19</f>
        <v>14535838893.2934</v>
      </c>
      <c r="E116" s="26">
        <f>74192.37*1470.19</f>
        <v>109076880.45029999</v>
      </c>
      <c r="F116" s="26"/>
      <c r="G116" s="26">
        <f>18076.42*1470.19</f>
        <v>26575771.919799998</v>
      </c>
      <c r="H116" s="20">
        <f t="shared" si="60"/>
        <v>82501108.530499995</v>
      </c>
      <c r="I116" s="159">
        <f>10622605.04*1483.482</f>
        <v>15758443369.949278</v>
      </c>
      <c r="J116" s="22">
        <f t="shared" si="61"/>
        <v>1.1181129270556268E-2</v>
      </c>
      <c r="K116" s="26">
        <f>10716413.26*1470.19</f>
        <v>15755163610.7194</v>
      </c>
      <c r="L116" s="22">
        <f t="shared" si="62"/>
        <v>1.1051562522855156E-2</v>
      </c>
      <c r="M116" s="22">
        <f t="shared" si="68"/>
        <v>-2.0812710702960939E-4</v>
      </c>
      <c r="N116" s="23">
        <f t="shared" si="69"/>
        <v>1.6867975843626619E-3</v>
      </c>
      <c r="O116" s="24">
        <f t="shared" si="70"/>
        <v>5.2364488601291583E-3</v>
      </c>
      <c r="P116" s="25">
        <f t="shared" si="71"/>
        <v>167167.08694847001</v>
      </c>
      <c r="Q116" s="25">
        <f t="shared" si="72"/>
        <v>875.36190190242758</v>
      </c>
      <c r="R116" s="26">
        <f>112.67*1470.19</f>
        <v>165646.30730000001</v>
      </c>
      <c r="S116" s="26">
        <f>112.67*1470.19</f>
        <v>165646.30730000001</v>
      </c>
      <c r="T116" s="27">
        <v>614</v>
      </c>
      <c r="U116" s="70">
        <v>92592</v>
      </c>
      <c r="V116" s="70">
        <v>94248</v>
      </c>
    </row>
    <row r="117" spans="1:22" ht="15" customHeight="1">
      <c r="A117" s="17">
        <v>101</v>
      </c>
      <c r="B117" s="18" t="s">
        <v>152</v>
      </c>
      <c r="C117" s="28" t="s">
        <v>60</v>
      </c>
      <c r="D117" s="26">
        <f>4349409.63*1470.19</f>
        <v>6394458543.9296999</v>
      </c>
      <c r="E117" s="26">
        <f>24988.28*1470.19</f>
        <v>36737519.373199999</v>
      </c>
      <c r="F117" s="26">
        <v>0</v>
      </c>
      <c r="G117" s="26">
        <f>5489.39*1470.19</f>
        <v>8070446.2841000007</v>
      </c>
      <c r="H117" s="20">
        <f t="shared" si="60"/>
        <v>28667073.0891</v>
      </c>
      <c r="I117" s="159">
        <f>4084222.06*1483.482</f>
        <v>6058869910.0129204</v>
      </c>
      <c r="J117" s="22">
        <f t="shared" si="61"/>
        <v>4.2989657104409891E-3</v>
      </c>
      <c r="K117" s="26">
        <f>4374350.93*1470.19</f>
        <v>6431126993.7767</v>
      </c>
      <c r="L117" s="22">
        <f t="shared" si="62"/>
        <v>4.5111560768425043E-3</v>
      </c>
      <c r="M117" s="22">
        <f t="shared" si="68"/>
        <v>6.1440019226784458E-2</v>
      </c>
      <c r="N117" s="23">
        <f t="shared" si="69"/>
        <v>1.2549038903927172E-3</v>
      </c>
      <c r="O117" s="24">
        <f t="shared" si="70"/>
        <v>4.4575504599490374E-3</v>
      </c>
      <c r="P117" s="25">
        <f t="shared" si="71"/>
        <v>1804.5724492984923</v>
      </c>
      <c r="Q117" s="25">
        <f t="shared" si="72"/>
        <v>8.0439727513818546</v>
      </c>
      <c r="R117" s="26">
        <f>1.23*1470.19</f>
        <v>1808.3337000000001</v>
      </c>
      <c r="S117" s="26">
        <f>1.23*1470.19</f>
        <v>1808.3337000000001</v>
      </c>
      <c r="T117" s="27">
        <v>299</v>
      </c>
      <c r="U117" s="27">
        <v>3342711.45</v>
      </c>
      <c r="V117" s="27">
        <v>3563795.4</v>
      </c>
    </row>
    <row r="118" spans="1:22" ht="15" customHeight="1">
      <c r="A118" s="17">
        <v>102</v>
      </c>
      <c r="B118" s="32" t="s">
        <v>258</v>
      </c>
      <c r="C118" s="33" t="s">
        <v>259</v>
      </c>
      <c r="D118" s="26">
        <f>937144.34*1470.19</f>
        <v>1377780237.2246001</v>
      </c>
      <c r="E118" s="26">
        <f>13860.05*1470.19</f>
        <v>20376906.909499999</v>
      </c>
      <c r="F118" s="26">
        <v>0</v>
      </c>
      <c r="G118" s="26">
        <f>3059.52*1470.19</f>
        <v>4498075.7088000001</v>
      </c>
      <c r="H118" s="20">
        <f t="shared" si="60"/>
        <v>15878831.2007</v>
      </c>
      <c r="I118" s="159">
        <f>915962.27*1483.482</f>
        <v>1358813540.2241399</v>
      </c>
      <c r="J118" s="22">
        <f t="shared" si="61"/>
        <v>9.6412250189640528E-4</v>
      </c>
      <c r="K118" s="26">
        <f>920985.59*1470.19</f>
        <v>1354023804.5620999</v>
      </c>
      <c r="L118" s="22">
        <f t="shared" si="62"/>
        <v>9.497888503913149E-4</v>
      </c>
      <c r="M118" s="22">
        <f t="shared" si="68"/>
        <v>-3.5249396037442455E-3</v>
      </c>
      <c r="N118" s="23">
        <f t="shared" si="69"/>
        <v>3.3220063736284955E-3</v>
      </c>
      <c r="O118" s="24">
        <f t="shared" si="70"/>
        <v>1.1727143309592934E-2</v>
      </c>
      <c r="P118" s="25">
        <f t="shared" si="71"/>
        <v>1552.6096243662362</v>
      </c>
      <c r="Q118" s="25">
        <f t="shared" si="72"/>
        <v>18.207675568796105</v>
      </c>
      <c r="R118" s="26">
        <f>1.0561*1470.19</f>
        <v>1552.6676590000002</v>
      </c>
      <c r="S118" s="26">
        <f>1.0746*1470.19</f>
        <v>1579.866174</v>
      </c>
      <c r="T118" s="27">
        <v>36</v>
      </c>
      <c r="U118" s="27">
        <v>872094.46</v>
      </c>
      <c r="V118" s="27">
        <v>872095.46</v>
      </c>
    </row>
    <row r="119" spans="1:22">
      <c r="A119" s="17">
        <v>103</v>
      </c>
      <c r="B119" s="28" t="s">
        <v>153</v>
      </c>
      <c r="C119" s="28" t="s">
        <v>43</v>
      </c>
      <c r="D119" s="26">
        <f>11366397.87*1470.19</f>
        <v>16710764484.4953</v>
      </c>
      <c r="E119" s="26">
        <f>99503.71*1470.19</f>
        <v>146289359.40490001</v>
      </c>
      <c r="F119" s="26"/>
      <c r="G119" s="26">
        <f>20140.15*1470.19</f>
        <v>29609847.128500003</v>
      </c>
      <c r="H119" s="20">
        <f t="shared" si="60"/>
        <v>116679512.27640001</v>
      </c>
      <c r="I119" s="159">
        <f>12423010.78*1483.482</f>
        <v>18429312877.935959</v>
      </c>
      <c r="J119" s="22">
        <f t="shared" si="61"/>
        <v>1.3076198252466899E-2</v>
      </c>
      <c r="K119" s="26">
        <f>11382908.04*1470.19</f>
        <v>16735037571.327599</v>
      </c>
      <c r="L119" s="22">
        <f t="shared" si="62"/>
        <v>1.1738901518992989E-2</v>
      </c>
      <c r="M119" s="22">
        <f t="shared" si="68"/>
        <v>-9.193372090593728E-2</v>
      </c>
      <c r="N119" s="23">
        <f t="shared" si="69"/>
        <v>1.7693325755796937E-3</v>
      </c>
      <c r="O119" s="24">
        <f t="shared" si="70"/>
        <v>6.9721691259485939E-3</v>
      </c>
      <c r="P119" s="25">
        <f t="shared" si="71"/>
        <v>1569.6709646253703</v>
      </c>
      <c r="Q119" s="25">
        <f t="shared" si="72"/>
        <v>10.944011437458954</v>
      </c>
      <c r="R119" s="26">
        <f>1.0677*1470.19</f>
        <v>1569.7218630000002</v>
      </c>
      <c r="S119" s="26">
        <f>1.0677*1470.19</f>
        <v>1569.7218630000002</v>
      </c>
      <c r="T119" s="27">
        <v>368</v>
      </c>
      <c r="U119" s="27">
        <v>11791623</v>
      </c>
      <c r="V119" s="27">
        <v>10661494</v>
      </c>
    </row>
    <row r="120" spans="1:22">
      <c r="A120" s="17">
        <v>104</v>
      </c>
      <c r="B120" s="18" t="s">
        <v>154</v>
      </c>
      <c r="C120" s="28" t="s">
        <v>86</v>
      </c>
      <c r="D120" s="26">
        <f>(238700.65+67875.01)*1470.149</f>
        <v>450711899.97333992</v>
      </c>
      <c r="E120" s="26">
        <f>1703.03*1470.19</f>
        <v>2503777.6757</v>
      </c>
      <c r="F120" s="26">
        <f>-3794.39*1470.19</f>
        <v>-5578474.2341</v>
      </c>
      <c r="G120" s="26">
        <f>105.29*1470.19</f>
        <v>154796.30510000003</v>
      </c>
      <c r="H120" s="20">
        <f t="shared" si="60"/>
        <v>-3229492.8635</v>
      </c>
      <c r="I120" s="159">
        <f>299589.86*1483.482</f>
        <v>444436164.69251996</v>
      </c>
      <c r="J120" s="22">
        <f t="shared" si="61"/>
        <v>3.153419467441533E-4</v>
      </c>
      <c r="K120" s="26">
        <f>297303.06*1470.19</f>
        <v>437091985.78140002</v>
      </c>
      <c r="L120" s="22">
        <f t="shared" si="62"/>
        <v>3.0660103115752349E-4</v>
      </c>
      <c r="M120" s="22">
        <f t="shared" si="68"/>
        <v>-1.6524710396150943E-2</v>
      </c>
      <c r="N120" s="23">
        <f t="shared" si="69"/>
        <v>3.5415040800454596E-4</v>
      </c>
      <c r="O120" s="24">
        <f t="shared" si="70"/>
        <v>-7.3885886004671454E-3</v>
      </c>
      <c r="P120" s="25">
        <f t="shared" si="71"/>
        <v>1534.8354903641746</v>
      </c>
      <c r="Q120" s="25">
        <f t="shared" si="72"/>
        <v>-11.340268007697142</v>
      </c>
      <c r="R120" s="26">
        <f>1.044*1470.19</f>
        <v>1534.8783600000002</v>
      </c>
      <c r="S120" s="26">
        <f>1.044*1470.19</f>
        <v>1534.8783600000002</v>
      </c>
      <c r="T120" s="27">
        <v>3</v>
      </c>
      <c r="U120" s="27">
        <v>284781</v>
      </c>
      <c r="V120" s="27">
        <v>284781</v>
      </c>
    </row>
    <row r="121" spans="1:22">
      <c r="A121" s="17">
        <v>105</v>
      </c>
      <c r="B121" s="18" t="s">
        <v>155</v>
      </c>
      <c r="C121" s="18" t="s">
        <v>45</v>
      </c>
      <c r="D121" s="26">
        <f>575288819.43*1470.19</f>
        <v>845783869437.79163</v>
      </c>
      <c r="E121" s="30">
        <f>4329733.59*1470.19</f>
        <v>6365531026.6821003</v>
      </c>
      <c r="F121" s="30"/>
      <c r="G121" s="26">
        <f>934567.28*1470.19</f>
        <v>1373991469.3832002</v>
      </c>
      <c r="H121" s="20">
        <f t="shared" si="60"/>
        <v>4991539557.2989006</v>
      </c>
      <c r="I121" s="159">
        <f>570342041.89*1483.482</f>
        <v>846092152987.06091</v>
      </c>
      <c r="J121" s="22">
        <f t="shared" si="61"/>
        <v>0.60032996376989545</v>
      </c>
      <c r="K121" s="26">
        <f>574297862.31*1470.19</f>
        <v>844326974189.53882</v>
      </c>
      <c r="L121" s="22">
        <f t="shared" si="62"/>
        <v>0.59225867630090123</v>
      </c>
      <c r="M121" s="22">
        <f t="shared" si="68"/>
        <v>-2.0862725074216465E-3</v>
      </c>
      <c r="N121" s="23">
        <f t="shared" si="69"/>
        <v>1.6273215370171978E-3</v>
      </c>
      <c r="O121" s="24">
        <f t="shared" si="70"/>
        <v>5.9118560816918478E-3</v>
      </c>
      <c r="P121" s="25">
        <f t="shared" si="71"/>
        <v>2232.5806703918029</v>
      </c>
      <c r="Q121" s="25">
        <f t="shared" si="72"/>
        <v>13.198695614123443</v>
      </c>
      <c r="R121" s="26">
        <f>1.5186*1470.19</f>
        <v>2232.6305339999999</v>
      </c>
      <c r="S121" s="26">
        <f>1.5186*1470.19</f>
        <v>2232.6305339999999</v>
      </c>
      <c r="T121" s="27">
        <v>7727</v>
      </c>
      <c r="U121" s="27">
        <v>377816517.31</v>
      </c>
      <c r="V121" s="27">
        <v>378184307.24000001</v>
      </c>
    </row>
    <row r="122" spans="1:22">
      <c r="A122" s="17">
        <v>106</v>
      </c>
      <c r="B122" s="18" t="s">
        <v>156</v>
      </c>
      <c r="C122" s="18" t="s">
        <v>49</v>
      </c>
      <c r="D122" s="26">
        <f>19732081*1470.19</f>
        <v>29009908165.389999</v>
      </c>
      <c r="E122" s="26">
        <f>312740*1470.19</f>
        <v>459787220.60000002</v>
      </c>
      <c r="F122" s="26"/>
      <c r="G122" s="70">
        <f>72151*1470.19</f>
        <v>106075678.69</v>
      </c>
      <c r="H122" s="20">
        <f t="shared" si="60"/>
        <v>353711541.91000003</v>
      </c>
      <c r="I122" s="159">
        <f>34682511*1483.482</f>
        <v>51450880783.302002</v>
      </c>
      <c r="J122" s="22">
        <f t="shared" si="61"/>
        <v>3.6506077130632905E-2</v>
      </c>
      <c r="K122" s="26">
        <f>39729590*1470.19</f>
        <v>58410045922.099998</v>
      </c>
      <c r="L122" s="22">
        <f t="shared" si="62"/>
        <v>4.0972108600112057E-2</v>
      </c>
      <c r="M122" s="22">
        <f t="shared" si="68"/>
        <v>0.13525842576161576</v>
      </c>
      <c r="N122" s="23">
        <f t="shared" si="69"/>
        <v>1.8160519652984086E-3</v>
      </c>
      <c r="O122" s="24">
        <f t="shared" si="70"/>
        <v>6.0556627944058829E-3</v>
      </c>
      <c r="P122" s="25">
        <f t="shared" si="71"/>
        <v>1628.834727981189</v>
      </c>
      <c r="Q122" s="25">
        <f t="shared" si="72"/>
        <v>9.8636738604719127</v>
      </c>
      <c r="R122" s="26">
        <f>1.11*1470.19</f>
        <v>1631.9109000000003</v>
      </c>
      <c r="S122" s="26">
        <f>1.11*1470.19</f>
        <v>1631.9109000000003</v>
      </c>
      <c r="T122" s="27">
        <v>166</v>
      </c>
      <c r="U122" s="27">
        <v>31301292</v>
      </c>
      <c r="V122" s="27">
        <v>35860020</v>
      </c>
    </row>
    <row r="123" spans="1:22">
      <c r="A123" s="17">
        <v>107</v>
      </c>
      <c r="B123" s="18" t="s">
        <v>228</v>
      </c>
      <c r="C123" s="28" t="s">
        <v>229</v>
      </c>
      <c r="D123" s="26">
        <f>39426.44*1470.19</f>
        <v>57964357.823600009</v>
      </c>
      <c r="E123" s="26">
        <f>598*1470.19</f>
        <v>879173.62</v>
      </c>
      <c r="F123" s="26"/>
      <c r="G123" s="85">
        <f>317.09*1470.19</f>
        <v>466182.54709999997</v>
      </c>
      <c r="H123" s="20">
        <f t="shared" si="60"/>
        <v>412991.07290000003</v>
      </c>
      <c r="I123" s="26">
        <v>0</v>
      </c>
      <c r="J123" s="22">
        <f t="shared" si="61"/>
        <v>0</v>
      </c>
      <c r="K123" s="26">
        <f>55116.99*1470.19</f>
        <v>81032447.528099999</v>
      </c>
      <c r="L123" s="22">
        <f t="shared" si="62"/>
        <v>5.684074011313206E-5</v>
      </c>
      <c r="M123" s="22" t="e">
        <f t="shared" si="68"/>
        <v>#DIV/0!</v>
      </c>
      <c r="N123" s="23">
        <f t="shared" si="69"/>
        <v>5.7530354977657523E-3</v>
      </c>
      <c r="O123" s="24">
        <f t="shared" si="70"/>
        <v>5.0966135850306783E-3</v>
      </c>
      <c r="P123" s="25">
        <f t="shared" si="71"/>
        <v>3316.1771818911011</v>
      </c>
      <c r="Q123" s="25">
        <f t="shared" si="72"/>
        <v>16.901273675594936</v>
      </c>
      <c r="R123" s="26">
        <f>100*1470.19</f>
        <v>147019</v>
      </c>
      <c r="S123" s="26">
        <f>100*1470.19</f>
        <v>147019</v>
      </c>
      <c r="T123" s="27">
        <v>5</v>
      </c>
      <c r="U123" s="27">
        <v>25000</v>
      </c>
      <c r="V123" s="27">
        <v>24435.5</v>
      </c>
    </row>
    <row r="124" spans="1:22">
      <c r="A124" s="17">
        <v>108</v>
      </c>
      <c r="B124" s="28" t="s">
        <v>157</v>
      </c>
      <c r="C124" s="28" t="s">
        <v>35</v>
      </c>
      <c r="D124" s="26">
        <f>38470412.45*1470.19</f>
        <v>56558815679.865509</v>
      </c>
      <c r="E124" s="26">
        <f>229939.73*1470.19</f>
        <v>338055091.6487</v>
      </c>
      <c r="F124" s="26"/>
      <c r="G124" s="26">
        <f>46914.23*1470.19</f>
        <v>68972831.8037</v>
      </c>
      <c r="H124" s="20">
        <f t="shared" si="60"/>
        <v>269082259.84500003</v>
      </c>
      <c r="I124" s="159">
        <f>37756639.28*1483.482</f>
        <v>56011294752.372963</v>
      </c>
      <c r="J124" s="22">
        <f t="shared" si="61"/>
        <v>3.9741839503753464E-2</v>
      </c>
      <c r="K124" s="26">
        <f>38283420*1470.19</f>
        <v>56283901249.800003</v>
      </c>
      <c r="L124" s="22">
        <f t="shared" si="62"/>
        <v>3.9480710518877797E-2</v>
      </c>
      <c r="M124" s="22">
        <f t="shared" si="68"/>
        <v>4.8669915350508996E-3</v>
      </c>
      <c r="N124" s="23">
        <f t="shared" si="69"/>
        <v>1.2254451143602113E-3</v>
      </c>
      <c r="O124" s="24">
        <f t="shared" si="70"/>
        <v>4.7808032824653603E-3</v>
      </c>
      <c r="P124" s="25">
        <f t="shared" si="71"/>
        <v>147019</v>
      </c>
      <c r="Q124" s="25">
        <f t="shared" si="72"/>
        <v>702.86891778477479</v>
      </c>
      <c r="R124" s="26">
        <f>100*1470.19</f>
        <v>147019</v>
      </c>
      <c r="S124" s="26">
        <f>100*1470.19</f>
        <v>147019</v>
      </c>
      <c r="T124" s="27">
        <v>1521</v>
      </c>
      <c r="U124" s="27">
        <v>376806.1</v>
      </c>
      <c r="V124" s="27">
        <v>382834.2</v>
      </c>
    </row>
    <row r="125" spans="1:22" ht="15" customHeight="1">
      <c r="A125" s="201" t="s">
        <v>50</v>
      </c>
      <c r="B125" s="201"/>
      <c r="C125" s="201"/>
      <c r="D125" s="201"/>
      <c r="E125" s="201"/>
      <c r="F125" s="201"/>
      <c r="G125" s="201"/>
      <c r="H125" s="201"/>
      <c r="I125" s="74">
        <f>SUM(I97:I124)</f>
        <v>1409378515231.6091</v>
      </c>
      <c r="J125" s="54">
        <f>(I125/$I$192)</f>
        <v>0.48683784432667293</v>
      </c>
      <c r="K125" s="74">
        <f>SUM(K97:K124)</f>
        <v>1425605074227.0132</v>
      </c>
      <c r="L125" s="54">
        <f>(K125/$K$192)</f>
        <v>0.48159420370514394</v>
      </c>
      <c r="M125" s="75">
        <f t="shared" ref="M125" si="73">((K125-I125)/I125)</f>
        <v>1.151327256662308E-2</v>
      </c>
      <c r="N125" s="64"/>
      <c r="O125" s="77"/>
      <c r="P125" s="107"/>
      <c r="Q125" s="107"/>
      <c r="R125" s="74"/>
      <c r="S125" s="74"/>
      <c r="T125" s="108">
        <f>SUM(T97:T124)</f>
        <v>16232</v>
      </c>
      <c r="U125" s="108"/>
      <c r="V125" s="79"/>
    </row>
    <row r="126" spans="1:22" ht="6.9" customHeight="1">
      <c r="A126" s="202"/>
      <c r="B126" s="20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</row>
    <row r="127" spans="1:22">
      <c r="A127" s="200" t="s">
        <v>158</v>
      </c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</row>
    <row r="128" spans="1:22">
      <c r="A128" s="109">
        <v>109</v>
      </c>
      <c r="B128" s="110" t="s">
        <v>224</v>
      </c>
      <c r="C128" s="110" t="s">
        <v>225</v>
      </c>
      <c r="D128" s="111" t="s">
        <v>234</v>
      </c>
      <c r="E128" s="111" t="s">
        <v>235</v>
      </c>
      <c r="F128" s="112"/>
      <c r="G128" s="113">
        <v>3725770.36</v>
      </c>
      <c r="H128" s="20">
        <f t="shared" ref="H128:H132" si="74">(E128+F128)-G128</f>
        <v>36345229.439999998</v>
      </c>
      <c r="I128" s="172" t="s">
        <v>267</v>
      </c>
      <c r="J128" s="22">
        <f>(I128/$I$133)</f>
        <v>2.3628735939716126E-2</v>
      </c>
      <c r="K128" s="114" t="s">
        <v>236</v>
      </c>
      <c r="L128" s="22">
        <f>(K128/$K$133)</f>
        <v>2.4214081632096682E-2</v>
      </c>
      <c r="M128" s="22">
        <f t="shared" ref="M128" si="75">((K128-I128)/I128)</f>
        <v>2.1118429837396095E-2</v>
      </c>
      <c r="N128" s="23">
        <f t="shared" ref="N128" si="76">(G128/K128)</f>
        <v>1.5955571117673821E-3</v>
      </c>
      <c r="O128" s="24">
        <f t="shared" ref="O128" si="77">H128/K128</f>
        <v>1.5564805049286297E-2</v>
      </c>
      <c r="P128" s="25">
        <f t="shared" ref="P128" si="78">K128/V128</f>
        <v>110.04196826107446</v>
      </c>
      <c r="Q128" s="25">
        <f t="shared" ref="Q128" si="79">H128/V128</f>
        <v>1.712781783223374</v>
      </c>
      <c r="R128" s="115" t="s">
        <v>237</v>
      </c>
      <c r="S128" s="115" t="s">
        <v>237</v>
      </c>
      <c r="T128" s="116">
        <v>7</v>
      </c>
      <c r="U128" s="114">
        <v>21220000</v>
      </c>
      <c r="V128" s="114">
        <v>21220000</v>
      </c>
    </row>
    <row r="129" spans="1:22">
      <c r="A129" s="17">
        <v>110</v>
      </c>
      <c r="B129" s="18" t="s">
        <v>159</v>
      </c>
      <c r="C129" s="18" t="s">
        <v>43</v>
      </c>
      <c r="D129" s="26">
        <v>35215674466</v>
      </c>
      <c r="E129" s="26">
        <v>279269855</v>
      </c>
      <c r="F129" s="26">
        <v>0</v>
      </c>
      <c r="G129" s="19">
        <v>120509856</v>
      </c>
      <c r="H129" s="20">
        <f t="shared" si="74"/>
        <v>158759999</v>
      </c>
      <c r="I129" s="159">
        <v>54225521092</v>
      </c>
      <c r="J129" s="22">
        <f t="shared" ref="J129:J132" si="80">(I129/$I$133)</f>
        <v>0.56029482136170161</v>
      </c>
      <c r="K129" s="26">
        <v>53885760354</v>
      </c>
      <c r="L129" s="22">
        <f t="shared" ref="L129:L132" si="81">(K129/$K$133)</f>
        <v>0.55877669960145215</v>
      </c>
      <c r="M129" s="22">
        <f t="shared" ref="M129:M132" si="82">((K129-I129)/I129)</f>
        <v>-6.2656979805423311E-3</v>
      </c>
      <c r="N129" s="23">
        <f t="shared" ref="N129:N132" si="83">(G129/K129)</f>
        <v>2.2363952036366583E-3</v>
      </c>
      <c r="O129" s="24">
        <f t="shared" ref="O129:O132" si="84">H129/K129</f>
        <v>2.9462328815077223E-3</v>
      </c>
      <c r="P129" s="25">
        <f t="shared" ref="P129:P132" si="85">K129/V129</f>
        <v>101.54709026322534</v>
      </c>
      <c r="Q129" s="25">
        <f t="shared" ref="Q129:Q132" si="86">H129/V129</f>
        <v>0.29918137635494718</v>
      </c>
      <c r="R129" s="26">
        <v>101.55</v>
      </c>
      <c r="S129" s="38">
        <v>101.55</v>
      </c>
      <c r="T129" s="27">
        <v>634</v>
      </c>
      <c r="U129" s="27">
        <v>530648000</v>
      </c>
      <c r="V129" s="27">
        <v>530648000</v>
      </c>
    </row>
    <row r="130" spans="1:22">
      <c r="A130" s="109">
        <v>111</v>
      </c>
      <c r="B130" s="18" t="s">
        <v>160</v>
      </c>
      <c r="C130" s="18" t="s">
        <v>124</v>
      </c>
      <c r="D130" s="26">
        <v>2730563331.4699998</v>
      </c>
      <c r="E130" s="26">
        <v>28134907.420000002</v>
      </c>
      <c r="F130" s="26"/>
      <c r="G130" s="19">
        <v>5302650.09</v>
      </c>
      <c r="H130" s="20">
        <f t="shared" si="74"/>
        <v>22832257.330000002</v>
      </c>
      <c r="I130" s="159">
        <v>2415831635.5599999</v>
      </c>
      <c r="J130" s="22">
        <f t="shared" si="80"/>
        <v>2.4962009168884382E-2</v>
      </c>
      <c r="K130" s="26">
        <v>2438663892.8899999</v>
      </c>
      <c r="L130" s="22">
        <f t="shared" si="81"/>
        <v>2.5288101208080119E-2</v>
      </c>
      <c r="M130" s="22">
        <f t="shared" si="82"/>
        <v>9.4510962576691768E-3</v>
      </c>
      <c r="N130" s="23">
        <f t="shared" si="83"/>
        <v>2.1744079229040298E-3</v>
      </c>
      <c r="O130" s="24">
        <f t="shared" si="84"/>
        <v>9.3626093356153576E-3</v>
      </c>
      <c r="P130" s="25">
        <f t="shared" si="85"/>
        <v>121.93319464449999</v>
      </c>
      <c r="Q130" s="25">
        <f t="shared" si="86"/>
        <v>1.1416128665</v>
      </c>
      <c r="R130" s="83">
        <v>101.4</v>
      </c>
      <c r="S130" s="83">
        <v>101.4</v>
      </c>
      <c r="T130" s="27">
        <v>2835</v>
      </c>
      <c r="U130" s="27">
        <v>20000000</v>
      </c>
      <c r="V130" s="27">
        <v>20000000</v>
      </c>
    </row>
    <row r="131" spans="1:22">
      <c r="A131" s="17">
        <v>112</v>
      </c>
      <c r="B131" s="18" t="s">
        <v>161</v>
      </c>
      <c r="C131" s="18" t="s">
        <v>124</v>
      </c>
      <c r="D131" s="26">
        <v>11227084205.99</v>
      </c>
      <c r="E131" s="26">
        <v>129369331.56999999</v>
      </c>
      <c r="F131" s="26"/>
      <c r="G131" s="117" t="s">
        <v>226</v>
      </c>
      <c r="H131" s="20">
        <f t="shared" si="74"/>
        <v>113455329.25</v>
      </c>
      <c r="I131" s="158">
        <v>10500137159</v>
      </c>
      <c r="J131" s="22">
        <f t="shared" si="80"/>
        <v>0.10849453090167217</v>
      </c>
      <c r="K131" s="35">
        <v>10613592488</v>
      </c>
      <c r="L131" s="22">
        <f t="shared" si="81"/>
        <v>0.1100592836103345</v>
      </c>
      <c r="M131" s="22">
        <f t="shared" si="82"/>
        <v>1.0805128283753308E-2</v>
      </c>
      <c r="N131" s="23">
        <f t="shared" si="83"/>
        <v>1.4993982798937099E-3</v>
      </c>
      <c r="O131" s="24">
        <f t="shared" si="84"/>
        <v>1.0689625532379871E-2</v>
      </c>
      <c r="P131" s="25">
        <f t="shared" si="85"/>
        <v>56.417147801582146</v>
      </c>
      <c r="Q131" s="25">
        <f t="shared" si="86"/>
        <v>0.60307818360384147</v>
      </c>
      <c r="R131" s="83">
        <v>36.6</v>
      </c>
      <c r="S131" s="83">
        <v>36.6</v>
      </c>
      <c r="T131" s="27">
        <v>5261</v>
      </c>
      <c r="U131" s="27">
        <v>188127066</v>
      </c>
      <c r="V131" s="27">
        <v>188127066</v>
      </c>
    </row>
    <row r="132" spans="1:22" ht="15.9" customHeight="1">
      <c r="A132" s="109">
        <v>113</v>
      </c>
      <c r="B132" s="18" t="s">
        <v>162</v>
      </c>
      <c r="C132" s="28" t="s">
        <v>163</v>
      </c>
      <c r="D132" s="30">
        <v>29253090462.490002</v>
      </c>
      <c r="E132" s="30">
        <v>198852162.53</v>
      </c>
      <c r="F132" s="30"/>
      <c r="G132" s="30">
        <v>87169138.819999993</v>
      </c>
      <c r="H132" s="20">
        <f t="shared" si="74"/>
        <v>111683023.71000001</v>
      </c>
      <c r="I132" s="158">
        <v>29638846151.91</v>
      </c>
      <c r="J132" s="22">
        <f t="shared" si="80"/>
        <v>0.30624863856774187</v>
      </c>
      <c r="K132" s="30">
        <v>29497214713.439999</v>
      </c>
      <c r="L132" s="22">
        <f t="shared" si="81"/>
        <v>0.30587591558013327</v>
      </c>
      <c r="M132" s="22">
        <f t="shared" si="82"/>
        <v>-4.7785746362759181E-3</v>
      </c>
      <c r="N132" s="23">
        <f t="shared" si="83"/>
        <v>2.9551650780194707E-3</v>
      </c>
      <c r="O132" s="24">
        <f t="shared" si="84"/>
        <v>3.7862226923789243E-3</v>
      </c>
      <c r="P132" s="25">
        <f t="shared" si="85"/>
        <v>11.054810885272271</v>
      </c>
      <c r="Q132" s="25">
        <f t="shared" si="86"/>
        <v>4.1855975833775413E-2</v>
      </c>
      <c r="R132" s="83">
        <v>11.05</v>
      </c>
      <c r="S132" s="83">
        <v>11.05</v>
      </c>
      <c r="T132" s="27">
        <v>208270</v>
      </c>
      <c r="U132" s="30">
        <v>2668269500</v>
      </c>
      <c r="V132" s="30">
        <v>2668269500</v>
      </c>
    </row>
    <row r="133" spans="1:22" ht="15" customHeight="1">
      <c r="A133" s="201" t="s">
        <v>50</v>
      </c>
      <c r="B133" s="201"/>
      <c r="C133" s="201"/>
      <c r="D133" s="201"/>
      <c r="E133" s="201"/>
      <c r="F133" s="201"/>
      <c r="G133" s="201"/>
      <c r="H133" s="201"/>
      <c r="I133" s="74">
        <f>SUM(I129:I132)</f>
        <v>96780336038.470001</v>
      </c>
      <c r="J133" s="54">
        <f>(I133/$I$192)</f>
        <v>3.343057217133534E-2</v>
      </c>
      <c r="K133" s="74">
        <f>SUM(K129:K132)</f>
        <v>96435231448.330002</v>
      </c>
      <c r="L133" s="54">
        <f>(K133/$K$192)</f>
        <v>3.257749943381881E-2</v>
      </c>
      <c r="M133" s="75">
        <f>((K133-I133)/I133)</f>
        <v>-3.5658544314500105E-3</v>
      </c>
      <c r="N133" s="64"/>
      <c r="O133" s="77"/>
      <c r="P133" s="78"/>
      <c r="Q133" s="78"/>
      <c r="R133" s="74"/>
      <c r="S133" s="74"/>
      <c r="T133" s="79">
        <f>SUM(T129:T132)</f>
        <v>217000</v>
      </c>
      <c r="U133" s="79"/>
      <c r="V133" s="79"/>
    </row>
    <row r="134" spans="1:22" ht="8.1" customHeight="1">
      <c r="A134" s="202"/>
      <c r="B134" s="202"/>
      <c r="C134" s="202"/>
      <c r="D134" s="202"/>
      <c r="E134" s="202"/>
      <c r="F134" s="202"/>
      <c r="G134" s="202"/>
      <c r="H134" s="202"/>
      <c r="I134" s="202"/>
      <c r="J134" s="202"/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</row>
    <row r="135" spans="1:22">
      <c r="A135" s="200" t="s">
        <v>164</v>
      </c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</row>
    <row r="136" spans="1:22">
      <c r="A136" s="17">
        <v>114</v>
      </c>
      <c r="B136" s="18" t="s">
        <v>165</v>
      </c>
      <c r="C136" s="18" t="s">
        <v>54</v>
      </c>
      <c r="D136" s="21">
        <v>238471119.56</v>
      </c>
      <c r="E136" s="21">
        <v>2582643.0099999998</v>
      </c>
      <c r="F136" s="21">
        <v>6302939.5</v>
      </c>
      <c r="G136" s="26">
        <v>598624.36</v>
      </c>
      <c r="H136" s="20">
        <f t="shared" ref="H136:H162" si="87">(E136+F136)-G136</f>
        <v>8286958.1499999994</v>
      </c>
      <c r="I136" s="159">
        <v>237399409.77000001</v>
      </c>
      <c r="J136" s="22">
        <f>(I136/$I$163)</f>
        <v>4.8696864360260085E-3</v>
      </c>
      <c r="K136" s="26">
        <v>240329705.40000001</v>
      </c>
      <c r="L136" s="22">
        <f>(K136/$K$163)</f>
        <v>5.004640357119049E-3</v>
      </c>
      <c r="M136" s="22">
        <f t="shared" ref="M136" si="88">((K136-I136)/I136)</f>
        <v>1.2343314723650566E-2</v>
      </c>
      <c r="N136" s="23">
        <f t="shared" ref="N136" si="89">(G136/K136)</f>
        <v>2.4908463105035705E-3</v>
      </c>
      <c r="O136" s="24">
        <f t="shared" ref="O136" si="90">H136/K136</f>
        <v>3.4481622387075916E-2</v>
      </c>
      <c r="P136" s="25">
        <f t="shared" ref="P136" si="91">K136/V136</f>
        <v>5.4411801163049747</v>
      </c>
      <c r="Q136" s="25">
        <f t="shared" ref="Q136" si="92">H136/V136</f>
        <v>0.18762071811049394</v>
      </c>
      <c r="R136" s="26">
        <v>5.3996000000000004</v>
      </c>
      <c r="S136" s="26">
        <v>5.4767000000000001</v>
      </c>
      <c r="T136" s="27">
        <v>11818</v>
      </c>
      <c r="U136" s="27">
        <v>44382719.969999999</v>
      </c>
      <c r="V136" s="27">
        <v>44168673.020000003</v>
      </c>
    </row>
    <row r="137" spans="1:22">
      <c r="A137" s="17">
        <v>115</v>
      </c>
      <c r="B137" s="32" t="s">
        <v>221</v>
      </c>
      <c r="C137" s="32" t="s">
        <v>222</v>
      </c>
      <c r="D137" s="21">
        <v>591656780.14999998</v>
      </c>
      <c r="E137" s="21">
        <v>3452069.04</v>
      </c>
      <c r="F137" s="21">
        <v>12397715.35</v>
      </c>
      <c r="G137" s="26">
        <v>1230872.08</v>
      </c>
      <c r="H137" s="20">
        <f t="shared" si="87"/>
        <v>14618912.310000001</v>
      </c>
      <c r="I137" s="159">
        <v>595758364.35000002</v>
      </c>
      <c r="J137" s="22">
        <f t="shared" ref="J137:J162" si="93">(I137/$I$163)</f>
        <v>1.22205713520306E-2</v>
      </c>
      <c r="K137" s="26">
        <v>623940950.77999997</v>
      </c>
      <c r="L137" s="22">
        <f t="shared" ref="L137:L162" si="94">(K137/$K$163)</f>
        <v>1.2992984190346443E-2</v>
      </c>
      <c r="M137" s="22">
        <f t="shared" ref="M137:M155" si="95">((K137-I137)/I137)</f>
        <v>4.7305397819715808E-2</v>
      </c>
      <c r="N137" s="23">
        <f t="shared" ref="N137:N155" si="96">(G137/K137)</f>
        <v>1.9727380907780846E-3</v>
      </c>
      <c r="O137" s="24">
        <f t="shared" ref="O137:O155" si="97">H137/K137</f>
        <v>2.3429961267528013E-2</v>
      </c>
      <c r="P137" s="25">
        <f t="shared" ref="P137:P155" si="98">K137/V137</f>
        <v>1199.4666304870218</v>
      </c>
      <c r="Q137" s="25">
        <f t="shared" ref="Q137:Q155" si="99">H137/V137</f>
        <v>28.103456694003253</v>
      </c>
      <c r="R137" s="26">
        <v>1192.8027999999999</v>
      </c>
      <c r="S137" s="26">
        <v>1203.8182999999999</v>
      </c>
      <c r="T137" s="27">
        <v>172</v>
      </c>
      <c r="U137" s="27">
        <v>520759</v>
      </c>
      <c r="V137" s="27">
        <v>520182</v>
      </c>
    </row>
    <row r="138" spans="1:22">
      <c r="A138" s="17">
        <v>116</v>
      </c>
      <c r="B138" s="18" t="s">
        <v>166</v>
      </c>
      <c r="C138" s="28" t="s">
        <v>57</v>
      </c>
      <c r="D138" s="21">
        <v>6955355853.4099998</v>
      </c>
      <c r="E138" s="21">
        <v>70097967.579999998</v>
      </c>
      <c r="F138" s="21">
        <v>117212821.56999999</v>
      </c>
      <c r="G138" s="26">
        <v>21732003.039999999</v>
      </c>
      <c r="H138" s="20">
        <f t="shared" si="87"/>
        <v>165578786.10999998</v>
      </c>
      <c r="I138" s="159">
        <v>7275597386</v>
      </c>
      <c r="J138" s="22">
        <f t="shared" si="93"/>
        <v>0.14924164276110063</v>
      </c>
      <c r="K138" s="26">
        <v>7443283867</v>
      </c>
      <c r="L138" s="22">
        <f t="shared" si="94"/>
        <v>0.15499939455375097</v>
      </c>
      <c r="M138" s="22">
        <f t="shared" si="95"/>
        <v>2.3047795542214738E-2</v>
      </c>
      <c r="N138" s="23">
        <f t="shared" si="96"/>
        <v>2.9196794624949643E-3</v>
      </c>
      <c r="O138" s="24">
        <f t="shared" si="97"/>
        <v>2.2245394515194833E-2</v>
      </c>
      <c r="P138" s="25">
        <f t="shared" si="98"/>
        <v>782.10203809510199</v>
      </c>
      <c r="Q138" s="25">
        <f t="shared" si="99"/>
        <v>17.398168388563484</v>
      </c>
      <c r="R138" s="26">
        <v>778.19150000000002</v>
      </c>
      <c r="S138" s="26">
        <v>801.65459999999996</v>
      </c>
      <c r="T138" s="27">
        <v>21283</v>
      </c>
      <c r="U138" s="27">
        <v>9492630</v>
      </c>
      <c r="V138" s="27">
        <v>9517024</v>
      </c>
    </row>
    <row r="139" spans="1:22">
      <c r="A139" s="17">
        <v>117</v>
      </c>
      <c r="B139" s="18" t="s">
        <v>167</v>
      </c>
      <c r="C139" s="18" t="s">
        <v>107</v>
      </c>
      <c r="D139" s="118">
        <v>1632748392.73</v>
      </c>
      <c r="E139" s="35">
        <v>31992402.829999998</v>
      </c>
      <c r="F139" s="35">
        <v>30344932.68</v>
      </c>
      <c r="G139" s="35">
        <v>2961399.48</v>
      </c>
      <c r="H139" s="20">
        <f t="shared" si="87"/>
        <v>59375936.030000001</v>
      </c>
      <c r="I139" s="159">
        <v>1519922570.5999999</v>
      </c>
      <c r="J139" s="22">
        <f t="shared" si="93"/>
        <v>3.1177610479450866E-2</v>
      </c>
      <c r="K139" s="26">
        <v>1578790631.6199999</v>
      </c>
      <c r="L139" s="22">
        <f t="shared" si="94"/>
        <v>3.2876831839394105E-2</v>
      </c>
      <c r="M139" s="22">
        <f t="shared" si="95"/>
        <v>3.8730960483573454E-2</v>
      </c>
      <c r="N139" s="23">
        <f t="shared" si="96"/>
        <v>1.8757392023293822E-3</v>
      </c>
      <c r="O139" s="24">
        <f t="shared" si="97"/>
        <v>3.7608492754402936E-2</v>
      </c>
      <c r="P139" s="25">
        <f t="shared" si="98"/>
        <v>3.7616167264313378</v>
      </c>
      <c r="Q139" s="25">
        <f t="shared" si="99"/>
        <v>0.14146873540083388</v>
      </c>
      <c r="R139" s="96">
        <v>3.6480000000000001</v>
      </c>
      <c r="S139" s="96">
        <v>3.7372000000000001</v>
      </c>
      <c r="T139" s="61">
        <v>2750</v>
      </c>
      <c r="U139" s="61">
        <v>419853891.98000002</v>
      </c>
      <c r="V139" s="61">
        <v>419710658.06</v>
      </c>
    </row>
    <row r="140" spans="1:22">
      <c r="A140" s="17">
        <v>118</v>
      </c>
      <c r="B140" s="18" t="s">
        <v>168</v>
      </c>
      <c r="C140" s="18" t="s">
        <v>60</v>
      </c>
      <c r="D140" s="21">
        <v>3445170009.73</v>
      </c>
      <c r="E140" s="21">
        <v>28795300.050000001</v>
      </c>
      <c r="F140" s="21">
        <v>765801020.22000003</v>
      </c>
      <c r="G140" s="26">
        <v>8715705.5500000007</v>
      </c>
      <c r="H140" s="20">
        <f t="shared" si="87"/>
        <v>785880614.72000003</v>
      </c>
      <c r="I140" s="159">
        <v>3283559002.46</v>
      </c>
      <c r="J140" s="22">
        <f t="shared" si="93"/>
        <v>6.7354433406814587E-2</v>
      </c>
      <c r="K140" s="26">
        <v>3419353771.04</v>
      </c>
      <c r="L140" s="22">
        <f t="shared" si="94"/>
        <v>7.1204830253222592E-2</v>
      </c>
      <c r="M140" s="22">
        <f t="shared" si="95"/>
        <v>4.1355970298771617E-2</v>
      </c>
      <c r="N140" s="23">
        <f t="shared" si="96"/>
        <v>2.5489335510753865E-3</v>
      </c>
      <c r="O140" s="24">
        <f t="shared" si="97"/>
        <v>0.22983308172905831</v>
      </c>
      <c r="P140" s="25">
        <f t="shared" si="98"/>
        <v>6431.525114472689</v>
      </c>
      <c r="Q140" s="25">
        <f t="shared" si="99"/>
        <v>1478.1772372770924</v>
      </c>
      <c r="R140" s="26">
        <v>6431.53</v>
      </c>
      <c r="S140" s="26">
        <v>6479.13</v>
      </c>
      <c r="T140" s="27">
        <v>872</v>
      </c>
      <c r="U140" s="27">
        <v>531440.81000000006</v>
      </c>
      <c r="V140" s="27">
        <v>531655.19999999995</v>
      </c>
    </row>
    <row r="141" spans="1:22" ht="14.1" customHeight="1">
      <c r="A141" s="17">
        <v>119</v>
      </c>
      <c r="B141" s="18" t="s">
        <v>169</v>
      </c>
      <c r="C141" s="28" t="s">
        <v>62</v>
      </c>
      <c r="D141" s="21">
        <v>595586651.63999999</v>
      </c>
      <c r="E141" s="21">
        <v>5104337.59</v>
      </c>
      <c r="F141" s="21">
        <v>27428865.420000002</v>
      </c>
      <c r="G141" s="26">
        <v>1245097.02</v>
      </c>
      <c r="H141" s="20">
        <f t="shared" si="87"/>
        <v>31288105.990000002</v>
      </c>
      <c r="I141" s="159">
        <v>653093906.05999994</v>
      </c>
      <c r="J141" s="22">
        <f t="shared" si="93"/>
        <v>1.3396674148738873E-2</v>
      </c>
      <c r="K141" s="26">
        <v>677454315.12</v>
      </c>
      <c r="L141" s="22">
        <f t="shared" si="94"/>
        <v>1.4107349734029166E-2</v>
      </c>
      <c r="M141" s="22">
        <f t="shared" si="95"/>
        <v>3.7300009744329267E-2</v>
      </c>
      <c r="N141" s="23">
        <f t="shared" si="96"/>
        <v>1.8379055121664572E-3</v>
      </c>
      <c r="O141" s="24">
        <f t="shared" si="97"/>
        <v>4.6184820572672598E-2</v>
      </c>
      <c r="P141" s="25">
        <f t="shared" si="98"/>
        <v>173.22794784042418</v>
      </c>
      <c r="Q141" s="25">
        <f t="shared" si="99"/>
        <v>8.0005016891822791</v>
      </c>
      <c r="R141" s="26">
        <v>170.55</v>
      </c>
      <c r="S141" s="26">
        <v>171.8</v>
      </c>
      <c r="T141" s="27">
        <v>655</v>
      </c>
      <c r="U141" s="27">
        <v>3964493</v>
      </c>
      <c r="V141" s="27">
        <v>3910768</v>
      </c>
    </row>
    <row r="142" spans="1:22" ht="15" customHeight="1">
      <c r="A142" s="17">
        <v>120</v>
      </c>
      <c r="B142" s="18" t="s">
        <v>170</v>
      </c>
      <c r="C142" s="28" t="s">
        <v>64</v>
      </c>
      <c r="D142" s="119">
        <v>248331135.28999999</v>
      </c>
      <c r="E142" s="119">
        <v>1956454.75</v>
      </c>
      <c r="F142" s="119"/>
      <c r="G142" s="36">
        <v>691169.45</v>
      </c>
      <c r="H142" s="63">
        <v>3676035.92</v>
      </c>
      <c r="I142" s="165">
        <v>331444396.5</v>
      </c>
      <c r="J142" s="22">
        <f t="shared" si="93"/>
        <v>6.7987965239534476E-3</v>
      </c>
      <c r="K142" s="36">
        <v>331444396.5</v>
      </c>
      <c r="L142" s="22">
        <f t="shared" si="94"/>
        <v>6.9020182091267509E-3</v>
      </c>
      <c r="M142" s="22">
        <f t="shared" si="95"/>
        <v>0</v>
      </c>
      <c r="N142" s="23">
        <f t="shared" si="96"/>
        <v>2.0853254944076267E-3</v>
      </c>
      <c r="O142" s="24">
        <f t="shared" si="97"/>
        <v>1.1090958117917675E-2</v>
      </c>
      <c r="P142" s="25">
        <f t="shared" si="98"/>
        <v>137.41595449214111</v>
      </c>
      <c r="Q142" s="25">
        <f t="shared" si="99"/>
        <v>1.5240745960060182</v>
      </c>
      <c r="R142" s="36">
        <v>141.68</v>
      </c>
      <c r="S142" s="36">
        <v>142.58000000000001</v>
      </c>
      <c r="T142" s="36">
        <f>549+27+3</f>
        <v>579</v>
      </c>
      <c r="U142" s="36">
        <v>2411979</v>
      </c>
      <c r="V142" s="36">
        <v>2411979</v>
      </c>
    </row>
    <row r="143" spans="1:22">
      <c r="A143" s="17">
        <v>121</v>
      </c>
      <c r="B143" s="18" t="s">
        <v>171</v>
      </c>
      <c r="C143" s="28" t="s">
        <v>66</v>
      </c>
      <c r="D143" s="38">
        <v>187555137.40000001</v>
      </c>
      <c r="E143" s="38">
        <v>1309005.52</v>
      </c>
      <c r="F143" s="38">
        <v>1857234.55</v>
      </c>
      <c r="G143" s="30">
        <v>441683.78</v>
      </c>
      <c r="H143" s="20">
        <f t="shared" si="87"/>
        <v>2724556.29</v>
      </c>
      <c r="I143" s="160">
        <v>185480586.59</v>
      </c>
      <c r="J143" s="22">
        <f t="shared" si="93"/>
        <v>3.8046947864720905E-3</v>
      </c>
      <c r="K143" s="38">
        <v>189493118.00999999</v>
      </c>
      <c r="L143" s="22">
        <f t="shared" si="94"/>
        <v>3.9460161789436803E-3</v>
      </c>
      <c r="M143" s="22">
        <f t="shared" si="95"/>
        <v>2.1633161150549859E-2</v>
      </c>
      <c r="N143" s="23">
        <f t="shared" si="96"/>
        <v>2.3308697679284129E-3</v>
      </c>
      <c r="O143" s="24">
        <f t="shared" si="97"/>
        <v>1.4378127916266695E-2</v>
      </c>
      <c r="P143" s="25">
        <f t="shared" si="98"/>
        <v>1.4793151150519417</v>
      </c>
      <c r="Q143" s="25">
        <f t="shared" si="99"/>
        <v>2.12697819526836E-2</v>
      </c>
      <c r="R143" s="26">
        <v>1.4643999999999999</v>
      </c>
      <c r="S143" s="50">
        <v>1.4767999999999999</v>
      </c>
      <c r="T143" s="67">
        <v>309</v>
      </c>
      <c r="U143" s="38">
        <v>128105527.88</v>
      </c>
      <c r="V143" s="38">
        <v>128095167.88</v>
      </c>
    </row>
    <row r="144" spans="1:22">
      <c r="A144" s="17">
        <v>122</v>
      </c>
      <c r="B144" s="32" t="s">
        <v>218</v>
      </c>
      <c r="C144" s="33" t="s">
        <v>47</v>
      </c>
      <c r="D144" s="21">
        <v>121382149.8</v>
      </c>
      <c r="E144" s="21">
        <v>2828830.29</v>
      </c>
      <c r="F144" s="21">
        <v>0</v>
      </c>
      <c r="G144" s="26">
        <v>0</v>
      </c>
      <c r="H144" s="20">
        <f>(E144+F144)-G144</f>
        <v>2828830.29</v>
      </c>
      <c r="I144" s="159">
        <v>137295130.58000001</v>
      </c>
      <c r="J144" s="22">
        <f t="shared" si="93"/>
        <v>2.816284319180031E-3</v>
      </c>
      <c r="K144" s="26">
        <v>128844144.16</v>
      </c>
      <c r="L144" s="22">
        <f t="shared" si="94"/>
        <v>2.6830582701725422E-3</v>
      </c>
      <c r="M144" s="22">
        <f t="shared" si="95"/>
        <v>-6.1553431533216262E-2</v>
      </c>
      <c r="N144" s="23">
        <f t="shared" si="96"/>
        <v>0</v>
      </c>
      <c r="O144" s="24">
        <f t="shared" si="97"/>
        <v>2.1955443209643499E-2</v>
      </c>
      <c r="P144" s="25">
        <f t="shared" si="98"/>
        <v>145.92433513890958</v>
      </c>
      <c r="Q144" s="25">
        <f t="shared" si="99"/>
        <v>3.2038334530473147</v>
      </c>
      <c r="R144" s="26">
        <v>147.0154</v>
      </c>
      <c r="S144" s="26">
        <v>147.54130000000001</v>
      </c>
      <c r="T144" s="27">
        <v>109</v>
      </c>
      <c r="U144" s="27">
        <v>904383.59</v>
      </c>
      <c r="V144" s="27">
        <v>882951.73</v>
      </c>
    </row>
    <row r="145" spans="1:22">
      <c r="A145" s="17">
        <v>123</v>
      </c>
      <c r="B145" s="32" t="s">
        <v>172</v>
      </c>
      <c r="C145" s="33" t="s">
        <v>173</v>
      </c>
      <c r="D145" s="21">
        <v>162768206.77000001</v>
      </c>
      <c r="E145" s="21">
        <v>2208666.44</v>
      </c>
      <c r="F145" s="21"/>
      <c r="G145" s="26">
        <v>580660.34</v>
      </c>
      <c r="H145" s="20">
        <f t="shared" si="87"/>
        <v>1628006.1</v>
      </c>
      <c r="I145" s="159">
        <v>203413196.44</v>
      </c>
      <c r="J145" s="22">
        <f t="shared" si="93"/>
        <v>4.1725397909465993E-3</v>
      </c>
      <c r="K145" s="26">
        <v>209483094.44</v>
      </c>
      <c r="L145" s="22">
        <f t="shared" si="94"/>
        <v>4.3622886601707832E-3</v>
      </c>
      <c r="M145" s="22">
        <f t="shared" si="95"/>
        <v>2.9840237045733728E-2</v>
      </c>
      <c r="N145" s="23">
        <f t="shared" si="96"/>
        <v>2.7718720766095628E-3</v>
      </c>
      <c r="O145" s="24">
        <f t="shared" si="97"/>
        <v>7.7715392946245236E-3</v>
      </c>
      <c r="P145" s="25">
        <f t="shared" si="98"/>
        <v>117.97424655960461</v>
      </c>
      <c r="Q145" s="25">
        <f t="shared" si="99"/>
        <v>0.91684149289168926</v>
      </c>
      <c r="R145" s="26">
        <v>117.81</v>
      </c>
      <c r="S145" s="26">
        <v>119.18</v>
      </c>
      <c r="T145" s="27">
        <v>53</v>
      </c>
      <c r="U145" s="83">
        <v>1770923</v>
      </c>
      <c r="V145" s="27">
        <v>1775668</v>
      </c>
    </row>
    <row r="146" spans="1:22">
      <c r="A146" s="17">
        <v>124</v>
      </c>
      <c r="B146" s="18" t="s">
        <v>174</v>
      </c>
      <c r="C146" s="28" t="s">
        <v>71</v>
      </c>
      <c r="D146" s="38">
        <v>265835936.74000001</v>
      </c>
      <c r="E146" s="21">
        <v>2465345.7200000002</v>
      </c>
      <c r="F146" s="21">
        <v>-19509056.960000001</v>
      </c>
      <c r="G146" s="26">
        <v>685963.99</v>
      </c>
      <c r="H146" s="20">
        <f t="shared" si="87"/>
        <v>-17729675.23</v>
      </c>
      <c r="I146" s="158">
        <v>330834217</v>
      </c>
      <c r="J146" s="22">
        <f t="shared" si="93"/>
        <v>6.7862801371706416E-3</v>
      </c>
      <c r="K146" s="30">
        <v>335936330.56</v>
      </c>
      <c r="L146" s="22">
        <f t="shared" si="94"/>
        <v>6.9955585163508516E-3</v>
      </c>
      <c r="M146" s="22">
        <f t="shared" si="95"/>
        <v>1.542196453034966E-2</v>
      </c>
      <c r="N146" s="23">
        <f t="shared" si="96"/>
        <v>2.0419464273379127E-3</v>
      </c>
      <c r="O146" s="24">
        <f t="shared" si="97"/>
        <v>-5.2776891384283868E-2</v>
      </c>
      <c r="P146" s="25">
        <f t="shared" si="98"/>
        <v>1.2918288595403196</v>
      </c>
      <c r="Q146" s="25">
        <f t="shared" si="99"/>
        <v>-6.817871140704275E-2</v>
      </c>
      <c r="R146" s="26">
        <v>1.2813000000000001</v>
      </c>
      <c r="S146" s="26">
        <v>1.2967</v>
      </c>
      <c r="T146" s="27">
        <v>107</v>
      </c>
      <c r="U146" s="27">
        <v>259770530.90000001</v>
      </c>
      <c r="V146" s="27">
        <v>260047086.02000001</v>
      </c>
    </row>
    <row r="147" spans="1:22">
      <c r="A147" s="17">
        <v>125</v>
      </c>
      <c r="B147" s="28" t="s">
        <v>175</v>
      </c>
      <c r="C147" s="28" t="s">
        <v>75</v>
      </c>
      <c r="D147" s="30">
        <v>8737740217.1700001</v>
      </c>
      <c r="E147" s="21">
        <v>65531862.789999999</v>
      </c>
      <c r="F147" s="21">
        <v>382101571.75</v>
      </c>
      <c r="G147" s="35">
        <v>13655767.27</v>
      </c>
      <c r="H147" s="20">
        <f t="shared" si="87"/>
        <v>433977667.27000004</v>
      </c>
      <c r="I147" s="159">
        <v>8235828124.9300003</v>
      </c>
      <c r="J147" s="22">
        <f t="shared" si="93"/>
        <v>0.16893850135629651</v>
      </c>
      <c r="K147" s="26">
        <v>8580730718.1000004</v>
      </c>
      <c r="L147" s="22">
        <f t="shared" si="94"/>
        <v>0.17868565674767553</v>
      </c>
      <c r="M147" s="22">
        <f t="shared" si="95"/>
        <v>4.1878313624099765E-2</v>
      </c>
      <c r="N147" s="23">
        <f t="shared" si="96"/>
        <v>1.5914457309789284E-3</v>
      </c>
      <c r="O147" s="24">
        <f t="shared" si="97"/>
        <v>5.0575840394871882E-2</v>
      </c>
      <c r="P147" s="25">
        <f t="shared" si="98"/>
        <v>314.94298945955762</v>
      </c>
      <c r="Q147" s="25">
        <f t="shared" si="99"/>
        <v>15.928506368390405</v>
      </c>
      <c r="R147" s="26">
        <v>314.94</v>
      </c>
      <c r="S147" s="26">
        <v>317.06</v>
      </c>
      <c r="T147" s="27">
        <v>5495</v>
      </c>
      <c r="U147" s="26">
        <v>27256446</v>
      </c>
      <c r="V147" s="26">
        <v>27245346</v>
      </c>
    </row>
    <row r="148" spans="1:22" ht="13.8" customHeight="1">
      <c r="A148" s="17">
        <v>126</v>
      </c>
      <c r="B148" s="120" t="s">
        <v>176</v>
      </c>
      <c r="C148" s="18" t="s">
        <v>240</v>
      </c>
      <c r="D148" s="21">
        <v>2874445530.9699998</v>
      </c>
      <c r="E148" s="21">
        <v>32351006.039999999</v>
      </c>
      <c r="F148" s="21">
        <v>54041023.600000001</v>
      </c>
      <c r="G148" s="26">
        <v>10348119.92</v>
      </c>
      <c r="H148" s="20">
        <f t="shared" si="87"/>
        <v>76043909.719999999</v>
      </c>
      <c r="I148" s="159">
        <v>2648373507.2800002</v>
      </c>
      <c r="J148" s="22">
        <f t="shared" si="93"/>
        <v>5.4325107878013756E-2</v>
      </c>
      <c r="K148" s="26">
        <v>2752826629.3600001</v>
      </c>
      <c r="L148" s="22">
        <f t="shared" si="94"/>
        <v>5.7325028641453404E-2</v>
      </c>
      <c r="M148" s="22">
        <f t="shared" si="95"/>
        <v>3.9440479899407396E-2</v>
      </c>
      <c r="N148" s="23">
        <f t="shared" si="96"/>
        <v>3.7590888614753835E-3</v>
      </c>
      <c r="O148" s="24">
        <f t="shared" si="97"/>
        <v>2.7623937123014287E-2</v>
      </c>
      <c r="P148" s="25">
        <f t="shared" si="98"/>
        <v>1.9449014266898983</v>
      </c>
      <c r="Q148" s="25">
        <f t="shared" si="99"/>
        <v>5.3725834721342527E-2</v>
      </c>
      <c r="R148" s="26">
        <v>1.9279999999999999</v>
      </c>
      <c r="S148" s="26">
        <v>1.9598</v>
      </c>
      <c r="T148" s="27">
        <v>10301</v>
      </c>
      <c r="U148" s="27">
        <v>1415553692.21</v>
      </c>
      <c r="V148" s="27">
        <v>1415406761.28</v>
      </c>
    </row>
    <row r="149" spans="1:22">
      <c r="A149" s="17">
        <v>127</v>
      </c>
      <c r="B149" s="18" t="s">
        <v>177</v>
      </c>
      <c r="C149" s="28" t="s">
        <v>79</v>
      </c>
      <c r="D149" s="26">
        <v>151685291.38999999</v>
      </c>
      <c r="E149" s="21">
        <v>4347659.7</v>
      </c>
      <c r="F149" s="21"/>
      <c r="G149" s="26">
        <v>463934.76</v>
      </c>
      <c r="H149" s="20">
        <f t="shared" si="87"/>
        <v>3883724.9400000004</v>
      </c>
      <c r="I149" s="159">
        <v>190938532.12</v>
      </c>
      <c r="J149" s="22">
        <f t="shared" si="93"/>
        <v>3.9166516078549237E-3</v>
      </c>
      <c r="K149" s="26">
        <v>199956290.05000001</v>
      </c>
      <c r="L149" s="22">
        <f t="shared" si="94"/>
        <v>4.1639019079163413E-3</v>
      </c>
      <c r="M149" s="22">
        <f t="shared" si="95"/>
        <v>4.722859147326311E-2</v>
      </c>
      <c r="N149" s="23">
        <f t="shared" si="96"/>
        <v>2.3201808749501751E-3</v>
      </c>
      <c r="O149" s="24">
        <f t="shared" si="97"/>
        <v>1.9422869563287339E-2</v>
      </c>
      <c r="P149" s="25">
        <f t="shared" si="98"/>
        <v>260.17171085512831</v>
      </c>
      <c r="Q149" s="25">
        <f t="shared" si="99"/>
        <v>5.0532812039964661</v>
      </c>
      <c r="R149" s="26">
        <v>260.17</v>
      </c>
      <c r="S149" s="26">
        <v>260.77999999999997</v>
      </c>
      <c r="T149" s="27">
        <v>39</v>
      </c>
      <c r="U149" s="121">
        <v>768555.08</v>
      </c>
      <c r="V149" s="121">
        <v>768555.08</v>
      </c>
    </row>
    <row r="150" spans="1:22">
      <c r="A150" s="17">
        <v>128</v>
      </c>
      <c r="B150" s="28" t="s">
        <v>178</v>
      </c>
      <c r="C150" s="28" t="s">
        <v>35</v>
      </c>
      <c r="D150" s="30">
        <v>50539626.740000002</v>
      </c>
      <c r="E150" s="30">
        <v>539626.74</v>
      </c>
      <c r="F150" s="30"/>
      <c r="G150" s="30">
        <v>38843.29</v>
      </c>
      <c r="H150" s="20">
        <f t="shared" si="87"/>
        <v>500783.45</v>
      </c>
      <c r="I150" s="158">
        <v>2636807040.6700001</v>
      </c>
      <c r="J150" s="22">
        <f t="shared" si="93"/>
        <v>5.408784921920734E-2</v>
      </c>
      <c r="K150" s="30">
        <v>50501492.170000002</v>
      </c>
      <c r="L150" s="22">
        <f t="shared" si="94"/>
        <v>1.0516461349963178E-3</v>
      </c>
      <c r="M150" s="22">
        <f t="shared" si="95"/>
        <v>-0.98084748281119283</v>
      </c>
      <c r="N150" s="23">
        <f t="shared" si="96"/>
        <v>7.6915133258328831E-4</v>
      </c>
      <c r="O150" s="24">
        <f t="shared" si="97"/>
        <v>9.9162109569801253E-3</v>
      </c>
      <c r="P150" s="25">
        <f t="shared" si="98"/>
        <v>1.0055851570060335</v>
      </c>
      <c r="Q150" s="25">
        <f t="shared" si="99"/>
        <v>9.9715945520798075E-3</v>
      </c>
      <c r="R150" s="26">
        <v>1.006</v>
      </c>
      <c r="S150" s="26">
        <v>1.006</v>
      </c>
      <c r="T150" s="27">
        <v>8</v>
      </c>
      <c r="U150" s="30">
        <v>50000000</v>
      </c>
      <c r="V150" s="30">
        <v>50221000</v>
      </c>
    </row>
    <row r="151" spans="1:22">
      <c r="A151" s="17">
        <v>129</v>
      </c>
      <c r="B151" s="32" t="s">
        <v>223</v>
      </c>
      <c r="C151" s="32" t="s">
        <v>220</v>
      </c>
      <c r="D151" s="30">
        <v>50539626.740000002</v>
      </c>
      <c r="E151" s="30">
        <v>539626.74</v>
      </c>
      <c r="F151" s="30"/>
      <c r="G151" s="95">
        <v>38843.29</v>
      </c>
      <c r="H151" s="20">
        <f t="shared" si="87"/>
        <v>500783.45</v>
      </c>
      <c r="I151" s="26">
        <v>0</v>
      </c>
      <c r="J151" s="22">
        <f t="shared" si="93"/>
        <v>0</v>
      </c>
      <c r="K151" s="30">
        <v>50501492.170000002</v>
      </c>
      <c r="L151" s="22">
        <f t="shared" si="94"/>
        <v>1.0516461349963178E-3</v>
      </c>
      <c r="M151" s="22" t="e">
        <f t="shared" si="95"/>
        <v>#DIV/0!</v>
      </c>
      <c r="N151" s="23">
        <f t="shared" si="96"/>
        <v>7.6915133258328831E-4</v>
      </c>
      <c r="O151" s="24">
        <f t="shared" si="97"/>
        <v>9.9162109569801253E-3</v>
      </c>
      <c r="P151" s="25">
        <f t="shared" si="98"/>
        <v>1.0055851570060335</v>
      </c>
      <c r="Q151" s="25">
        <f t="shared" si="99"/>
        <v>9.9715945520798075E-3</v>
      </c>
      <c r="R151" s="26">
        <v>1.006</v>
      </c>
      <c r="S151" s="26">
        <v>1.006</v>
      </c>
      <c r="T151" s="27">
        <v>8</v>
      </c>
      <c r="U151" s="30">
        <v>50000000</v>
      </c>
      <c r="V151" s="30">
        <v>50221000</v>
      </c>
    </row>
    <row r="152" spans="1:22">
      <c r="A152" s="17">
        <v>130</v>
      </c>
      <c r="B152" s="28" t="s">
        <v>179</v>
      </c>
      <c r="C152" s="28" t="s">
        <v>117</v>
      </c>
      <c r="D152" s="21">
        <v>226660569.31</v>
      </c>
      <c r="E152" s="21">
        <v>5239408.2</v>
      </c>
      <c r="F152" s="21">
        <v>13755590.57</v>
      </c>
      <c r="G152" s="95">
        <v>2319258.41</v>
      </c>
      <c r="H152" s="20">
        <f t="shared" si="87"/>
        <v>16675740.359999999</v>
      </c>
      <c r="I152" s="159">
        <v>228647519.49000001</v>
      </c>
      <c r="J152" s="22">
        <f t="shared" si="93"/>
        <v>4.6901621422318724E-3</v>
      </c>
      <c r="K152" s="26">
        <v>222188853</v>
      </c>
      <c r="L152" s="22">
        <f t="shared" si="94"/>
        <v>4.626874146810284E-3</v>
      </c>
      <c r="M152" s="22">
        <f t="shared" si="95"/>
        <v>-2.8247262443109433E-2</v>
      </c>
      <c r="N152" s="23">
        <f t="shared" si="96"/>
        <v>1.0438230265313986E-2</v>
      </c>
      <c r="O152" s="24">
        <f t="shared" si="97"/>
        <v>7.5052101556147818E-2</v>
      </c>
      <c r="P152" s="25">
        <f t="shared" si="98"/>
        <v>192.85191498626386</v>
      </c>
      <c r="Q152" s="25">
        <f t="shared" si="99"/>
        <v>14.473941508846661</v>
      </c>
      <c r="R152" s="26">
        <v>192.85159999999999</v>
      </c>
      <c r="S152" s="26">
        <v>196.7329</v>
      </c>
      <c r="T152" s="27">
        <v>139</v>
      </c>
      <c r="U152" s="122">
        <v>1152123.58</v>
      </c>
      <c r="V152" s="122">
        <v>1152121.58</v>
      </c>
    </row>
    <row r="153" spans="1:22">
      <c r="A153" s="17">
        <v>131</v>
      </c>
      <c r="B153" s="18" t="s">
        <v>180</v>
      </c>
      <c r="C153" s="28" t="s">
        <v>31</v>
      </c>
      <c r="D153" s="21">
        <v>1780826911.05</v>
      </c>
      <c r="E153" s="38">
        <v>32312127.760000002</v>
      </c>
      <c r="F153" s="38">
        <v>49469619.350000001</v>
      </c>
      <c r="G153" s="26">
        <v>3719130.58</v>
      </c>
      <c r="H153" s="20">
        <f t="shared" si="87"/>
        <v>78062616.530000001</v>
      </c>
      <c r="I153" s="158">
        <v>1657441016.0799999</v>
      </c>
      <c r="J153" s="22">
        <f t="shared" si="93"/>
        <v>3.399847557471853E-2</v>
      </c>
      <c r="K153" s="30">
        <v>1738889350.8</v>
      </c>
      <c r="L153" s="22">
        <f t="shared" si="94"/>
        <v>3.6210737274836369E-2</v>
      </c>
      <c r="M153" s="22">
        <f t="shared" si="95"/>
        <v>4.9141015535281496E-2</v>
      </c>
      <c r="N153" s="23">
        <f t="shared" si="96"/>
        <v>2.138796570517246E-3</v>
      </c>
      <c r="O153" s="24">
        <f t="shared" si="97"/>
        <v>4.4892227613037149E-2</v>
      </c>
      <c r="P153" s="25">
        <f t="shared" si="98"/>
        <v>2331.1071128091694</v>
      </c>
      <c r="Q153" s="25">
        <f t="shared" si="99"/>
        <v>104.6485910985991</v>
      </c>
      <c r="R153" s="26">
        <v>552.20000000000005</v>
      </c>
      <c r="S153" s="26">
        <v>552.20000000000005</v>
      </c>
      <c r="T153" s="27">
        <v>823</v>
      </c>
      <c r="U153" s="83">
        <v>745950</v>
      </c>
      <c r="V153" s="27">
        <v>745950</v>
      </c>
    </row>
    <row r="154" spans="1:22">
      <c r="A154" s="17">
        <v>132</v>
      </c>
      <c r="B154" s="18" t="s">
        <v>181</v>
      </c>
      <c r="C154" s="28" t="s">
        <v>86</v>
      </c>
      <c r="D154" s="30">
        <v>26553650.030000001</v>
      </c>
      <c r="E154" s="21">
        <v>283244.33</v>
      </c>
      <c r="F154" s="21">
        <v>457899</v>
      </c>
      <c r="G154" s="26">
        <v>9718.07</v>
      </c>
      <c r="H154" s="20">
        <f t="shared" si="87"/>
        <v>731425.26000000013</v>
      </c>
      <c r="I154" s="159">
        <v>25653655.379999999</v>
      </c>
      <c r="J154" s="22">
        <f t="shared" si="93"/>
        <v>5.2622396053765737E-4</v>
      </c>
      <c r="K154" s="26">
        <v>26769309.07</v>
      </c>
      <c r="L154" s="22">
        <f t="shared" si="94"/>
        <v>5.5744571517256565E-4</v>
      </c>
      <c r="M154" s="22">
        <f t="shared" si="95"/>
        <v>4.3489072940060734E-2</v>
      </c>
      <c r="N154" s="23">
        <f t="shared" si="96"/>
        <v>3.6303028870068627E-4</v>
      </c>
      <c r="O154" s="24">
        <f t="shared" si="97"/>
        <v>2.7323277492421291E-2</v>
      </c>
      <c r="P154" s="25">
        <f t="shared" si="98"/>
        <v>1.6820170319572056</v>
      </c>
      <c r="Q154" s="25">
        <f t="shared" si="99"/>
        <v>4.5958218111145581E-2</v>
      </c>
      <c r="R154" s="26">
        <v>1.68</v>
      </c>
      <c r="S154" s="26">
        <v>1.68</v>
      </c>
      <c r="T154" s="27">
        <v>8</v>
      </c>
      <c r="U154" s="30">
        <v>15691720.43</v>
      </c>
      <c r="V154" s="30">
        <v>15915004.76</v>
      </c>
    </row>
    <row r="155" spans="1:22">
      <c r="A155" s="17">
        <v>133</v>
      </c>
      <c r="B155" s="28" t="s">
        <v>182</v>
      </c>
      <c r="C155" s="28" t="s">
        <v>41</v>
      </c>
      <c r="D155" s="21">
        <v>271045907.38</v>
      </c>
      <c r="E155" s="21">
        <v>3488238.51</v>
      </c>
      <c r="F155" s="21">
        <v>87366999.280000001</v>
      </c>
      <c r="G155" s="123">
        <v>407461.39</v>
      </c>
      <c r="H155" s="20">
        <f t="shared" si="87"/>
        <v>90447776.400000006</v>
      </c>
      <c r="I155" s="159">
        <v>264531243.12</v>
      </c>
      <c r="J155" s="22">
        <f t="shared" si="93"/>
        <v>5.4262317154646494E-3</v>
      </c>
      <c r="K155" s="26">
        <v>274434502.29000002</v>
      </c>
      <c r="L155" s="22">
        <f t="shared" si="94"/>
        <v>5.7148407154266594E-3</v>
      </c>
      <c r="M155" s="22">
        <f t="shared" si="95"/>
        <v>3.7437011421397867E-2</v>
      </c>
      <c r="N155" s="23">
        <f t="shared" si="96"/>
        <v>1.4847309161201167E-3</v>
      </c>
      <c r="O155" s="24">
        <f t="shared" si="97"/>
        <v>0.32957873607459959</v>
      </c>
      <c r="P155" s="25">
        <f t="shared" si="98"/>
        <v>2.7951719289197006</v>
      </c>
      <c r="Q155" s="25">
        <f t="shared" si="99"/>
        <v>0.92122923144455537</v>
      </c>
      <c r="R155" s="26">
        <v>2.6</v>
      </c>
      <c r="S155" s="26">
        <v>2.64</v>
      </c>
      <c r="T155" s="27">
        <v>118</v>
      </c>
      <c r="U155" s="27">
        <v>98648181.900000006</v>
      </c>
      <c r="V155" s="27">
        <v>98181617.900000006</v>
      </c>
    </row>
    <row r="156" spans="1:22">
      <c r="A156" s="17">
        <v>134</v>
      </c>
      <c r="B156" s="18" t="s">
        <v>183</v>
      </c>
      <c r="C156" s="18" t="s">
        <v>45</v>
      </c>
      <c r="D156" s="30">
        <v>2642150538.8800001</v>
      </c>
      <c r="E156" s="30">
        <v>40821905.329999998</v>
      </c>
      <c r="F156" s="30">
        <v>66892549.32</v>
      </c>
      <c r="G156" s="30">
        <v>5646097.0800000001</v>
      </c>
      <c r="H156" s="20">
        <f t="shared" si="87"/>
        <v>102068357.57000001</v>
      </c>
      <c r="I156" s="158">
        <v>2631311812.1900001</v>
      </c>
      <c r="J156" s="22">
        <f t="shared" si="93"/>
        <v>5.3975127626437393E-2</v>
      </c>
      <c r="K156" s="30">
        <v>2707168239.0500002</v>
      </c>
      <c r="L156" s="22">
        <f t="shared" si="94"/>
        <v>5.6374235553240684E-2</v>
      </c>
      <c r="M156" s="22">
        <f t="shared" ref="M156:M162" si="100">((K156-I156)/I156)</f>
        <v>2.8828368613929494E-2</v>
      </c>
      <c r="N156" s="23">
        <f t="shared" ref="N156:N162" si="101">(G156/K156)</f>
        <v>2.0856099737566842E-3</v>
      </c>
      <c r="O156" s="24">
        <f t="shared" ref="O156:O162" si="102">H156/K156</f>
        <v>3.7702997581641931E-2</v>
      </c>
      <c r="P156" s="25">
        <f t="shared" ref="P156:P162" si="103">K156/V156</f>
        <v>5658.8647380843204</v>
      </c>
      <c r="Q156" s="25">
        <f t="shared" ref="Q156:Q162" si="104">H156/V156</f>
        <v>213.35616353483195</v>
      </c>
      <c r="R156" s="30">
        <v>5625.68</v>
      </c>
      <c r="S156" s="30">
        <v>5681.61</v>
      </c>
      <c r="T156" s="106">
        <v>2231</v>
      </c>
      <c r="U156" s="30">
        <v>486245.97</v>
      </c>
      <c r="V156" s="30">
        <v>478394.23</v>
      </c>
    </row>
    <row r="157" spans="1:22">
      <c r="A157" s="17">
        <v>135</v>
      </c>
      <c r="B157" s="32" t="s">
        <v>219</v>
      </c>
      <c r="C157" s="32" t="s">
        <v>220</v>
      </c>
      <c r="D157" s="30">
        <v>660566207.76999998</v>
      </c>
      <c r="E157" s="30">
        <v>9446476.5</v>
      </c>
      <c r="F157" s="30">
        <v>0</v>
      </c>
      <c r="G157" s="30">
        <v>1319758.48</v>
      </c>
      <c r="H157" s="20">
        <f t="shared" si="87"/>
        <v>8126718.0199999996</v>
      </c>
      <c r="I157" s="158">
        <v>646546486.76999998</v>
      </c>
      <c r="J157" s="22">
        <f t="shared" si="93"/>
        <v>1.3262369354390909E-2</v>
      </c>
      <c r="K157" s="30">
        <v>653881846.35000002</v>
      </c>
      <c r="L157" s="22">
        <f t="shared" si="94"/>
        <v>1.3616475215097266E-2</v>
      </c>
      <c r="M157" s="22">
        <f t="shared" si="100"/>
        <v>1.1345448053775438E-2</v>
      </c>
      <c r="N157" s="23">
        <f t="shared" si="101"/>
        <v>2.0183439674414504E-3</v>
      </c>
      <c r="O157" s="24">
        <f t="shared" si="102"/>
        <v>1.2428419699007903E-2</v>
      </c>
      <c r="P157" s="25">
        <f t="shared" si="103"/>
        <v>1.2529027905977885</v>
      </c>
      <c r="Q157" s="25">
        <f t="shared" si="104"/>
        <v>1.5571601723607531E-2</v>
      </c>
      <c r="R157" s="30">
        <v>1.2529999999999999</v>
      </c>
      <c r="S157" s="30">
        <v>1.2529999999999999</v>
      </c>
      <c r="T157" s="106">
        <v>38</v>
      </c>
      <c r="U157" s="30">
        <v>521893519</v>
      </c>
      <c r="V157" s="30">
        <v>521893519</v>
      </c>
    </row>
    <row r="158" spans="1:22">
      <c r="A158" s="17">
        <v>136</v>
      </c>
      <c r="B158" s="18" t="s">
        <v>184</v>
      </c>
      <c r="C158" s="18" t="s">
        <v>49</v>
      </c>
      <c r="D158" s="21">
        <v>1172775998</v>
      </c>
      <c r="E158" s="21">
        <v>13820545</v>
      </c>
      <c r="F158" s="21">
        <v>41409210</v>
      </c>
      <c r="G158" s="21">
        <v>2926172</v>
      </c>
      <c r="H158" s="20">
        <f t="shared" si="87"/>
        <v>52303583</v>
      </c>
      <c r="I158" s="159">
        <v>1685047064.04</v>
      </c>
      <c r="J158" s="22">
        <f t="shared" si="93"/>
        <v>3.4564748243354641E-2</v>
      </c>
      <c r="K158" s="26">
        <v>1743641952.4300001</v>
      </c>
      <c r="L158" s="22">
        <f t="shared" si="94"/>
        <v>3.6309705739343161E-2</v>
      </c>
      <c r="M158" s="22">
        <f t="shared" si="100"/>
        <v>3.4773443211440873E-2</v>
      </c>
      <c r="N158" s="23">
        <f t="shared" si="101"/>
        <v>1.6781954551632488E-3</v>
      </c>
      <c r="O158" s="24">
        <f t="shared" si="102"/>
        <v>2.9996744989479008E-2</v>
      </c>
      <c r="P158" s="25">
        <f t="shared" si="103"/>
        <v>1.6412448781491691</v>
      </c>
      <c r="Q158" s="25">
        <f t="shared" si="104"/>
        <v>4.923200407512917E-2</v>
      </c>
      <c r="R158" s="26">
        <v>1.64</v>
      </c>
      <c r="S158" s="26">
        <v>1.65</v>
      </c>
      <c r="T158" s="27">
        <v>1392</v>
      </c>
      <c r="U158" s="26">
        <v>884978536</v>
      </c>
      <c r="V158" s="26">
        <v>1062389882</v>
      </c>
    </row>
    <row r="159" spans="1:22">
      <c r="A159" s="17">
        <v>137</v>
      </c>
      <c r="B159" s="71" t="s">
        <v>185</v>
      </c>
      <c r="C159" s="18" t="s">
        <v>93</v>
      </c>
      <c r="D159" s="48">
        <v>7410540361.5699997</v>
      </c>
      <c r="E159" s="38">
        <v>55616670.549999997</v>
      </c>
      <c r="F159" s="38">
        <v>518684014.19</v>
      </c>
      <c r="G159" s="38">
        <v>11387596.65</v>
      </c>
      <c r="H159" s="20">
        <f t="shared" si="87"/>
        <v>562913088.09000003</v>
      </c>
      <c r="I159" s="160">
        <v>8191385240.0500002</v>
      </c>
      <c r="J159" s="22">
        <f t="shared" si="93"/>
        <v>0.16802686086869933</v>
      </c>
      <c r="K159" s="38">
        <v>8754379344.3500004</v>
      </c>
      <c r="L159" s="22">
        <f t="shared" si="94"/>
        <v>0.18230172626951263</v>
      </c>
      <c r="M159" s="22">
        <f t="shared" si="100"/>
        <v>6.8730024019302949E-2</v>
      </c>
      <c r="N159" s="23">
        <f t="shared" si="101"/>
        <v>1.300788577016537E-3</v>
      </c>
      <c r="O159" s="24">
        <f t="shared" si="102"/>
        <v>6.4300742056979651E-2</v>
      </c>
      <c r="P159" s="25">
        <f t="shared" si="103"/>
        <v>479.05152278262904</v>
      </c>
      <c r="Q159" s="25">
        <f t="shared" si="104"/>
        <v>30.803368398449141</v>
      </c>
      <c r="R159" s="26">
        <v>475.77</v>
      </c>
      <c r="S159" s="26">
        <v>480.76</v>
      </c>
      <c r="T159" s="27">
        <v>32</v>
      </c>
      <c r="U159" s="38">
        <v>18274400.41</v>
      </c>
      <c r="V159" s="38">
        <v>18274400.41</v>
      </c>
    </row>
    <row r="160" spans="1:22">
      <c r="A160" s="17">
        <v>138</v>
      </c>
      <c r="B160" s="18" t="s">
        <v>186</v>
      </c>
      <c r="C160" s="18" t="s">
        <v>49</v>
      </c>
      <c r="D160" s="38">
        <v>449786541.33999997</v>
      </c>
      <c r="E160" s="38">
        <v>17220299.149999999</v>
      </c>
      <c r="F160" s="38">
        <v>12499006.800000001</v>
      </c>
      <c r="G160" s="124">
        <v>1735733</v>
      </c>
      <c r="H160" s="20">
        <f t="shared" si="87"/>
        <v>27983572.949999999</v>
      </c>
      <c r="I160" s="160">
        <v>1034904819</v>
      </c>
      <c r="J160" s="22">
        <f t="shared" si="93"/>
        <v>2.1228620427257313E-2</v>
      </c>
      <c r="K160" s="38">
        <v>1044764920</v>
      </c>
      <c r="L160" s="22">
        <f t="shared" si="94"/>
        <v>2.1756248041130643E-2</v>
      </c>
      <c r="M160" s="22">
        <f t="shared" si="100"/>
        <v>9.5275438078716683E-3</v>
      </c>
      <c r="N160" s="23">
        <f t="shared" si="101"/>
        <v>1.6613622517111313E-3</v>
      </c>
      <c r="O160" s="24">
        <f t="shared" si="102"/>
        <v>2.6784564081650062E-2</v>
      </c>
      <c r="P160" s="25">
        <f t="shared" si="103"/>
        <v>1.3605893074759621</v>
      </c>
      <c r="Q160" s="25">
        <f t="shared" si="104"/>
        <v>3.6442791494897785E-2</v>
      </c>
      <c r="R160" s="26">
        <v>1.36</v>
      </c>
      <c r="S160" s="26">
        <v>1.37</v>
      </c>
      <c r="T160" s="27">
        <v>210</v>
      </c>
      <c r="U160" s="26">
        <v>654049866</v>
      </c>
      <c r="V160" s="26">
        <v>767876768</v>
      </c>
    </row>
    <row r="161" spans="1:22">
      <c r="A161" s="17">
        <v>139</v>
      </c>
      <c r="B161" s="18" t="s">
        <v>187</v>
      </c>
      <c r="C161" s="18" t="s">
        <v>43</v>
      </c>
      <c r="D161" s="21">
        <v>451154865.05000001</v>
      </c>
      <c r="E161" s="21">
        <v>2330660.5</v>
      </c>
      <c r="F161" s="21">
        <v>14926228.33</v>
      </c>
      <c r="G161" s="26">
        <v>912235.49</v>
      </c>
      <c r="H161" s="20">
        <f t="shared" si="87"/>
        <v>16344653.339999998</v>
      </c>
      <c r="I161" s="159">
        <v>431065222.5</v>
      </c>
      <c r="J161" s="22">
        <f t="shared" si="93"/>
        <v>8.8422817440216381E-3</v>
      </c>
      <c r="K161" s="26">
        <v>448144697.27999997</v>
      </c>
      <c r="L161" s="22">
        <f t="shared" si="94"/>
        <v>9.3321923484386178E-3</v>
      </c>
      <c r="M161" s="22">
        <f t="shared" si="100"/>
        <v>3.9621555830799994E-2</v>
      </c>
      <c r="N161" s="23">
        <f t="shared" si="101"/>
        <v>2.0355824704315021E-3</v>
      </c>
      <c r="O161" s="24">
        <f t="shared" si="102"/>
        <v>3.6471821354137075E-2</v>
      </c>
      <c r="P161" s="25">
        <f t="shared" si="103"/>
        <v>234.76323143638135</v>
      </c>
      <c r="Q161" s="25">
        <f t="shared" si="104"/>
        <v>8.5622426374676373</v>
      </c>
      <c r="R161" s="26">
        <v>180</v>
      </c>
      <c r="S161" s="26">
        <v>185.65</v>
      </c>
      <c r="T161" s="27">
        <v>747</v>
      </c>
      <c r="U161" s="27">
        <v>1908794</v>
      </c>
      <c r="V161" s="27">
        <v>1908922</v>
      </c>
    </row>
    <row r="162" spans="1:22">
      <c r="A162" s="17">
        <v>140</v>
      </c>
      <c r="B162" s="18" t="s">
        <v>188</v>
      </c>
      <c r="C162" s="18" t="s">
        <v>97</v>
      </c>
      <c r="D162" s="26">
        <v>3595107784.1900001</v>
      </c>
      <c r="E162" s="38">
        <v>20766672.02</v>
      </c>
      <c r="F162" s="38">
        <v>89182417.900000006</v>
      </c>
      <c r="G162" s="48">
        <v>30229330.530000001</v>
      </c>
      <c r="H162" s="20">
        <f t="shared" si="87"/>
        <v>79719759.390000001</v>
      </c>
      <c r="I162" s="158">
        <v>3488171505.9099998</v>
      </c>
      <c r="J162" s="22">
        <f t="shared" si="93"/>
        <v>7.1551574139629093E-2</v>
      </c>
      <c r="K162" s="30">
        <v>3594239854.1300001</v>
      </c>
      <c r="L162" s="22">
        <f t="shared" si="94"/>
        <v>7.4846668651326373E-2</v>
      </c>
      <c r="M162" s="22">
        <f t="shared" si="100"/>
        <v>3.0408008333388695E-2</v>
      </c>
      <c r="N162" s="23">
        <f t="shared" si="101"/>
        <v>8.4104933885435218E-3</v>
      </c>
      <c r="O162" s="24">
        <f t="shared" si="102"/>
        <v>2.2179866293118182E-2</v>
      </c>
      <c r="P162" s="25">
        <f t="shared" si="103"/>
        <v>20.316234720368623</v>
      </c>
      <c r="Q162" s="25">
        <f t="shared" si="104"/>
        <v>0.4506113696773813</v>
      </c>
      <c r="R162" s="38">
        <v>20.316299999999998</v>
      </c>
      <c r="S162" s="38">
        <v>20.554099999999998</v>
      </c>
      <c r="T162" s="83">
        <v>6244</v>
      </c>
      <c r="U162" s="48">
        <v>177454619.44999999</v>
      </c>
      <c r="V162" s="48">
        <v>176914664.72999999</v>
      </c>
    </row>
    <row r="163" spans="1:22" ht="15" customHeight="1">
      <c r="A163" s="201" t="s">
        <v>50</v>
      </c>
      <c r="B163" s="201"/>
      <c r="C163" s="201"/>
      <c r="D163" s="201"/>
      <c r="E163" s="201"/>
      <c r="F163" s="201"/>
      <c r="G163" s="201"/>
      <c r="H163" s="201"/>
      <c r="I163" s="74">
        <f>SUM(I136:I162)</f>
        <v>48750450955.880005</v>
      </c>
      <c r="J163" s="54">
        <f>(I163/$I$192)</f>
        <v>1.6839737655156162E-2</v>
      </c>
      <c r="K163" s="74">
        <f>SUM(K136:K162)</f>
        <v>48021373815.229996</v>
      </c>
      <c r="L163" s="54">
        <f>(K163/$K$192)</f>
        <v>1.6222455784897151E-2</v>
      </c>
      <c r="M163" s="75">
        <f t="shared" ref="M163" si="105">((K163-I163)/I163)</f>
        <v>-1.4955290184081302E-2</v>
      </c>
      <c r="N163" s="76"/>
      <c r="O163" s="77"/>
      <c r="P163" s="107"/>
      <c r="Q163" s="107"/>
      <c r="R163" s="74"/>
      <c r="S163" s="74"/>
      <c r="T163" s="79">
        <f>SUM(T136:T162)</f>
        <v>66540</v>
      </c>
      <c r="U163" s="79"/>
      <c r="V163" s="125"/>
    </row>
    <row r="164" spans="1:22" ht="6" customHeight="1">
      <c r="A164" s="202"/>
      <c r="B164" s="202"/>
      <c r="C164" s="202"/>
      <c r="D164" s="202"/>
      <c r="E164" s="202"/>
      <c r="F164" s="202"/>
      <c r="G164" s="202"/>
      <c r="H164" s="202"/>
      <c r="I164" s="202"/>
      <c r="J164" s="202"/>
      <c r="K164" s="202"/>
      <c r="L164" s="202"/>
      <c r="M164" s="202"/>
      <c r="N164" s="202"/>
      <c r="O164" s="202"/>
      <c r="P164" s="202"/>
      <c r="Q164" s="202"/>
      <c r="R164" s="202"/>
      <c r="S164" s="202"/>
      <c r="T164" s="202"/>
      <c r="U164" s="202"/>
      <c r="V164" s="202"/>
    </row>
    <row r="165" spans="1:22">
      <c r="A165" s="195" t="s">
        <v>189</v>
      </c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5"/>
      <c r="Q165" s="195"/>
      <c r="R165" s="195"/>
      <c r="S165" s="195"/>
      <c r="T165" s="195"/>
      <c r="U165" s="195"/>
      <c r="V165" s="195"/>
    </row>
    <row r="166" spans="1:22">
      <c r="A166" s="17">
        <v>141</v>
      </c>
      <c r="B166" s="28" t="s">
        <v>190</v>
      </c>
      <c r="C166" s="28" t="s">
        <v>25</v>
      </c>
      <c r="D166" s="26">
        <v>686414005.66999996</v>
      </c>
      <c r="E166" s="26">
        <v>6972627.25</v>
      </c>
      <c r="F166" s="26">
        <v>2706669.91</v>
      </c>
      <c r="G166" s="19">
        <v>1405350.8</v>
      </c>
      <c r="H166" s="20">
        <f t="shared" ref="H166:H168" si="106">(E166+F166)-G166</f>
        <v>8273946.3600000003</v>
      </c>
      <c r="I166" s="159">
        <v>933027864</v>
      </c>
      <c r="J166" s="22">
        <f>(I166/$I$169)</f>
        <v>0.19022279724062482</v>
      </c>
      <c r="K166" s="26">
        <v>938414864</v>
      </c>
      <c r="L166" s="22">
        <f>(K166/$K$169)</f>
        <v>0.18096137602976056</v>
      </c>
      <c r="M166" s="22">
        <f t="shared" ref="M166" si="107">((K166-I166)/I166)</f>
        <v>5.7736753722501906E-3</v>
      </c>
      <c r="N166" s="23">
        <f t="shared" ref="N166" si="108">(G166/K166)</f>
        <v>1.4975794330555276E-3</v>
      </c>
      <c r="O166" s="24">
        <f t="shared" ref="O166" si="109">H166/K166</f>
        <v>8.8169387308426102E-3</v>
      </c>
      <c r="P166" s="25">
        <f t="shared" ref="P166" si="110">K166/V166</f>
        <v>65.566859914891594</v>
      </c>
      <c r="Q166" s="25">
        <f t="shared" ref="Q166" si="111">H166/V166</f>
        <v>0.57809898664333947</v>
      </c>
      <c r="R166" s="26">
        <v>65.239099999999993</v>
      </c>
      <c r="S166" s="26">
        <v>67.206100000000006</v>
      </c>
      <c r="T166" s="27">
        <v>1558</v>
      </c>
      <c r="U166" s="27">
        <v>14357358</v>
      </c>
      <c r="V166" s="27">
        <v>14312335</v>
      </c>
    </row>
    <row r="167" spans="1:22">
      <c r="A167" s="17">
        <v>142</v>
      </c>
      <c r="B167" s="28" t="s">
        <v>191</v>
      </c>
      <c r="C167" s="18" t="s">
        <v>45</v>
      </c>
      <c r="D167" s="30">
        <v>3388889808.1599998</v>
      </c>
      <c r="E167" s="42">
        <v>25934630.379999999</v>
      </c>
      <c r="F167" s="42">
        <v>178994106.66</v>
      </c>
      <c r="G167" s="48">
        <v>10182480.220000001</v>
      </c>
      <c r="H167" s="20">
        <f t="shared" si="106"/>
        <v>194746256.81999999</v>
      </c>
      <c r="I167" s="158">
        <v>3179121064.2600002</v>
      </c>
      <c r="J167" s="22">
        <f t="shared" ref="J167:J168" si="112">(I167/$I$169)</f>
        <v>0.64814924070705937</v>
      </c>
      <c r="K167" s="30">
        <v>3398639776.3699999</v>
      </c>
      <c r="L167" s="22">
        <f t="shared" ref="L167:L168" si="113">(K167/$K$169)</f>
        <v>0.65538447242817</v>
      </c>
      <c r="M167" s="22">
        <f t="shared" ref="M167:M168" si="114">((K167-I167)/I167)</f>
        <v>6.9050126645962356E-2</v>
      </c>
      <c r="N167" s="23">
        <f t="shared" ref="N167:N168" si="115">(G167/K167)</f>
        <v>2.9960457388854686E-3</v>
      </c>
      <c r="O167" s="24">
        <f t="shared" ref="O167:O168" si="116">H167/K167</f>
        <v>5.730123509235318E-2</v>
      </c>
      <c r="P167" s="25">
        <f t="shared" ref="P167:P168" si="117">K167/V167</f>
        <v>2.460628100947492</v>
      </c>
      <c r="Q167" s="25">
        <f t="shared" ref="Q167:Q168" si="118">H167/V167</f>
        <v>0.14099702928724278</v>
      </c>
      <c r="R167" s="26">
        <v>2.44</v>
      </c>
      <c r="S167" s="26">
        <v>2.4700000000000002</v>
      </c>
      <c r="T167" s="27">
        <v>10099</v>
      </c>
      <c r="U167" s="30">
        <v>1384048941.8900001</v>
      </c>
      <c r="V167" s="30">
        <v>1381208226.9000001</v>
      </c>
    </row>
    <row r="168" spans="1:22">
      <c r="A168" s="17">
        <v>143</v>
      </c>
      <c r="B168" s="28" t="s">
        <v>192</v>
      </c>
      <c r="C168" s="18" t="s">
        <v>97</v>
      </c>
      <c r="D168" s="38">
        <v>835087851.49000001</v>
      </c>
      <c r="E168" s="38">
        <v>5605714.1299999999</v>
      </c>
      <c r="F168" s="38">
        <v>43329094.799999997</v>
      </c>
      <c r="G168" s="89">
        <v>6521756.4299999997</v>
      </c>
      <c r="H168" s="20">
        <f t="shared" si="106"/>
        <v>42413052.5</v>
      </c>
      <c r="I168" s="160">
        <v>792772445.70000005</v>
      </c>
      <c r="J168" s="22">
        <f t="shared" si="112"/>
        <v>0.16162796205231589</v>
      </c>
      <c r="K168" s="38">
        <v>848664459.40999997</v>
      </c>
      <c r="L168" s="22">
        <f t="shared" si="113"/>
        <v>0.16365415154206944</v>
      </c>
      <c r="M168" s="22">
        <f t="shared" si="114"/>
        <v>7.050196309566302E-2</v>
      </c>
      <c r="N168" s="23">
        <f t="shared" si="115"/>
        <v>7.6847290559734173E-3</v>
      </c>
      <c r="O168" s="24">
        <f t="shared" si="116"/>
        <v>4.9976232690934153E-2</v>
      </c>
      <c r="P168" s="25">
        <f t="shared" si="117"/>
        <v>24.163014978633097</v>
      </c>
      <c r="Q168" s="25">
        <f t="shared" si="118"/>
        <v>1.2075764590866951</v>
      </c>
      <c r="R168" s="38">
        <v>24.1631</v>
      </c>
      <c r="S168" s="38">
        <v>24.378699999999998</v>
      </c>
      <c r="T168" s="126">
        <v>1494</v>
      </c>
      <c r="U168" s="38">
        <v>35137838.140000001</v>
      </c>
      <c r="V168" s="38">
        <v>35122457.200000003</v>
      </c>
    </row>
    <row r="169" spans="1:22" ht="15" customHeight="1">
      <c r="A169" s="201" t="s">
        <v>50</v>
      </c>
      <c r="B169" s="201"/>
      <c r="C169" s="201"/>
      <c r="D169" s="201"/>
      <c r="E169" s="201"/>
      <c r="F169" s="201"/>
      <c r="G169" s="201"/>
      <c r="H169" s="201"/>
      <c r="I169" s="74">
        <f>SUM(I166:I168)</f>
        <v>4904921373.96</v>
      </c>
      <c r="J169" s="54">
        <f>(I169/$I$192)</f>
        <v>1.6942938483052547E-3</v>
      </c>
      <c r="K169" s="74">
        <f>SUM(K166:K168)</f>
        <v>5185719099.7799997</v>
      </c>
      <c r="L169" s="54">
        <f>(K169/$K$192)</f>
        <v>1.7518261583427959E-3</v>
      </c>
      <c r="M169" s="75">
        <f>((K169-I169)/I169)</f>
        <v>5.7248160451815147E-2</v>
      </c>
      <c r="N169" s="64"/>
      <c r="O169" s="127"/>
      <c r="P169" s="107"/>
      <c r="Q169" s="107"/>
      <c r="R169" s="74"/>
      <c r="S169" s="74"/>
      <c r="T169" s="79">
        <f>SUM(T166:T168)</f>
        <v>13151</v>
      </c>
      <c r="U169" s="79"/>
      <c r="V169" s="125"/>
    </row>
    <row r="170" spans="1:22" ht="8.1" customHeight="1">
      <c r="A170" s="194"/>
      <c r="B170" s="194"/>
      <c r="C170" s="194"/>
      <c r="D170" s="194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  <c r="P170" s="194"/>
      <c r="Q170" s="194"/>
      <c r="R170" s="194"/>
      <c r="S170" s="194"/>
      <c r="T170" s="194"/>
      <c r="U170" s="194"/>
      <c r="V170" s="194"/>
    </row>
    <row r="171" spans="1:22">
      <c r="A171" s="195" t="s">
        <v>193</v>
      </c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5"/>
      <c r="M171" s="195"/>
      <c r="N171" s="195"/>
      <c r="O171" s="195"/>
      <c r="P171" s="195"/>
      <c r="Q171" s="195"/>
      <c r="R171" s="195"/>
      <c r="S171" s="195"/>
      <c r="T171" s="195"/>
      <c r="U171" s="195"/>
      <c r="V171" s="195"/>
    </row>
    <row r="172" spans="1:22" ht="12.9" customHeight="1">
      <c r="A172" s="196" t="s">
        <v>194</v>
      </c>
      <c r="B172" s="196"/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</row>
    <row r="173" spans="1:22" ht="15" customHeight="1">
      <c r="A173" s="17">
        <v>144</v>
      </c>
      <c r="B173" s="28" t="s">
        <v>195</v>
      </c>
      <c r="C173" s="18" t="s">
        <v>120</v>
      </c>
      <c r="D173" s="128">
        <v>951946778.73000002</v>
      </c>
      <c r="E173" s="21">
        <v>10159332.16</v>
      </c>
      <c r="F173" s="21">
        <v>6140932.2400000002</v>
      </c>
      <c r="G173" s="35">
        <v>2189687.5499999998</v>
      </c>
      <c r="H173" s="20">
        <f t="shared" ref="H173:H174" si="119">(E173+F173)-G173</f>
        <v>14110576.850000001</v>
      </c>
      <c r="I173" s="157">
        <v>4136915248.96</v>
      </c>
      <c r="J173" s="22">
        <f>(I173/$I$191)</f>
        <v>8.0734433424667046E-2</v>
      </c>
      <c r="K173" s="21">
        <v>1017056633.17</v>
      </c>
      <c r="L173" s="22">
        <f>(K173/$K$191)</f>
        <v>2.1755321236705965E-2</v>
      </c>
      <c r="M173" s="22">
        <f t="shared" ref="M173" si="120">((K173-I173)/I173)</f>
        <v>-0.75415096225969747</v>
      </c>
      <c r="N173" s="23">
        <f t="shared" ref="N173" si="121">(G173/K173)</f>
        <v>2.1529652121486101E-3</v>
      </c>
      <c r="O173" s="24">
        <f t="shared" ref="O173" si="122">H173/K173</f>
        <v>1.3873934242992577E-2</v>
      </c>
      <c r="P173" s="25">
        <f t="shared" ref="P173" si="123">K173/V173</f>
        <v>30.4507974002994</v>
      </c>
      <c r="Q173" s="25">
        <f t="shared" ref="Q173" si="124">H173/V173</f>
        <v>0.42247236077844313</v>
      </c>
      <c r="R173" s="21">
        <v>28.93</v>
      </c>
      <c r="S173" s="21">
        <v>31.97</v>
      </c>
      <c r="T173" s="129">
        <v>210</v>
      </c>
      <c r="U173" s="27">
        <v>33400000</v>
      </c>
      <c r="V173" s="27">
        <v>33400000</v>
      </c>
    </row>
    <row r="174" spans="1:22">
      <c r="A174" s="17">
        <v>145</v>
      </c>
      <c r="B174" s="18" t="s">
        <v>196</v>
      </c>
      <c r="C174" s="18" t="s">
        <v>45</v>
      </c>
      <c r="D174" s="30">
        <v>651420217.04999995</v>
      </c>
      <c r="E174" s="30">
        <v>1909677.42</v>
      </c>
      <c r="F174" s="30">
        <v>7428005.5499999998</v>
      </c>
      <c r="G174" s="30">
        <v>1595652.06</v>
      </c>
      <c r="H174" s="20">
        <f t="shared" si="119"/>
        <v>7742030.9099999983</v>
      </c>
      <c r="I174" s="158">
        <v>678041695.88999999</v>
      </c>
      <c r="J174" s="22">
        <f>(I174/$I$191)</f>
        <v>1.3232398746805664E-2</v>
      </c>
      <c r="K174" s="30">
        <v>657070238.10000002</v>
      </c>
      <c r="L174" s="22">
        <f>(K174/$K$191)</f>
        <v>1.4055042402496203E-2</v>
      </c>
      <c r="M174" s="22">
        <f t="shared" ref="M174" si="125">((K174-I174)/I174)</f>
        <v>-3.092945156193197E-2</v>
      </c>
      <c r="N174" s="23">
        <f t="shared" ref="N174" si="126">(G174/K174)</f>
        <v>2.4284345378570572E-3</v>
      </c>
      <c r="O174" s="24">
        <f t="shared" ref="O174" si="127">H174/K174</f>
        <v>1.1782653453285359E-2</v>
      </c>
      <c r="P174" s="25">
        <f t="shared" ref="P174" si="128">K174/V174</f>
        <v>440.26006558088295</v>
      </c>
      <c r="Q174" s="25">
        <f t="shared" ref="Q174" si="129">H174/V174</f>
        <v>5.1874317820602291</v>
      </c>
      <c r="R174" s="26">
        <v>436.8</v>
      </c>
      <c r="S174" s="26">
        <v>442.63</v>
      </c>
      <c r="T174" s="31">
        <v>829</v>
      </c>
      <c r="U174" s="30">
        <v>1560222.85</v>
      </c>
      <c r="V174" s="30">
        <v>1492459.32</v>
      </c>
    </row>
    <row r="175" spans="1:22" ht="6.9" customHeight="1">
      <c r="A175" s="194"/>
      <c r="B175" s="194"/>
      <c r="C175" s="194"/>
      <c r="D175" s="194"/>
      <c r="E175" s="194"/>
      <c r="F175" s="194"/>
      <c r="G175" s="194"/>
      <c r="H175" s="194"/>
      <c r="I175" s="194"/>
      <c r="J175" s="194"/>
      <c r="K175" s="194"/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194"/>
    </row>
    <row r="176" spans="1:22">
      <c r="A176" s="196" t="s">
        <v>148</v>
      </c>
      <c r="B176" s="196"/>
      <c r="C176" s="196"/>
      <c r="D176" s="196"/>
      <c r="E176" s="196"/>
      <c r="F176" s="196"/>
      <c r="G176" s="196"/>
      <c r="H176" s="196"/>
      <c r="I176" s="196"/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</row>
    <row r="177" spans="1:22">
      <c r="A177" s="17">
        <v>146</v>
      </c>
      <c r="B177" s="28" t="s">
        <v>197</v>
      </c>
      <c r="C177" s="18" t="s">
        <v>198</v>
      </c>
      <c r="D177" s="130">
        <v>350246661.39297736</v>
      </c>
      <c r="E177" s="26">
        <v>4817287.9874638263</v>
      </c>
      <c r="F177" s="26">
        <v>0</v>
      </c>
      <c r="G177" s="20">
        <v>3153457.5342768799</v>
      </c>
      <c r="H177" s="20">
        <f t="shared" ref="H177:H190" si="130">(E177+F177)-G177</f>
        <v>1663830.4531869465</v>
      </c>
      <c r="I177" s="159">
        <v>404681627.87592965</v>
      </c>
      <c r="J177" s="22">
        <f>(I177/$I$191)</f>
        <v>7.8976096868671984E-3</v>
      </c>
      <c r="K177" s="26">
        <v>406424208.32740623</v>
      </c>
      <c r="L177" s="22">
        <f t="shared" ref="L177:L187" si="131">(K177/$K$191)</f>
        <v>8.6936055694144584E-3</v>
      </c>
      <c r="M177" s="22">
        <f t="shared" ref="M177" si="132">((K177-I177)/I177)</f>
        <v>4.3060527867868209E-3</v>
      </c>
      <c r="N177" s="23">
        <f t="shared" ref="N177" si="133">(G177/K177)</f>
        <v>7.7590297764362631E-3</v>
      </c>
      <c r="O177" s="24">
        <f t="shared" ref="O177" si="134">H177/K177</f>
        <v>4.0938271370060762E-3</v>
      </c>
      <c r="P177" s="25">
        <f t="shared" ref="P177" si="135">K177/V177</f>
        <v>1047.5876718013781</v>
      </c>
      <c r="Q177" s="25">
        <f t="shared" ref="Q177" si="136">H177/V177</f>
        <v>4.2886428392134963</v>
      </c>
      <c r="R177" s="26">
        <v>1047.5876718013781</v>
      </c>
      <c r="S177" s="26">
        <v>1047.5876718013781</v>
      </c>
      <c r="T177" s="61">
        <v>21</v>
      </c>
      <c r="U177" s="26">
        <v>387810</v>
      </c>
      <c r="V177" s="26">
        <v>387962</v>
      </c>
    </row>
    <row r="178" spans="1:22" ht="15" customHeight="1">
      <c r="A178" s="17">
        <v>147</v>
      </c>
      <c r="B178" s="28" t="s">
        <v>199</v>
      </c>
      <c r="C178" s="33" t="s">
        <v>62</v>
      </c>
      <c r="D178" s="26">
        <v>71501536.159999996</v>
      </c>
      <c r="E178" s="26">
        <v>1312369.71</v>
      </c>
      <c r="F178" s="26"/>
      <c r="G178" s="26">
        <v>221646.32</v>
      </c>
      <c r="H178" s="20">
        <f t="shared" si="130"/>
        <v>1090723.3899999999</v>
      </c>
      <c r="I178" s="158">
        <v>106528006.18000001</v>
      </c>
      <c r="J178" s="22">
        <f t="shared" ref="J178:J187" si="137">(I178/$I$191)</f>
        <v>2.0789592498816232E-3</v>
      </c>
      <c r="K178" s="35">
        <v>122066240.06999999</v>
      </c>
      <c r="L178" s="22">
        <f t="shared" si="131"/>
        <v>2.6110544666550937E-3</v>
      </c>
      <c r="M178" s="22">
        <f t="shared" ref="M178:M187" si="138">((K178-I178)/I178)</f>
        <v>0.14586055298683695</v>
      </c>
      <c r="N178" s="23">
        <f t="shared" ref="N178:N187" si="139">(G178/K178)</f>
        <v>1.8157872305470777E-3</v>
      </c>
      <c r="O178" s="24">
        <f t="shared" ref="O178:O187" si="140">H178/K178</f>
        <v>8.9355041113293454E-3</v>
      </c>
      <c r="P178" s="25">
        <f t="shared" ref="P178:P187" si="141">K178/V178</f>
        <v>111.79650163344968</v>
      </c>
      <c r="Q178" s="25">
        <f t="shared" ref="Q178:Q187" si="142">H178/V178</f>
        <v>0.99895809997792751</v>
      </c>
      <c r="R178" s="26">
        <v>112.38</v>
      </c>
      <c r="S178" s="26">
        <v>112.38</v>
      </c>
      <c r="T178" s="61">
        <v>70</v>
      </c>
      <c r="U178" s="27">
        <v>963185</v>
      </c>
      <c r="V178" s="27">
        <v>1091861</v>
      </c>
    </row>
    <row r="179" spans="1:22" ht="15" customHeight="1">
      <c r="A179" s="17">
        <v>148</v>
      </c>
      <c r="B179" s="28" t="s">
        <v>200</v>
      </c>
      <c r="C179" s="33" t="s">
        <v>173</v>
      </c>
      <c r="D179" s="26">
        <v>37028482.409999996</v>
      </c>
      <c r="E179" s="26">
        <v>589762.1</v>
      </c>
      <c r="F179" s="26"/>
      <c r="G179" s="26">
        <v>244084.62</v>
      </c>
      <c r="H179" s="20">
        <f t="shared" si="130"/>
        <v>345677.48</v>
      </c>
      <c r="I179" s="159">
        <v>56843750.880000003</v>
      </c>
      <c r="J179" s="22">
        <f t="shared" si="137"/>
        <v>1.1093405943434383E-3</v>
      </c>
      <c r="K179" s="26">
        <v>57694897.200000003</v>
      </c>
      <c r="L179" s="22">
        <f t="shared" si="131"/>
        <v>1.2341210718940633E-3</v>
      </c>
      <c r="M179" s="22">
        <f t="shared" si="138"/>
        <v>1.4973436953462356E-2</v>
      </c>
      <c r="N179" s="23">
        <f t="shared" si="139"/>
        <v>4.2306101899077476E-3</v>
      </c>
      <c r="O179" s="24">
        <f t="shared" si="140"/>
        <v>5.991474060551753E-3</v>
      </c>
      <c r="P179" s="25">
        <f t="shared" si="141"/>
        <v>105.33263446160588</v>
      </c>
      <c r="Q179" s="25">
        <f t="shared" si="142"/>
        <v>0.6310977471062913</v>
      </c>
      <c r="R179" s="26">
        <v>103.12</v>
      </c>
      <c r="S179" s="26">
        <v>105.33</v>
      </c>
      <c r="T179" s="61">
        <v>13</v>
      </c>
      <c r="U179" s="27">
        <v>542793</v>
      </c>
      <c r="V179" s="27">
        <v>547740</v>
      </c>
    </row>
    <row r="180" spans="1:22" ht="15" customHeight="1">
      <c r="A180" s="17">
        <v>149</v>
      </c>
      <c r="B180" s="18" t="s">
        <v>201</v>
      </c>
      <c r="C180" s="18" t="s">
        <v>75</v>
      </c>
      <c r="D180" s="30">
        <v>9259524822.4099998</v>
      </c>
      <c r="E180" s="30">
        <v>139441015.74000001</v>
      </c>
      <c r="F180" s="30"/>
      <c r="G180" s="30">
        <v>15051830.48</v>
      </c>
      <c r="H180" s="20">
        <f t="shared" si="130"/>
        <v>124389185.26000001</v>
      </c>
      <c r="I180" s="160">
        <v>9663144869.7700005</v>
      </c>
      <c r="J180" s="22">
        <f t="shared" si="137"/>
        <v>0.18858218726078194</v>
      </c>
      <c r="K180" s="38">
        <v>9205910661.8199997</v>
      </c>
      <c r="L180" s="22">
        <f t="shared" si="131"/>
        <v>0.19691877245820422</v>
      </c>
      <c r="M180" s="22">
        <f t="shared" si="138"/>
        <v>-4.7317329307604981E-2</v>
      </c>
      <c r="N180" s="23">
        <f t="shared" si="139"/>
        <v>1.6350180914121827E-3</v>
      </c>
      <c r="O180" s="24">
        <f t="shared" si="140"/>
        <v>1.3511882727244323E-2</v>
      </c>
      <c r="P180" s="25">
        <f t="shared" si="141"/>
        <v>143.20092359145491</v>
      </c>
      <c r="Q180" s="25">
        <f t="shared" si="142"/>
        <v>1.9349140860008136</v>
      </c>
      <c r="R180" s="26">
        <v>143.19999999999999</v>
      </c>
      <c r="S180" s="26">
        <v>143.19999999999999</v>
      </c>
      <c r="T180" s="27">
        <v>697</v>
      </c>
      <c r="U180" s="38">
        <v>68360848</v>
      </c>
      <c r="V180" s="38">
        <v>64286671</v>
      </c>
    </row>
    <row r="181" spans="1:22" ht="15" customHeight="1">
      <c r="A181" s="17">
        <v>150</v>
      </c>
      <c r="B181" s="18" t="s">
        <v>230</v>
      </c>
      <c r="C181" s="18" t="s">
        <v>60</v>
      </c>
      <c r="D181" s="30">
        <v>300418123.72000003</v>
      </c>
      <c r="E181" s="30">
        <v>4190192.72</v>
      </c>
      <c r="F181" s="30"/>
      <c r="G181" s="30">
        <v>755889.61</v>
      </c>
      <c r="H181" s="20">
        <f t="shared" si="130"/>
        <v>3434303.1100000003</v>
      </c>
      <c r="I181" s="160">
        <v>288631819.14999998</v>
      </c>
      <c r="J181" s="22">
        <f t="shared" si="137"/>
        <v>5.6328266316948003E-3</v>
      </c>
      <c r="K181" s="38">
        <v>296585872.19</v>
      </c>
      <c r="L181" s="22">
        <f t="shared" si="131"/>
        <v>6.3441117370733177E-3</v>
      </c>
      <c r="M181" s="22">
        <f t="shared" si="138"/>
        <v>2.7557783003357487E-2</v>
      </c>
      <c r="N181" s="23">
        <f t="shared" si="139"/>
        <v>2.5486366036874442E-3</v>
      </c>
      <c r="O181" s="24">
        <f t="shared" si="140"/>
        <v>1.157945617787183E-2</v>
      </c>
      <c r="P181" s="25">
        <f t="shared" si="141"/>
        <v>1095.9164422197275</v>
      </c>
      <c r="Q181" s="25">
        <f t="shared" si="142"/>
        <v>12.69011641729254</v>
      </c>
      <c r="R181" s="26">
        <v>1095.92</v>
      </c>
      <c r="S181" s="26">
        <v>1095.92</v>
      </c>
      <c r="T181" s="27">
        <v>84</v>
      </c>
      <c r="U181" s="38">
        <v>266488.76</v>
      </c>
      <c r="V181" s="38">
        <v>270628.18</v>
      </c>
    </row>
    <row r="182" spans="1:22" ht="15" customHeight="1">
      <c r="A182" s="17">
        <v>151</v>
      </c>
      <c r="B182" s="28" t="s">
        <v>119</v>
      </c>
      <c r="C182" s="18" t="s">
        <v>120</v>
      </c>
      <c r="D182" s="30">
        <v>15832357563.52</v>
      </c>
      <c r="E182" s="30">
        <v>280762396.85000002</v>
      </c>
      <c r="F182" s="30"/>
      <c r="G182" s="30">
        <v>33836501.170000002</v>
      </c>
      <c r="H182" s="20">
        <f t="shared" si="130"/>
        <v>246925895.68000001</v>
      </c>
      <c r="I182" s="159">
        <v>20824515836.009998</v>
      </c>
      <c r="J182" s="22">
        <f t="shared" si="137"/>
        <v>0.40640317390740194</v>
      </c>
      <c r="K182" s="38">
        <v>22129361504.82</v>
      </c>
      <c r="L182" s="22">
        <f t="shared" si="131"/>
        <v>0.47335748334879918</v>
      </c>
      <c r="M182" s="22">
        <f t="shared" si="138"/>
        <v>6.2659111937365994E-2</v>
      </c>
      <c r="N182" s="23">
        <f t="shared" si="139"/>
        <v>1.5290319678961397E-3</v>
      </c>
      <c r="O182" s="24">
        <f t="shared" si="140"/>
        <v>1.1158292824048134E-2</v>
      </c>
      <c r="P182" s="25">
        <f t="shared" si="141"/>
        <v>1236.1152679665684</v>
      </c>
      <c r="Q182" s="25">
        <f t="shared" si="142"/>
        <v>13.792936124247696</v>
      </c>
      <c r="R182" s="26">
        <v>1336.12</v>
      </c>
      <c r="S182" s="26">
        <v>1336.12</v>
      </c>
      <c r="T182" s="27">
        <v>8472</v>
      </c>
      <c r="U182" s="38">
        <v>17043857.390000001</v>
      </c>
      <c r="V182" s="38">
        <v>17902344.609999999</v>
      </c>
    </row>
    <row r="183" spans="1:22" ht="15" customHeight="1">
      <c r="A183" s="17">
        <v>152</v>
      </c>
      <c r="B183" s="131" t="s">
        <v>231</v>
      </c>
      <c r="C183" s="132" t="s">
        <v>232</v>
      </c>
      <c r="D183" s="30">
        <v>319429435.64999998</v>
      </c>
      <c r="E183" s="30">
        <v>0</v>
      </c>
      <c r="F183" s="30">
        <v>70836906.219999999</v>
      </c>
      <c r="G183" s="30">
        <v>598374.30000000005</v>
      </c>
      <c r="H183" s="20">
        <f t="shared" si="130"/>
        <v>70238531.920000002</v>
      </c>
      <c r="I183" s="159">
        <v>340689778.36000001</v>
      </c>
      <c r="J183" s="22">
        <f t="shared" si="137"/>
        <v>6.6487695720584827E-3</v>
      </c>
      <c r="K183" s="38">
        <v>375319859.36000001</v>
      </c>
      <c r="L183" s="22">
        <f t="shared" si="131"/>
        <v>8.0282688697899673E-3</v>
      </c>
      <c r="M183" s="22">
        <f t="shared" si="138"/>
        <v>0.10164696213282658</v>
      </c>
      <c r="N183" s="23">
        <f t="shared" si="139"/>
        <v>1.5943049243926373E-3</v>
      </c>
      <c r="O183" s="24">
        <f t="shared" si="140"/>
        <v>0.187143126504874</v>
      </c>
      <c r="P183" s="25">
        <f t="shared" si="141"/>
        <v>122.28211289638726</v>
      </c>
      <c r="Q183" s="25">
        <f t="shared" si="142"/>
        <v>22.884256923051886</v>
      </c>
      <c r="R183" s="26">
        <v>121.8095</v>
      </c>
      <c r="S183" s="26">
        <v>122.52979999999999</v>
      </c>
      <c r="T183" s="27">
        <v>166</v>
      </c>
      <c r="U183" s="38">
        <v>2964088.29</v>
      </c>
      <c r="V183" s="38">
        <v>3069294.85</v>
      </c>
    </row>
    <row r="184" spans="1:22" ht="15" customHeight="1">
      <c r="A184" s="17">
        <v>153</v>
      </c>
      <c r="B184" s="131" t="s">
        <v>233</v>
      </c>
      <c r="C184" s="132" t="s">
        <v>232</v>
      </c>
      <c r="D184" s="30">
        <v>152428265.69999999</v>
      </c>
      <c r="E184" s="30"/>
      <c r="F184" s="30">
        <v>7728670.75</v>
      </c>
      <c r="G184" s="30">
        <v>251805.84</v>
      </c>
      <c r="H184" s="20">
        <f t="shared" si="130"/>
        <v>7476864.9100000001</v>
      </c>
      <c r="I184" s="160">
        <v>161186300.44</v>
      </c>
      <c r="J184" s="22">
        <f t="shared" si="137"/>
        <v>3.1456493204962406E-3</v>
      </c>
      <c r="K184" s="38">
        <v>162592536.06999999</v>
      </c>
      <c r="L184" s="22">
        <f t="shared" si="131"/>
        <v>3.4779310586358502E-3</v>
      </c>
      <c r="M184" s="22">
        <f t="shared" si="138"/>
        <v>8.7242875241959686E-3</v>
      </c>
      <c r="N184" s="23">
        <f t="shared" si="139"/>
        <v>1.5486924928189295E-3</v>
      </c>
      <c r="O184" s="24">
        <f t="shared" si="140"/>
        <v>4.5985289919956908E-2</v>
      </c>
      <c r="P184" s="25">
        <f t="shared" si="141"/>
        <v>106.30222381908074</v>
      </c>
      <c r="Q184" s="25">
        <f t="shared" si="142"/>
        <v>4.8883385814565763</v>
      </c>
      <c r="R184" s="26">
        <v>106.3022</v>
      </c>
      <c r="S184" s="26">
        <v>106.3022</v>
      </c>
      <c r="T184" s="27">
        <v>70</v>
      </c>
      <c r="U184" s="38">
        <v>1533540.8</v>
      </c>
      <c r="V184" s="38">
        <v>1529530.9</v>
      </c>
    </row>
    <row r="185" spans="1:22" ht="12.6" customHeight="1">
      <c r="A185" s="17">
        <v>154</v>
      </c>
      <c r="B185" s="18" t="s">
        <v>202</v>
      </c>
      <c r="C185" s="18" t="s">
        <v>146</v>
      </c>
      <c r="D185" s="26">
        <v>829299600.22000003</v>
      </c>
      <c r="E185" s="35">
        <v>12931164.58</v>
      </c>
      <c r="F185" s="35">
        <v>0</v>
      </c>
      <c r="G185" s="26">
        <v>3802073.51</v>
      </c>
      <c r="H185" s="20">
        <f t="shared" si="130"/>
        <v>9129091.0700000003</v>
      </c>
      <c r="I185" s="159">
        <v>1066353360.72</v>
      </c>
      <c r="J185" s="22">
        <f t="shared" si="137"/>
        <v>2.0810538584241426E-2</v>
      </c>
      <c r="K185" s="26">
        <v>1085352030.1099999</v>
      </c>
      <c r="L185" s="22">
        <f t="shared" si="131"/>
        <v>2.3216191999415693E-2</v>
      </c>
      <c r="M185" s="22">
        <f t="shared" si="138"/>
        <v>1.7816485688357558E-2</v>
      </c>
      <c r="N185" s="23">
        <f t="shared" si="139"/>
        <v>3.5030786367209001E-3</v>
      </c>
      <c r="O185" s="24">
        <f t="shared" si="140"/>
        <v>8.4111797985716875E-3</v>
      </c>
      <c r="P185" s="25">
        <f t="shared" si="141"/>
        <v>105.56119577409761</v>
      </c>
      <c r="Q185" s="25">
        <f t="shared" si="142"/>
        <v>0.88789419740816067</v>
      </c>
      <c r="R185" s="26">
        <v>105.56</v>
      </c>
      <c r="S185" s="26">
        <v>105.56</v>
      </c>
      <c r="T185" s="106">
        <v>563</v>
      </c>
      <c r="U185" s="27">
        <v>10206025</v>
      </c>
      <c r="V185" s="27">
        <v>10281733</v>
      </c>
    </row>
    <row r="186" spans="1:22">
      <c r="A186" s="17">
        <v>155</v>
      </c>
      <c r="B186" s="28" t="s">
        <v>203</v>
      </c>
      <c r="C186" s="28" t="s">
        <v>45</v>
      </c>
      <c r="D186" s="30">
        <v>7204640205.3599997</v>
      </c>
      <c r="E186" s="30">
        <v>71588808.329999998</v>
      </c>
      <c r="F186" s="30">
        <v>0</v>
      </c>
      <c r="G186" s="30">
        <v>13652338.5</v>
      </c>
      <c r="H186" s="20">
        <f t="shared" si="130"/>
        <v>57936469.829999998</v>
      </c>
      <c r="I186" s="158">
        <v>9261967627.8400002</v>
      </c>
      <c r="J186" s="22">
        <f t="shared" si="137"/>
        <v>0.18075296781079886</v>
      </c>
      <c r="K186" s="30">
        <v>7175913854.6800003</v>
      </c>
      <c r="L186" s="22">
        <f t="shared" si="131"/>
        <v>0.15349618298924955</v>
      </c>
      <c r="M186" s="22">
        <f t="shared" si="138"/>
        <v>-0.22522792747511386</v>
      </c>
      <c r="N186" s="23">
        <f t="shared" si="139"/>
        <v>1.9025226300753587E-3</v>
      </c>
      <c r="O186" s="24">
        <f t="shared" si="140"/>
        <v>8.0737409901060746E-3</v>
      </c>
      <c r="P186" s="25">
        <f t="shared" si="141"/>
        <v>131.16194227111941</v>
      </c>
      <c r="Q186" s="25">
        <f t="shared" si="142"/>
        <v>1.0589675496562634</v>
      </c>
      <c r="R186" s="31">
        <v>131.16</v>
      </c>
      <c r="S186" s="31">
        <v>131.16</v>
      </c>
      <c r="T186" s="27">
        <v>1220</v>
      </c>
      <c r="U186" s="30">
        <v>62070545.399999999</v>
      </c>
      <c r="V186" s="48">
        <v>54710335.409999996</v>
      </c>
    </row>
    <row r="187" spans="1:22">
      <c r="A187" s="17">
        <v>156</v>
      </c>
      <c r="B187" s="18" t="s">
        <v>204</v>
      </c>
      <c r="C187" s="18" t="s">
        <v>49</v>
      </c>
      <c r="D187" s="38">
        <v>3176806383</v>
      </c>
      <c r="E187" s="38">
        <v>39007890</v>
      </c>
      <c r="F187" s="38">
        <v>0</v>
      </c>
      <c r="G187" s="133">
        <v>6220411</v>
      </c>
      <c r="H187" s="20">
        <f t="shared" ref="H187" si="143">(E187+F187)-G187</f>
        <v>32787479</v>
      </c>
      <c r="I187" s="173">
        <v>4251526657</v>
      </c>
      <c r="J187" s="22">
        <f t="shared" si="137"/>
        <v>8.2971145209961392E-2</v>
      </c>
      <c r="K187" s="50">
        <v>3872620904</v>
      </c>
      <c r="L187" s="22">
        <f t="shared" si="131"/>
        <v>8.2837188261492153E-2</v>
      </c>
      <c r="M187" s="22">
        <f t="shared" si="138"/>
        <v>-8.9122280904941301E-2</v>
      </c>
      <c r="N187" s="23">
        <f t="shared" si="139"/>
        <v>1.6062535306709173E-3</v>
      </c>
      <c r="O187" s="24">
        <f t="shared" si="140"/>
        <v>8.4664829873055906E-3</v>
      </c>
      <c r="P187" s="25">
        <f t="shared" si="141"/>
        <v>1.1947041540327163</v>
      </c>
      <c r="Q187" s="25">
        <f t="shared" si="142"/>
        <v>1.0114942394981312E-2</v>
      </c>
      <c r="R187" s="20">
        <v>1.19</v>
      </c>
      <c r="S187" s="20">
        <v>1.19</v>
      </c>
      <c r="T187" s="27">
        <v>184</v>
      </c>
      <c r="U187" s="67">
        <v>3420143541</v>
      </c>
      <c r="V187" s="67">
        <v>3241489444</v>
      </c>
    </row>
    <row r="188" spans="1:22" ht="7.8" customHeight="1">
      <c r="A188" s="197"/>
      <c r="B188" s="198"/>
      <c r="C188" s="198"/>
      <c r="D188" s="198"/>
      <c r="E188" s="198"/>
      <c r="F188" s="198"/>
      <c r="G188" s="198"/>
      <c r="H188" s="198"/>
      <c r="I188" s="198"/>
      <c r="J188" s="198"/>
      <c r="K188" s="198"/>
      <c r="L188" s="198"/>
      <c r="M188" s="198"/>
      <c r="N188" s="198"/>
      <c r="O188" s="198"/>
      <c r="P188" s="198"/>
      <c r="Q188" s="198"/>
      <c r="R188" s="198"/>
      <c r="S188" s="198"/>
      <c r="T188" s="198"/>
      <c r="U188" s="198"/>
      <c r="V188" s="199"/>
    </row>
    <row r="189" spans="1:22">
      <c r="A189" s="196" t="s">
        <v>239</v>
      </c>
      <c r="B189" s="196"/>
      <c r="C189" s="196"/>
      <c r="D189" s="196"/>
      <c r="E189" s="196"/>
      <c r="F189" s="196"/>
      <c r="G189" s="196"/>
      <c r="H189" s="196"/>
      <c r="I189" s="196"/>
      <c r="J189" s="196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196"/>
    </row>
    <row r="190" spans="1:22" ht="15" customHeight="1">
      <c r="A190" s="17">
        <v>157</v>
      </c>
      <c r="B190" s="28" t="s">
        <v>238</v>
      </c>
      <c r="C190" s="18" t="s">
        <v>120</v>
      </c>
      <c r="D190" s="38">
        <v>48000000</v>
      </c>
      <c r="E190" s="38">
        <v>3949259.74</v>
      </c>
      <c r="F190" s="38">
        <v>0</v>
      </c>
      <c r="G190" s="133">
        <v>1609544.01</v>
      </c>
      <c r="H190" s="20">
        <f t="shared" si="130"/>
        <v>2339715.7300000004</v>
      </c>
      <c r="I190" s="26">
        <v>0</v>
      </c>
      <c r="J190" s="22">
        <f>(I190/$I$191)</f>
        <v>0</v>
      </c>
      <c r="K190" s="50">
        <v>185817525.03</v>
      </c>
      <c r="L190" s="22">
        <f>(K190/$K$191)</f>
        <v>3.9747245301743174E-3</v>
      </c>
      <c r="M190" s="22" t="e">
        <f t="shared" ref="M190" si="144">((K190-I190)/I190)</f>
        <v>#DIV/0!</v>
      </c>
      <c r="N190" s="23">
        <f t="shared" ref="N190" si="145">(G190/K190)</f>
        <v>8.6619602200607351E-3</v>
      </c>
      <c r="O190" s="24">
        <f t="shared" ref="O190" si="146">H190/K190</f>
        <v>1.2591469666934033E-2</v>
      </c>
      <c r="P190" s="25">
        <f t="shared" ref="P190" si="147">K190/V190</f>
        <v>1019.0437085195646</v>
      </c>
      <c r="Q190" s="25">
        <f t="shared" ref="Q190" si="148">H190/V190</f>
        <v>12.831257945104063</v>
      </c>
      <c r="R190" s="20">
        <v>1019.04</v>
      </c>
      <c r="S190" s="20">
        <v>1019.04</v>
      </c>
      <c r="T190" s="27">
        <v>31</v>
      </c>
      <c r="U190" s="27">
        <v>181465</v>
      </c>
      <c r="V190" s="27">
        <v>182345</v>
      </c>
    </row>
    <row r="191" spans="1:22" ht="15" customHeight="1">
      <c r="A191" s="192" t="s">
        <v>50</v>
      </c>
      <c r="B191" s="192"/>
      <c r="C191" s="192"/>
      <c r="D191" s="192"/>
      <c r="E191" s="192"/>
      <c r="F191" s="192"/>
      <c r="G191" s="192"/>
      <c r="H191" s="192"/>
      <c r="I191" s="74">
        <f>SUM(I173:I190)</f>
        <v>51241026579.075928</v>
      </c>
      <c r="J191" s="54">
        <f>(I191/$I$192)</f>
        <v>1.7700050519603373E-2</v>
      </c>
      <c r="K191" s="74">
        <f>SUM(K173:K190)</f>
        <v>46749786964.947403</v>
      </c>
      <c r="L191" s="54">
        <f>(K191/$K$192)</f>
        <v>1.57928916176008E-2</v>
      </c>
      <c r="M191" s="75">
        <f t="shared" ref="M191" si="149">((K191-I191)/I191)</f>
        <v>-8.7649290304470689E-2</v>
      </c>
      <c r="N191" s="64"/>
      <c r="O191" s="77"/>
      <c r="P191" s="107"/>
      <c r="Q191" s="107"/>
      <c r="R191" s="74"/>
      <c r="S191" s="74"/>
      <c r="T191" s="79">
        <f>SUM(T173:T190)</f>
        <v>12630</v>
      </c>
      <c r="U191" s="79"/>
      <c r="V191" s="79"/>
    </row>
    <row r="192" spans="1:22" ht="15" customHeight="1">
      <c r="A192" s="193" t="s">
        <v>205</v>
      </c>
      <c r="B192" s="193"/>
      <c r="C192" s="193"/>
      <c r="D192" s="193"/>
      <c r="E192" s="193"/>
      <c r="F192" s="193"/>
      <c r="G192" s="193"/>
      <c r="H192" s="193"/>
      <c r="I192" s="134">
        <f>SUM(I22,I58,I93,I125,I133,I163,I169,I191)</f>
        <v>2894964990202.9854</v>
      </c>
      <c r="J192" s="135"/>
      <c r="K192" s="134">
        <f>SUM(K22,K58,K93,K125,K133,K163,K169,K191)</f>
        <v>2960179053774.1602</v>
      </c>
      <c r="L192" s="135"/>
      <c r="M192" s="135"/>
      <c r="N192" s="136"/>
      <c r="O192" s="137"/>
      <c r="P192" s="138"/>
      <c r="Q192" s="138"/>
      <c r="R192" s="134"/>
      <c r="S192" s="134"/>
      <c r="T192" s="139">
        <f>SUM(T22,T58,T93,T125,T133,T163,T169,T191)</f>
        <v>714505</v>
      </c>
      <c r="U192" s="139"/>
      <c r="V192" s="139"/>
    </row>
    <row r="193" spans="1:22" ht="5.0999999999999996" customHeight="1">
      <c r="A193" s="9"/>
      <c r="B193" s="9"/>
      <c r="C193" s="9"/>
      <c r="D193" s="8"/>
      <c r="E193" s="8"/>
      <c r="F193" s="8"/>
      <c r="G193" s="8"/>
      <c r="H193" s="10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>
      <c r="A194" s="141" t="s">
        <v>206</v>
      </c>
      <c r="B194" s="140" t="s">
        <v>262</v>
      </c>
      <c r="C194" s="11"/>
      <c r="D194" s="8"/>
      <c r="E194" s="8"/>
      <c r="F194" s="8"/>
      <c r="G194" s="8"/>
      <c r="H194" s="10"/>
      <c r="I194" s="12"/>
      <c r="J194" s="8"/>
      <c r="K194" s="12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13"/>
    </row>
  </sheetData>
  <sheetProtection algorithmName="SHA-512" hashValue="qJQDjodOUrjWJU2QkkjK/LqCM6RyerJyiSX8njd0qwo2ck805cgp8IpYmRTRA8wcWYNIQ6gd58bFgh9M+xXMnw==" saltValue="Z88chn6qxUMAzDeXDDcUgQ==" spinCount="100000" sheet="1" objects="1" scenarios="1"/>
  <mergeCells count="34">
    <mergeCell ref="A1:V1"/>
    <mergeCell ref="A3:V3"/>
    <mergeCell ref="A4:V4"/>
    <mergeCell ref="A22:H22"/>
    <mergeCell ref="A23:V23"/>
    <mergeCell ref="A24:V24"/>
    <mergeCell ref="A58:H58"/>
    <mergeCell ref="A59:V59"/>
    <mergeCell ref="A60:V60"/>
    <mergeCell ref="A93:H93"/>
    <mergeCell ref="A94:V94"/>
    <mergeCell ref="A95:V95"/>
    <mergeCell ref="A96:V96"/>
    <mergeCell ref="A112:V112"/>
    <mergeCell ref="A113:V113"/>
    <mergeCell ref="A125:H125"/>
    <mergeCell ref="A126:V126"/>
    <mergeCell ref="A127:V127"/>
    <mergeCell ref="A133:H133"/>
    <mergeCell ref="A134:V134"/>
    <mergeCell ref="A135:V135"/>
    <mergeCell ref="A163:H163"/>
    <mergeCell ref="A164:V164"/>
    <mergeCell ref="A165:V165"/>
    <mergeCell ref="A169:H169"/>
    <mergeCell ref="A191:H191"/>
    <mergeCell ref="A192:H192"/>
    <mergeCell ref="A170:V170"/>
    <mergeCell ref="A171:V171"/>
    <mergeCell ref="A172:V172"/>
    <mergeCell ref="A175:V175"/>
    <mergeCell ref="A176:V176"/>
    <mergeCell ref="A189:V189"/>
    <mergeCell ref="A188:V188"/>
  </mergeCells>
  <pageMargins left="0.7" right="0.7" top="0.75" bottom="0.75" header="0.3" footer="0.3"/>
  <pageSetup orientation="portrait" r:id="rId1"/>
  <ignoredErrors>
    <ignoredError sqref="D128:E128 G131 K128 R128:S128 I128" numberStoredAsText="1"/>
    <ignoredError sqref="T133" formulaRange="1"/>
    <ignoredError sqref="J22 J58 J93 J125 J133 J163 J169 J191" formula="1"/>
    <ignoredError sqref="M190 M151 M5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6" sqref="B6"/>
    </sheetView>
  </sheetViews>
  <sheetFormatPr defaultColWidth="9" defaultRowHeight="14.4"/>
  <cols>
    <col min="1" max="1" width="34" customWidth="1"/>
    <col min="2" max="2" width="15.21875" customWidth="1"/>
    <col min="3" max="3" width="13.6640625" customWidth="1"/>
    <col min="4" max="4" width="14.21875" customWidth="1"/>
  </cols>
  <sheetData>
    <row r="1" spans="1:6">
      <c r="A1" s="5"/>
      <c r="B1" s="5"/>
      <c r="C1" s="5"/>
      <c r="D1" s="5"/>
      <c r="E1" s="5"/>
      <c r="F1" s="211"/>
    </row>
    <row r="2" spans="1:6">
      <c r="A2" s="5"/>
      <c r="B2" s="5"/>
      <c r="C2" s="5"/>
      <c r="D2" s="5"/>
      <c r="E2" s="5"/>
      <c r="F2" s="211"/>
    </row>
    <row r="3" spans="1:6">
      <c r="A3" s="1"/>
      <c r="B3" s="1"/>
      <c r="C3" s="1"/>
      <c r="D3" s="1"/>
      <c r="E3" s="1"/>
      <c r="F3" s="211"/>
    </row>
    <row r="4" spans="1:6" ht="33" customHeight="1">
      <c r="A4" s="174" t="s">
        <v>207</v>
      </c>
      <c r="B4" s="212" t="s">
        <v>269</v>
      </c>
      <c r="C4" s="175" t="s">
        <v>264</v>
      </c>
      <c r="D4" s="175" t="s">
        <v>263</v>
      </c>
      <c r="E4" s="1"/>
      <c r="F4" s="211"/>
    </row>
    <row r="5" spans="1:6" ht="18.899999999999999" customHeight="1">
      <c r="A5" s="176" t="s">
        <v>19</v>
      </c>
      <c r="B5" s="213">
        <v>26.446817562529997</v>
      </c>
      <c r="C5" s="177">
        <v>27.745310432420002</v>
      </c>
      <c r="D5" s="177">
        <f>'June 2024'!K22/1000000000</f>
        <v>28.676360060300002</v>
      </c>
      <c r="E5" s="1"/>
      <c r="F5" s="211"/>
    </row>
    <row r="6" spans="1:6">
      <c r="A6" s="174" t="s">
        <v>51</v>
      </c>
      <c r="B6" s="213">
        <v>937.44782176622016</v>
      </c>
      <c r="C6" s="177">
        <v>1009.6129393269802</v>
      </c>
      <c r="D6" s="177">
        <f>'June 2024'!K58/1000000000</f>
        <v>1071.1103377008599</v>
      </c>
      <c r="E6" s="1"/>
      <c r="F6" s="211"/>
    </row>
    <row r="7" spans="1:6">
      <c r="A7" s="174" t="s">
        <v>208</v>
      </c>
      <c r="B7" s="213">
        <v>266.46510591255998</v>
      </c>
      <c r="C7" s="177">
        <v>246.55149026459</v>
      </c>
      <c r="D7" s="177">
        <f>'June 2024'!K93/1000000000</f>
        <v>238.39517045769998</v>
      </c>
      <c r="E7" s="1"/>
      <c r="F7" s="211"/>
    </row>
    <row r="8" spans="1:6">
      <c r="A8" s="174" t="s">
        <v>209</v>
      </c>
      <c r="B8" s="213">
        <v>1249.1517902703031</v>
      </c>
      <c r="C8" s="177">
        <v>1409.3785152316091</v>
      </c>
      <c r="D8" s="177">
        <f>'June 2024'!K125/1000000000</f>
        <v>1425.6050742270131</v>
      </c>
      <c r="E8" s="1"/>
      <c r="F8" s="211"/>
    </row>
    <row r="9" spans="1:6">
      <c r="A9" s="174" t="s">
        <v>210</v>
      </c>
      <c r="B9" s="213">
        <v>99.856457548350008</v>
      </c>
      <c r="C9" s="177">
        <v>96.780336038469997</v>
      </c>
      <c r="D9" s="177">
        <f>'June 2024'!K133/1000000000</f>
        <v>96.435231448330001</v>
      </c>
      <c r="E9" s="1"/>
      <c r="F9" s="211"/>
    </row>
    <row r="10" spans="1:6">
      <c r="A10" s="174" t="s">
        <v>164</v>
      </c>
      <c r="B10" s="213">
        <v>47.633109913879998</v>
      </c>
      <c r="C10" s="177">
        <v>48.750450955880005</v>
      </c>
      <c r="D10" s="177">
        <f>'June 2024'!K163/1000000000</f>
        <v>48.021373815229992</v>
      </c>
      <c r="E10" s="1"/>
      <c r="F10" s="211"/>
    </row>
    <row r="11" spans="1:6">
      <c r="A11" s="174" t="s">
        <v>189</v>
      </c>
      <c r="B11" s="213">
        <v>4.6398494677399995</v>
      </c>
      <c r="C11" s="177">
        <v>4.9049213739599997</v>
      </c>
      <c r="D11" s="177">
        <f>'June 2024'!K169/1000000000</f>
        <v>5.18571909978</v>
      </c>
      <c r="E11" s="1"/>
      <c r="F11" s="211"/>
    </row>
    <row r="12" spans="1:6">
      <c r="A12" s="174" t="s">
        <v>211</v>
      </c>
      <c r="B12" s="213">
        <v>51.754753232900001</v>
      </c>
      <c r="C12" s="177">
        <v>51.241026579075928</v>
      </c>
      <c r="D12" s="177">
        <f>'June 2024'!K191/1000000000</f>
        <v>46.749786964947404</v>
      </c>
      <c r="E12" s="1"/>
      <c r="F12" s="211"/>
    </row>
    <row r="13" spans="1:6">
      <c r="A13" s="1"/>
      <c r="B13" s="1"/>
      <c r="C13" s="1"/>
      <c r="D13" s="1"/>
      <c r="E13" s="1"/>
      <c r="F13" s="211"/>
    </row>
    <row r="14" spans="1:6">
      <c r="A14" s="1"/>
      <c r="B14" s="1"/>
      <c r="C14" s="1"/>
      <c r="D14" s="1"/>
      <c r="E14" s="1"/>
      <c r="F14" s="211"/>
    </row>
    <row r="15" spans="1:6">
      <c r="A15" s="1"/>
      <c r="B15" s="1"/>
      <c r="C15" s="1"/>
      <c r="D15" s="1"/>
      <c r="E15" s="1"/>
      <c r="F15" s="211"/>
    </row>
    <row r="16" spans="1:6">
      <c r="A16" s="1"/>
      <c r="B16" s="1"/>
      <c r="C16" s="214"/>
      <c r="D16" s="215"/>
      <c r="E16" s="1"/>
      <c r="F16" s="211"/>
    </row>
    <row r="17" spans="1:6">
      <c r="A17" s="216"/>
      <c r="B17" s="216"/>
      <c r="C17" s="4"/>
      <c r="D17" s="217"/>
      <c r="E17" s="1"/>
      <c r="F17" s="211"/>
    </row>
    <row r="18" spans="1:6" ht="15.6">
      <c r="A18" s="142"/>
      <c r="B18" s="142"/>
      <c r="C18" s="144"/>
      <c r="D18" s="145"/>
      <c r="E18" s="5"/>
      <c r="F18" s="211"/>
    </row>
    <row r="19" spans="1:6">
      <c r="A19" s="146"/>
      <c r="B19" s="146"/>
      <c r="C19" s="143"/>
      <c r="D19" s="147"/>
      <c r="E19" s="5"/>
      <c r="F19" s="211"/>
    </row>
    <row r="20" spans="1:6">
      <c r="A20" s="146"/>
      <c r="B20" s="146"/>
      <c r="C20" s="144"/>
      <c r="D20" s="145"/>
      <c r="E20" s="5"/>
    </row>
    <row r="21" spans="1:6">
      <c r="A21" s="146"/>
      <c r="B21" s="146"/>
      <c r="C21" s="143"/>
      <c r="D21" s="147"/>
      <c r="E21" s="5"/>
    </row>
    <row r="22" spans="1:6">
      <c r="A22" s="146"/>
      <c r="B22" s="146"/>
      <c r="C22" s="148"/>
      <c r="D22" s="149"/>
      <c r="E22" s="5"/>
    </row>
    <row r="23" spans="1:6">
      <c r="A23" s="146"/>
      <c r="B23" s="146"/>
      <c r="C23" s="143"/>
      <c r="D23" s="147"/>
      <c r="E23" s="5"/>
    </row>
    <row r="24" spans="1:6">
      <c r="A24" s="2"/>
      <c r="B24" s="2"/>
      <c r="C24" s="4"/>
      <c r="D24" s="4"/>
      <c r="E24" s="1"/>
    </row>
    <row r="25" spans="1:6">
      <c r="A25" s="2"/>
      <c r="B25" s="2"/>
      <c r="C25" s="4"/>
      <c r="D25" s="4"/>
      <c r="E25" s="1"/>
    </row>
    <row r="26" spans="1:6">
      <c r="A26" s="2"/>
      <c r="B26" s="2"/>
      <c r="C26" s="4"/>
      <c r="D26" s="4"/>
      <c r="E26" s="1"/>
    </row>
    <row r="27" spans="1:6">
      <c r="C27" s="5"/>
      <c r="D27" s="5"/>
    </row>
    <row r="28" spans="1:6">
      <c r="C28" s="5"/>
      <c r="D28" s="5"/>
    </row>
  </sheetData>
  <sheetProtection algorithmName="SHA-512" hashValue="4yIiO0Qb01cGDRwh87P7HG16D21lz1Mkj7FO0gLUQtxrrXcAc+TiFVKmgbsHYFWsfcid28IIfCGbeFY5Kj5VBA==" saltValue="eg7+lJ/I8q5KdDd94G3OX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I9" sqref="I9"/>
    </sheetView>
  </sheetViews>
  <sheetFormatPr defaultColWidth="9" defaultRowHeight="14.4"/>
  <cols>
    <col min="1" max="1" width="26.6640625" customWidth="1"/>
    <col min="2" max="2" width="21.33203125" customWidth="1"/>
  </cols>
  <sheetData>
    <row r="1" spans="1:4">
      <c r="A1" s="178" t="s">
        <v>207</v>
      </c>
      <c r="B1" s="179" t="s">
        <v>263</v>
      </c>
      <c r="C1" s="1"/>
      <c r="D1" s="5"/>
    </row>
    <row r="2" spans="1:4">
      <c r="A2" s="178" t="s">
        <v>189</v>
      </c>
      <c r="B2" s="180">
        <f>'June 2024'!K169</f>
        <v>5185719099.7799997</v>
      </c>
      <c r="C2" s="1"/>
      <c r="D2" s="5"/>
    </row>
    <row r="3" spans="1:4">
      <c r="A3" s="178" t="s">
        <v>19</v>
      </c>
      <c r="B3" s="181">
        <f>'June 2024'!K22</f>
        <v>28676360060.300003</v>
      </c>
      <c r="C3" s="1"/>
      <c r="D3" s="5"/>
    </row>
    <row r="4" spans="1:4">
      <c r="A4" s="178" t="s">
        <v>211</v>
      </c>
      <c r="B4" s="182">
        <f>'June 2024'!K191</f>
        <v>46749786964.947403</v>
      </c>
      <c r="C4" s="1"/>
      <c r="D4" s="5"/>
    </row>
    <row r="5" spans="1:4">
      <c r="A5" s="178" t="s">
        <v>164</v>
      </c>
      <c r="B5" s="182">
        <f>'June 2024'!K163</f>
        <v>48021373815.229996</v>
      </c>
      <c r="C5" s="1"/>
      <c r="D5" s="5"/>
    </row>
    <row r="6" spans="1:4">
      <c r="A6" s="178" t="s">
        <v>210</v>
      </c>
      <c r="B6" s="183">
        <f>'June 2024'!K133</f>
        <v>96435231448.330002</v>
      </c>
      <c r="C6" s="1"/>
      <c r="D6" s="5"/>
    </row>
    <row r="7" spans="1:4">
      <c r="A7" s="178" t="s">
        <v>208</v>
      </c>
      <c r="B7" s="183">
        <f>'June 2024'!K93</f>
        <v>238395170457.69998</v>
      </c>
      <c r="C7" s="1"/>
      <c r="D7" s="5"/>
    </row>
    <row r="8" spans="1:4">
      <c r="A8" s="178" t="s">
        <v>51</v>
      </c>
      <c r="B8" s="182">
        <f>'June 2024'!K58</f>
        <v>1071110337700.86</v>
      </c>
      <c r="C8" s="1"/>
      <c r="D8" s="5"/>
    </row>
    <row r="9" spans="1:4">
      <c r="A9" s="178" t="s">
        <v>209</v>
      </c>
      <c r="B9" s="184">
        <f>'June 2024'!K125</f>
        <v>1425605074227.0132</v>
      </c>
      <c r="C9" s="1"/>
      <c r="D9" s="5"/>
    </row>
    <row r="10" spans="1:4">
      <c r="A10" s="1"/>
      <c r="B10" s="1"/>
      <c r="C10" s="1"/>
      <c r="D10" s="5"/>
    </row>
    <row r="11" spans="1:4">
      <c r="A11" s="185"/>
      <c r="B11" s="1"/>
      <c r="C11" s="1"/>
      <c r="D11" s="5"/>
    </row>
    <row r="12" spans="1:4">
      <c r="A12" s="186"/>
      <c r="B12" s="1"/>
      <c r="C12" s="1"/>
      <c r="D12" s="5"/>
    </row>
    <row r="13" spans="1:4" ht="15" customHeight="1">
      <c r="A13" s="187"/>
      <c r="B13" s="188"/>
      <c r="C13" s="1"/>
      <c r="D13" s="5"/>
    </row>
    <row r="14" spans="1:4">
      <c r="A14" s="152"/>
      <c r="B14" s="151"/>
      <c r="C14" s="5"/>
      <c r="D14" s="5"/>
    </row>
    <row r="15" spans="1:4">
      <c r="A15" s="152"/>
      <c r="B15" s="151"/>
      <c r="C15" s="5"/>
      <c r="D15" s="5"/>
    </row>
    <row r="16" spans="1:4">
      <c r="A16" s="153"/>
      <c r="B16" s="151"/>
      <c r="C16" s="5"/>
      <c r="D16" s="5"/>
    </row>
    <row r="17" spans="1:17">
      <c r="A17" s="153"/>
      <c r="B17" s="151"/>
      <c r="C17" s="5"/>
      <c r="D17" s="5"/>
    </row>
    <row r="18" spans="1:17">
      <c r="A18" s="152"/>
      <c r="B18" s="151"/>
      <c r="C18" s="5"/>
      <c r="D18" s="5"/>
    </row>
    <row r="19" spans="1:17">
      <c r="A19" s="154"/>
      <c r="B19" s="151"/>
      <c r="C19" s="5"/>
      <c r="D19" s="5"/>
    </row>
    <row r="20" spans="1:17">
      <c r="A20" s="155"/>
      <c r="B20" s="151"/>
      <c r="C20" s="5"/>
      <c r="D20" s="5"/>
    </row>
    <row r="21" spans="1:17">
      <c r="A21" s="146"/>
      <c r="B21" s="156"/>
      <c r="C21" s="5"/>
      <c r="D21" s="5"/>
    </row>
    <row r="22" spans="1:17">
      <c r="A22" s="150"/>
      <c r="B22" s="144"/>
      <c r="C22" s="5"/>
      <c r="D22" s="5"/>
    </row>
    <row r="23" spans="1:17">
      <c r="A23" s="5"/>
      <c r="B23" s="5"/>
      <c r="C23" s="5"/>
      <c r="D23" s="5"/>
    </row>
    <row r="24" spans="1:17">
      <c r="A24" s="5"/>
      <c r="B24" s="5"/>
      <c r="C24" s="5"/>
      <c r="D24" s="5"/>
    </row>
    <row r="25" spans="1:17">
      <c r="A25" s="5"/>
      <c r="B25" s="5"/>
      <c r="C25" s="5"/>
      <c r="D25" s="5"/>
    </row>
    <row r="26" spans="1:17">
      <c r="A26" s="5"/>
      <c r="B26" s="5"/>
      <c r="C26" s="5"/>
      <c r="D26" s="5"/>
    </row>
    <row r="32" spans="1:17" ht="15.9" customHeight="1">
      <c r="A32" s="210" t="s">
        <v>268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3"/>
    </row>
    <row r="33" spans="1:17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3"/>
    </row>
  </sheetData>
  <sheetProtection algorithmName="SHA-512" hashValue="CPV1fCaiItdlMCi1Z2IOVD48aCpxgebvUgB25Iqd7dgxI8bvFPm/sXikUIYTb9wLkuf5MDTZNHQyZBkloJMU9g==" saltValue="Uvldt3ynZnqkmzUxog364Q==" spinCount="100000" sheet="1" objects="1" scenarios="1"/>
  <sortState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workbookViewId="0">
      <selection activeCell="H7" sqref="H7"/>
    </sheetView>
  </sheetViews>
  <sheetFormatPr defaultColWidth="9" defaultRowHeight="14.4"/>
  <cols>
    <col min="1" max="1" width="34.6640625" customWidth="1"/>
    <col min="2" max="2" width="15" customWidth="1"/>
  </cols>
  <sheetData>
    <row r="2" spans="1:4">
      <c r="A2" s="1"/>
      <c r="B2" s="1"/>
      <c r="C2" s="1"/>
      <c r="D2" s="5"/>
    </row>
    <row r="3" spans="1:4">
      <c r="A3" s="1"/>
      <c r="B3" s="1"/>
      <c r="C3" s="1"/>
      <c r="D3" s="5"/>
    </row>
    <row r="4" spans="1:4">
      <c r="A4" s="1"/>
      <c r="B4" s="1"/>
      <c r="C4" s="1"/>
      <c r="D4" s="5"/>
    </row>
    <row r="5" spans="1:4" ht="15.6">
      <c r="A5" s="189" t="s">
        <v>207</v>
      </c>
      <c r="B5" s="190" t="s">
        <v>212</v>
      </c>
      <c r="C5" s="1"/>
      <c r="D5" s="5"/>
    </row>
    <row r="6" spans="1:4">
      <c r="A6" s="185" t="s">
        <v>19</v>
      </c>
      <c r="B6" s="191">
        <f>'June 2024'!T22</f>
        <v>48752</v>
      </c>
      <c r="C6" s="1"/>
      <c r="D6" s="5"/>
    </row>
    <row r="7" spans="1:4">
      <c r="A7" s="185" t="s">
        <v>51</v>
      </c>
      <c r="B7" s="191">
        <f>'June 2024'!T58</f>
        <v>295149</v>
      </c>
      <c r="C7" s="1"/>
      <c r="D7" s="5"/>
    </row>
    <row r="8" spans="1:4">
      <c r="A8" s="185" t="s">
        <v>208</v>
      </c>
      <c r="B8" s="191">
        <f>'June 2024'!T93</f>
        <v>45051</v>
      </c>
      <c r="C8" s="1"/>
      <c r="D8" s="5"/>
    </row>
    <row r="9" spans="1:4">
      <c r="A9" s="185" t="s">
        <v>209</v>
      </c>
      <c r="B9" s="191">
        <f>'June 2024'!T125</f>
        <v>16232</v>
      </c>
      <c r="C9" s="1"/>
      <c r="D9" s="5"/>
    </row>
    <row r="10" spans="1:4">
      <c r="A10" s="185" t="s">
        <v>210</v>
      </c>
      <c r="B10" s="191">
        <f>'June 2024'!T133</f>
        <v>217000</v>
      </c>
      <c r="C10" s="1"/>
      <c r="D10" s="5"/>
    </row>
    <row r="11" spans="1:4">
      <c r="A11" s="185" t="s">
        <v>164</v>
      </c>
      <c r="B11" s="191">
        <f>'June 2024'!T163</f>
        <v>66540</v>
      </c>
      <c r="C11" s="1"/>
      <c r="D11" s="5"/>
    </row>
    <row r="12" spans="1:4">
      <c r="A12" s="185" t="s">
        <v>189</v>
      </c>
      <c r="B12" s="191">
        <f>'June 2024'!T169</f>
        <v>13151</v>
      </c>
      <c r="C12" s="1"/>
      <c r="D12" s="5"/>
    </row>
    <row r="13" spans="1:4">
      <c r="A13" s="185" t="s">
        <v>211</v>
      </c>
      <c r="B13" s="191">
        <f>'June 2024'!T191</f>
        <v>12630</v>
      </c>
      <c r="C13" s="1"/>
      <c r="D13" s="5"/>
    </row>
    <row r="14" spans="1:4">
      <c r="A14" s="1"/>
      <c r="B14" s="1"/>
      <c r="C14" s="1"/>
      <c r="D14" s="5"/>
    </row>
    <row r="15" spans="1:4">
      <c r="A15" s="1"/>
      <c r="B15" s="1"/>
      <c r="C15" s="1"/>
      <c r="D15" s="5"/>
    </row>
    <row r="16" spans="1:4">
      <c r="A16" s="1"/>
      <c r="B16" s="1"/>
      <c r="C16" s="1"/>
      <c r="D16" s="5"/>
    </row>
    <row r="17" spans="1:4">
      <c r="A17" s="5"/>
      <c r="B17" s="5"/>
      <c r="C17" s="5"/>
      <c r="D17" s="5"/>
    </row>
    <row r="18" spans="1:4">
      <c r="A18" s="5"/>
      <c r="B18" s="5"/>
      <c r="C18" s="5"/>
      <c r="D18" s="5"/>
    </row>
    <row r="19" spans="1:4">
      <c r="A19" s="5"/>
      <c r="B19" s="5"/>
      <c r="C19" s="5"/>
      <c r="D19" s="5"/>
    </row>
    <row r="20" spans="1:4">
      <c r="A20" s="5"/>
      <c r="B20" s="5"/>
      <c r="C20" s="5"/>
      <c r="D20" s="5"/>
    </row>
    <row r="21" spans="1:4">
      <c r="A21" s="5"/>
      <c r="B21" s="5"/>
      <c r="C21" s="5"/>
      <c r="D21" s="5"/>
    </row>
    <row r="22" spans="1:4">
      <c r="A22" s="5"/>
      <c r="B22" s="5"/>
      <c r="C22" s="5"/>
      <c r="D22" s="5"/>
    </row>
    <row r="23" spans="1:4">
      <c r="A23" s="5"/>
      <c r="B23" s="5"/>
      <c r="C23" s="5"/>
      <c r="D23" s="5"/>
    </row>
    <row r="24" spans="1:4">
      <c r="A24" s="5"/>
      <c r="B24" s="5"/>
      <c r="C24" s="5"/>
      <c r="D24" s="5"/>
    </row>
    <row r="25" spans="1:4">
      <c r="A25" s="5"/>
      <c r="B25" s="5"/>
      <c r="C25" s="5"/>
      <c r="D25" s="5"/>
    </row>
    <row r="26" spans="1:4">
      <c r="A26" s="5"/>
      <c r="B26" s="5"/>
      <c r="C26" s="5"/>
      <c r="D26" s="5"/>
    </row>
  </sheetData>
  <sheetProtection algorithmName="SHA-512" hashValue="nMy7IUiTEbOhm5ZvwlmvaAXDFMbebyFAEQTHqP2Uy1vHmqgwwW4Stlh9XcwiynCEZJS7Iprziv4bBMMkHduOlg==" saltValue="ezaHyeU4i0Yyx6BQk0wu6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June 2024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2025-02-03T13:39:12Z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054E73640F5C4E6A998570FE791E2000_13</vt:lpwstr>
  </property>
  <property fmtid="{D5CDD505-2E9C-101B-9397-08002B2CF9AE}" pid="3" name="KSOProductBuildVer">
    <vt:lpwstr>1033-12.2.0.13266</vt:lpwstr>
  </property>
</Properties>
</file>