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R30" i="1" l="1"/>
  <c r="N139" i="1"/>
  <c r="M139" i="1"/>
  <c r="K139" i="1"/>
  <c r="N134" i="1" l="1"/>
  <c r="K134" i="1"/>
  <c r="M134" i="1"/>
  <c r="N133" i="1" l="1"/>
  <c r="M133" i="1"/>
  <c r="N113" i="1"/>
  <c r="M113" i="1"/>
  <c r="K113" i="1"/>
  <c r="N119" i="1" l="1"/>
  <c r="M119" i="1"/>
  <c r="K119" i="1"/>
  <c r="N137" i="1" l="1"/>
  <c r="M137" i="1"/>
  <c r="K137" i="1"/>
  <c r="N123" i="1"/>
  <c r="M123" i="1"/>
  <c r="K123" i="1"/>
  <c r="N111" i="1"/>
  <c r="M111" i="1"/>
  <c r="K111" i="1"/>
  <c r="K110" i="1"/>
  <c r="N110" i="1"/>
  <c r="M110" i="1"/>
  <c r="N126" i="1" l="1"/>
  <c r="M126" i="1"/>
  <c r="K126" i="1"/>
  <c r="N112" i="1"/>
  <c r="M112" i="1"/>
  <c r="K112" i="1"/>
  <c r="N108" i="1" l="1"/>
  <c r="M108" i="1"/>
  <c r="K108" i="1"/>
  <c r="N115" i="1" l="1"/>
  <c r="M115" i="1"/>
  <c r="K115" i="1"/>
  <c r="N109" i="1"/>
  <c r="M109" i="1"/>
  <c r="K109" i="1"/>
  <c r="N114" i="1"/>
  <c r="M114" i="1"/>
  <c r="K114" i="1"/>
  <c r="N131" i="1" l="1"/>
  <c r="M131" i="1"/>
  <c r="K131" i="1"/>
  <c r="N127" i="1"/>
  <c r="M127" i="1"/>
  <c r="K127" i="1"/>
  <c r="N120" i="1" l="1"/>
  <c r="M120" i="1"/>
  <c r="K120" i="1"/>
  <c r="N130" i="1"/>
  <c r="M130" i="1"/>
  <c r="N121" i="1" l="1"/>
  <c r="M121" i="1"/>
  <c r="K121" i="1"/>
  <c r="N132" i="1"/>
  <c r="M132" i="1"/>
  <c r="K132" i="1"/>
  <c r="N136" i="1" l="1"/>
  <c r="M136" i="1"/>
  <c r="K136" i="1"/>
  <c r="N122" i="1"/>
  <c r="M122" i="1"/>
  <c r="K122" i="1"/>
  <c r="G139" i="1"/>
  <c r="F139" i="1"/>
  <c r="G137" i="1"/>
  <c r="F137" i="1"/>
  <c r="G136" i="1"/>
  <c r="F136" i="1"/>
  <c r="G134" i="1"/>
  <c r="F134" i="1"/>
  <c r="G133" i="1"/>
  <c r="F133" i="1"/>
  <c r="G132" i="1"/>
  <c r="F132" i="1"/>
  <c r="G131" i="1"/>
  <c r="F131" i="1"/>
  <c r="G130" i="1"/>
  <c r="F130" i="1"/>
  <c r="G127" i="1"/>
  <c r="F127" i="1"/>
  <c r="G126" i="1"/>
  <c r="F126" i="1"/>
  <c r="D139" i="1"/>
  <c r="D137" i="1"/>
  <c r="D136" i="1"/>
  <c r="D134" i="1"/>
  <c r="D132" i="1"/>
  <c r="D131" i="1"/>
  <c r="D127" i="1"/>
  <c r="D126" i="1"/>
  <c r="G123" i="1"/>
  <c r="F123" i="1"/>
  <c r="G122" i="1"/>
  <c r="F122" i="1"/>
  <c r="G121" i="1"/>
  <c r="F121" i="1"/>
  <c r="G120" i="1"/>
  <c r="F120" i="1"/>
  <c r="G119" i="1"/>
  <c r="F119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D123" i="1"/>
  <c r="D122" i="1"/>
  <c r="D121" i="1"/>
  <c r="D120" i="1"/>
  <c r="D119" i="1"/>
  <c r="D115" i="1"/>
  <c r="D114" i="1"/>
  <c r="D113" i="1"/>
  <c r="D112" i="1"/>
  <c r="D111" i="1"/>
  <c r="D110" i="1"/>
  <c r="D109" i="1"/>
  <c r="D108" i="1"/>
  <c r="K140" i="1" l="1"/>
  <c r="L128" i="1" s="1"/>
  <c r="R111" i="1" l="1"/>
  <c r="S111" i="1"/>
  <c r="T111" i="1"/>
  <c r="U111" i="1"/>
  <c r="V111" i="1"/>
  <c r="R50" i="1" l="1"/>
  <c r="R202" i="1" l="1"/>
  <c r="V194" i="1" l="1"/>
  <c r="U194" i="1"/>
  <c r="T194" i="1"/>
  <c r="S194" i="1"/>
  <c r="R194" i="1"/>
  <c r="R136" i="1"/>
  <c r="S136" i="1"/>
  <c r="T136" i="1"/>
  <c r="U136" i="1"/>
  <c r="V136" i="1"/>
  <c r="R6" i="1" l="1"/>
  <c r="V178" i="1" l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R89" i="1" l="1"/>
  <c r="V32" i="1" l="1"/>
  <c r="U32" i="1"/>
  <c r="T32" i="1"/>
  <c r="S32" i="1"/>
  <c r="R32" i="1"/>
  <c r="V72" i="1" l="1"/>
  <c r="V47" i="1" l="1"/>
  <c r="U47" i="1"/>
  <c r="T47" i="1"/>
  <c r="S47" i="1"/>
  <c r="R47" i="1"/>
  <c r="J10" i="4" l="1"/>
  <c r="I4" i="5" s="1"/>
  <c r="I3" i="5" s="1"/>
  <c r="I10" i="4"/>
  <c r="H10" i="4"/>
  <c r="G4" i="5" s="1"/>
  <c r="G3" i="5" s="1"/>
  <c r="G10" i="4"/>
  <c r="H12" i="4" s="1"/>
  <c r="F10" i="4"/>
  <c r="E4" i="5" s="1"/>
  <c r="E3" i="5" s="1"/>
  <c r="E10" i="4"/>
  <c r="F12" i="4" s="1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F4" i="5"/>
  <c r="F3" i="5" s="1"/>
  <c r="V234" i="1"/>
  <c r="U234" i="1"/>
  <c r="S234" i="1"/>
  <c r="O234" i="1"/>
  <c r="K234" i="1"/>
  <c r="H234" i="1"/>
  <c r="D234" i="1"/>
  <c r="E232" i="1" s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V222" i="1"/>
  <c r="U222" i="1"/>
  <c r="T222" i="1"/>
  <c r="S222" i="1"/>
  <c r="R222" i="1"/>
  <c r="O219" i="1"/>
  <c r="K219" i="1"/>
  <c r="L218" i="1" s="1"/>
  <c r="H219" i="1"/>
  <c r="D219" i="1"/>
  <c r="E218" i="1" s="1"/>
  <c r="V218" i="1"/>
  <c r="U218" i="1"/>
  <c r="T218" i="1"/>
  <c r="S218" i="1"/>
  <c r="R218" i="1"/>
  <c r="V217" i="1"/>
  <c r="U217" i="1"/>
  <c r="T217" i="1"/>
  <c r="S217" i="1"/>
  <c r="R217" i="1"/>
  <c r="O214" i="1"/>
  <c r="K214" i="1"/>
  <c r="L213" i="1" s="1"/>
  <c r="H214" i="1"/>
  <c r="D214" i="1"/>
  <c r="V213" i="1"/>
  <c r="U213" i="1"/>
  <c r="T213" i="1"/>
  <c r="S213" i="1"/>
  <c r="R213" i="1"/>
  <c r="V209" i="1"/>
  <c r="U209" i="1"/>
  <c r="S209" i="1"/>
  <c r="O209" i="1"/>
  <c r="K209" i="1"/>
  <c r="H209" i="1"/>
  <c r="D209" i="1"/>
  <c r="V208" i="1"/>
  <c r="U208" i="1"/>
  <c r="T208" i="1"/>
  <c r="S208" i="1"/>
  <c r="R208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3" i="1"/>
  <c r="U193" i="1"/>
  <c r="T193" i="1"/>
  <c r="S193" i="1"/>
  <c r="R193" i="1"/>
  <c r="V190" i="1"/>
  <c r="U190" i="1"/>
  <c r="T190" i="1"/>
  <c r="S190" i="1"/>
  <c r="R190" i="1"/>
  <c r="V189" i="1"/>
  <c r="U189" i="1"/>
  <c r="T189" i="1"/>
  <c r="S189" i="1"/>
  <c r="R189" i="1"/>
  <c r="V185" i="1"/>
  <c r="U185" i="1"/>
  <c r="S185" i="1"/>
  <c r="O185" i="1"/>
  <c r="K185" i="1"/>
  <c r="H185" i="1"/>
  <c r="D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79" i="1"/>
  <c r="U179" i="1"/>
  <c r="S179" i="1"/>
  <c r="O179" i="1"/>
  <c r="K179" i="1"/>
  <c r="L157" i="1" s="1"/>
  <c r="H179" i="1"/>
  <c r="D179" i="1"/>
  <c r="V148" i="1"/>
  <c r="U148" i="1"/>
  <c r="S148" i="1"/>
  <c r="O148" i="1"/>
  <c r="K148" i="1"/>
  <c r="B6" i="3" s="1"/>
  <c r="H148" i="1"/>
  <c r="D148" i="1"/>
  <c r="E146" i="1" s="1"/>
  <c r="V147" i="1"/>
  <c r="U147" i="1"/>
  <c r="T147" i="1"/>
  <c r="S147" i="1"/>
  <c r="R147" i="1"/>
  <c r="V146" i="1"/>
  <c r="U146" i="1"/>
  <c r="T146" i="1"/>
  <c r="S146" i="1"/>
  <c r="R146" i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0" i="1"/>
  <c r="U140" i="1"/>
  <c r="S140" i="1"/>
  <c r="O140" i="1"/>
  <c r="H140" i="1"/>
  <c r="V139" i="1"/>
  <c r="U139" i="1"/>
  <c r="T139" i="1"/>
  <c r="R139" i="1"/>
  <c r="V138" i="1"/>
  <c r="U138" i="1"/>
  <c r="T138" i="1"/>
  <c r="S138" i="1"/>
  <c r="R138" i="1"/>
  <c r="V137" i="1"/>
  <c r="U137" i="1"/>
  <c r="T137" i="1"/>
  <c r="S137" i="1"/>
  <c r="V135" i="1"/>
  <c r="U135" i="1"/>
  <c r="T135" i="1"/>
  <c r="S135" i="1"/>
  <c r="R135" i="1"/>
  <c r="V134" i="1"/>
  <c r="U134" i="1"/>
  <c r="T134" i="1"/>
  <c r="S134" i="1"/>
  <c r="V133" i="1"/>
  <c r="U133" i="1"/>
  <c r="T133" i="1"/>
  <c r="R133" i="1"/>
  <c r="S133" i="1"/>
  <c r="V132" i="1"/>
  <c r="U132" i="1"/>
  <c r="T132" i="1"/>
  <c r="S132" i="1"/>
  <c r="V131" i="1"/>
  <c r="U131" i="1"/>
  <c r="T131" i="1"/>
  <c r="S131" i="1"/>
  <c r="R131" i="1"/>
  <c r="V130" i="1"/>
  <c r="U130" i="1"/>
  <c r="T130" i="1"/>
  <c r="R130" i="1"/>
  <c r="V129" i="1"/>
  <c r="U129" i="1"/>
  <c r="T129" i="1"/>
  <c r="S129" i="1"/>
  <c r="R129" i="1"/>
  <c r="V128" i="1"/>
  <c r="U128" i="1"/>
  <c r="T128" i="1"/>
  <c r="S128" i="1"/>
  <c r="R128" i="1"/>
  <c r="V127" i="1"/>
  <c r="U127" i="1"/>
  <c r="T127" i="1"/>
  <c r="S127" i="1"/>
  <c r="V126" i="1"/>
  <c r="U126" i="1"/>
  <c r="T126" i="1"/>
  <c r="S126" i="1"/>
  <c r="R126" i="1"/>
  <c r="V123" i="1"/>
  <c r="U123" i="1"/>
  <c r="T123" i="1"/>
  <c r="S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V113" i="1"/>
  <c r="U113" i="1"/>
  <c r="T113" i="1"/>
  <c r="S113" i="1"/>
  <c r="V112" i="1"/>
  <c r="U112" i="1"/>
  <c r="T112" i="1"/>
  <c r="S112" i="1"/>
  <c r="R112" i="1"/>
  <c r="V110" i="1"/>
  <c r="U110" i="1"/>
  <c r="T110" i="1"/>
  <c r="S110" i="1"/>
  <c r="V109" i="1"/>
  <c r="U109" i="1"/>
  <c r="T109" i="1"/>
  <c r="S109" i="1"/>
  <c r="V108" i="1"/>
  <c r="U108" i="1"/>
  <c r="T108" i="1"/>
  <c r="R108" i="1"/>
  <c r="S108" i="1"/>
  <c r="V104" i="1"/>
  <c r="U104" i="1"/>
  <c r="S104" i="1"/>
  <c r="O104" i="1"/>
  <c r="K104" i="1"/>
  <c r="H104" i="1"/>
  <c r="D104" i="1"/>
  <c r="B15" i="2" s="1"/>
  <c r="B5" i="2" s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5" i="1"/>
  <c r="U65" i="1"/>
  <c r="S65" i="1"/>
  <c r="O65" i="1"/>
  <c r="K65" i="1"/>
  <c r="H65" i="1"/>
  <c r="D65" i="1"/>
  <c r="B14" i="2" s="1"/>
  <c r="B4" i="2" s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V49" i="1"/>
  <c r="U49" i="1"/>
  <c r="T49" i="1"/>
  <c r="S49" i="1"/>
  <c r="R49" i="1"/>
  <c r="V48" i="1"/>
  <c r="U48" i="1"/>
  <c r="T48" i="1"/>
  <c r="S48" i="1"/>
  <c r="R48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1" i="1"/>
  <c r="U31" i="1"/>
  <c r="T31" i="1"/>
  <c r="S31" i="1"/>
  <c r="R31" i="1"/>
  <c r="V30" i="1"/>
  <c r="U30" i="1"/>
  <c r="T30" i="1"/>
  <c r="S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H24" i="1"/>
  <c r="D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82" i="1" l="1"/>
  <c r="L84" i="1"/>
  <c r="L57" i="1"/>
  <c r="B8" i="3"/>
  <c r="B20" i="2"/>
  <c r="B10" i="2" s="1"/>
  <c r="E194" i="1"/>
  <c r="L198" i="1"/>
  <c r="L194" i="1"/>
  <c r="E178" i="1"/>
  <c r="E166" i="1"/>
  <c r="E154" i="1"/>
  <c r="E176" i="1"/>
  <c r="E164" i="1"/>
  <c r="E152" i="1"/>
  <c r="E171" i="1"/>
  <c r="E159" i="1"/>
  <c r="E169" i="1"/>
  <c r="E174" i="1"/>
  <c r="E162" i="1"/>
  <c r="E153" i="1"/>
  <c r="E161" i="1"/>
  <c r="E167" i="1"/>
  <c r="E155" i="1"/>
  <c r="E173" i="1"/>
  <c r="E172" i="1"/>
  <c r="E160" i="1"/>
  <c r="E157" i="1"/>
  <c r="E177" i="1"/>
  <c r="E165" i="1"/>
  <c r="E170" i="1"/>
  <c r="E158" i="1"/>
  <c r="E168" i="1"/>
  <c r="E156" i="1"/>
  <c r="E175" i="1"/>
  <c r="E163" i="1"/>
  <c r="E151" i="1"/>
  <c r="L171" i="1"/>
  <c r="L159" i="1"/>
  <c r="L169" i="1"/>
  <c r="L176" i="1"/>
  <c r="L164" i="1"/>
  <c r="L152" i="1"/>
  <c r="L174" i="1"/>
  <c r="L167" i="1"/>
  <c r="L155" i="1"/>
  <c r="L161" i="1"/>
  <c r="L162" i="1"/>
  <c r="L172" i="1"/>
  <c r="L160" i="1"/>
  <c r="L158" i="1"/>
  <c r="L177" i="1"/>
  <c r="L165" i="1"/>
  <c r="L153" i="1"/>
  <c r="L173" i="1"/>
  <c r="L166" i="1"/>
  <c r="L170" i="1"/>
  <c r="L154" i="1"/>
  <c r="L175" i="1"/>
  <c r="L163" i="1"/>
  <c r="L151" i="1"/>
  <c r="L168" i="1"/>
  <c r="L156" i="1"/>
  <c r="B2" i="3"/>
  <c r="L183" i="1"/>
  <c r="L32" i="1"/>
  <c r="L12" i="1"/>
  <c r="L100" i="1"/>
  <c r="L69" i="1"/>
  <c r="E14" i="1"/>
  <c r="E32" i="1"/>
  <c r="E47" i="1"/>
  <c r="L47" i="1"/>
  <c r="R214" i="1"/>
  <c r="B5" i="3"/>
  <c r="L21" i="1"/>
  <c r="L7" i="1"/>
  <c r="D4" i="5"/>
  <c r="D3" i="5" s="1"/>
  <c r="B4" i="3"/>
  <c r="L196" i="1"/>
  <c r="R234" i="1"/>
  <c r="E230" i="1"/>
  <c r="E228" i="1"/>
  <c r="E226" i="1"/>
  <c r="E8" i="1"/>
  <c r="L205" i="1"/>
  <c r="E190" i="1"/>
  <c r="T234" i="1"/>
  <c r="J12" i="4"/>
  <c r="E12" i="1"/>
  <c r="E10" i="1"/>
  <c r="E6" i="1"/>
  <c r="E18" i="1"/>
  <c r="E195" i="1"/>
  <c r="E217" i="1"/>
  <c r="E224" i="1"/>
  <c r="E82" i="1"/>
  <c r="E22" i="1"/>
  <c r="E46" i="1"/>
  <c r="E20" i="1"/>
  <c r="E16" i="1"/>
  <c r="E71" i="1"/>
  <c r="E102" i="1"/>
  <c r="E98" i="1"/>
  <c r="E74" i="1"/>
  <c r="E96" i="1"/>
  <c r="S139" i="1"/>
  <c r="E222" i="1"/>
  <c r="E233" i="1"/>
  <c r="E94" i="1"/>
  <c r="E92" i="1"/>
  <c r="E76" i="1"/>
  <c r="E68" i="1"/>
  <c r="E70" i="1"/>
  <c r="E144" i="1"/>
  <c r="T185" i="1"/>
  <c r="E88" i="1"/>
  <c r="E80" i="1"/>
  <c r="E100" i="1"/>
  <c r="E86" i="1"/>
  <c r="E69" i="1"/>
  <c r="E78" i="1"/>
  <c r="E84" i="1"/>
  <c r="L23" i="1"/>
  <c r="E91" i="1"/>
  <c r="E93" i="1"/>
  <c r="E95" i="1"/>
  <c r="E97" i="1"/>
  <c r="E99" i="1"/>
  <c r="E101" i="1"/>
  <c r="E103" i="1"/>
  <c r="E223" i="1"/>
  <c r="E225" i="1"/>
  <c r="E227" i="1"/>
  <c r="E229" i="1"/>
  <c r="E231" i="1"/>
  <c r="L19" i="1"/>
  <c r="E73" i="1"/>
  <c r="E75" i="1"/>
  <c r="E77" i="1"/>
  <c r="E79" i="1"/>
  <c r="E81" i="1"/>
  <c r="E83" i="1"/>
  <c r="E85" i="1"/>
  <c r="E87" i="1"/>
  <c r="E89" i="1"/>
  <c r="L15" i="1"/>
  <c r="T140" i="1"/>
  <c r="L11" i="1"/>
  <c r="L143" i="1"/>
  <c r="L147" i="1"/>
  <c r="L233" i="1"/>
  <c r="T65" i="1"/>
  <c r="L182" i="1"/>
  <c r="L184" i="1"/>
  <c r="E198" i="1"/>
  <c r="E200" i="1"/>
  <c r="E202" i="1"/>
  <c r="E204" i="1"/>
  <c r="T209" i="1"/>
  <c r="L6" i="1"/>
  <c r="L10" i="1"/>
  <c r="L14" i="1"/>
  <c r="L18" i="1"/>
  <c r="L22" i="1"/>
  <c r="E189" i="1"/>
  <c r="E193" i="1"/>
  <c r="E196" i="1"/>
  <c r="E208" i="1"/>
  <c r="H210" i="1"/>
  <c r="H235" i="1" s="1"/>
  <c r="R219" i="1"/>
  <c r="D140" i="1"/>
  <c r="E111" i="1" s="1"/>
  <c r="T104" i="1"/>
  <c r="L146" i="1"/>
  <c r="T148" i="1"/>
  <c r="T179" i="1"/>
  <c r="E199" i="1"/>
  <c r="E201" i="1"/>
  <c r="E203" i="1"/>
  <c r="E205" i="1"/>
  <c r="C4" i="5"/>
  <c r="C3" i="5" s="1"/>
  <c r="D12" i="4"/>
  <c r="G12" i="4"/>
  <c r="H4" i="5"/>
  <c r="H3" i="5" s="1"/>
  <c r="I12" i="4"/>
  <c r="E90" i="1"/>
  <c r="L42" i="1"/>
  <c r="L63" i="1"/>
  <c r="L78" i="1"/>
  <c r="L102" i="1"/>
  <c r="L59" i="1"/>
  <c r="L55" i="1"/>
  <c r="L53" i="1"/>
  <c r="L61" i="1"/>
  <c r="L51" i="1"/>
  <c r="L49" i="1"/>
  <c r="E54" i="1"/>
  <c r="E56" i="1"/>
  <c r="E58" i="1"/>
  <c r="E60" i="1"/>
  <c r="E62" i="1"/>
  <c r="E64" i="1"/>
  <c r="E52" i="1"/>
  <c r="E50" i="1"/>
  <c r="E48" i="1"/>
  <c r="L193" i="1"/>
  <c r="L199" i="1"/>
  <c r="L189" i="1"/>
  <c r="L197" i="1"/>
  <c r="L201" i="1"/>
  <c r="L225" i="1"/>
  <c r="L229" i="1"/>
  <c r="L223" i="1"/>
  <c r="L227" i="1"/>
  <c r="L231" i="1"/>
  <c r="L222" i="1"/>
  <c r="L224" i="1"/>
  <c r="L226" i="1"/>
  <c r="L228" i="1"/>
  <c r="L230" i="1"/>
  <c r="L232" i="1"/>
  <c r="L86" i="1"/>
  <c r="L94" i="1"/>
  <c r="L203" i="1"/>
  <c r="L71" i="1"/>
  <c r="E72" i="1"/>
  <c r="L98" i="1"/>
  <c r="L46" i="1"/>
  <c r="L76" i="1"/>
  <c r="L80" i="1"/>
  <c r="L88" i="1"/>
  <c r="L92" i="1"/>
  <c r="L96" i="1"/>
  <c r="R148" i="1"/>
  <c r="L144" i="1"/>
  <c r="L145" i="1"/>
  <c r="L27" i="1"/>
  <c r="E28" i="1"/>
  <c r="L29" i="1"/>
  <c r="E30" i="1"/>
  <c r="L31" i="1"/>
  <c r="E33" i="1"/>
  <c r="E35" i="1"/>
  <c r="L36" i="1"/>
  <c r="E37" i="1"/>
  <c r="L38" i="1"/>
  <c r="E39" i="1"/>
  <c r="L40" i="1"/>
  <c r="E41" i="1"/>
  <c r="E43" i="1"/>
  <c r="L44" i="1"/>
  <c r="E45" i="1"/>
  <c r="L8" i="1"/>
  <c r="L9" i="1"/>
  <c r="L13" i="1"/>
  <c r="L16" i="1"/>
  <c r="L17" i="1"/>
  <c r="L20" i="1"/>
  <c r="R179" i="1"/>
  <c r="B7" i="3"/>
  <c r="C15" i="2"/>
  <c r="C5" i="2" s="1"/>
  <c r="R110" i="1"/>
  <c r="R113" i="1"/>
  <c r="R114" i="1"/>
  <c r="R120" i="1"/>
  <c r="E7" i="1"/>
  <c r="E9" i="1"/>
  <c r="E11" i="1"/>
  <c r="E13" i="1"/>
  <c r="E15" i="1"/>
  <c r="E17" i="1"/>
  <c r="E19" i="1"/>
  <c r="E21" i="1"/>
  <c r="E23" i="1"/>
  <c r="B3" i="3"/>
  <c r="C13" i="2"/>
  <c r="C3" i="2" s="1"/>
  <c r="O210" i="1"/>
  <c r="O235" i="1" s="1"/>
  <c r="E27" i="1"/>
  <c r="L28" i="1"/>
  <c r="E29" i="1"/>
  <c r="L30" i="1"/>
  <c r="E31" i="1"/>
  <c r="L33" i="1"/>
  <c r="E34" i="1"/>
  <c r="L35" i="1"/>
  <c r="E36" i="1"/>
  <c r="L37" i="1"/>
  <c r="E38" i="1"/>
  <c r="L39" i="1"/>
  <c r="E40" i="1"/>
  <c r="L41" i="1"/>
  <c r="E42" i="1"/>
  <c r="L43" i="1"/>
  <c r="E44" i="1"/>
  <c r="L45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E63" i="1"/>
  <c r="L64" i="1"/>
  <c r="R65" i="1"/>
  <c r="L68" i="1"/>
  <c r="L70" i="1"/>
  <c r="L72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L103" i="1"/>
  <c r="R104" i="1"/>
  <c r="R109" i="1"/>
  <c r="R123" i="1"/>
  <c r="R127" i="1"/>
  <c r="S130" i="1"/>
  <c r="B19" i="2"/>
  <c r="B9" i="2" s="1"/>
  <c r="E184" i="1"/>
  <c r="E182" i="1"/>
  <c r="B13" i="2"/>
  <c r="B3" i="2" s="1"/>
  <c r="R24" i="1"/>
  <c r="T24" i="1"/>
  <c r="C14" i="2"/>
  <c r="C4" i="2" s="1"/>
  <c r="L90" i="1"/>
  <c r="R132" i="1"/>
  <c r="R134" i="1"/>
  <c r="R137" i="1"/>
  <c r="B17" i="2"/>
  <c r="B7" i="2" s="1"/>
  <c r="E147" i="1"/>
  <c r="E145" i="1"/>
  <c r="E143" i="1"/>
  <c r="B18" i="2"/>
  <c r="B8" i="2" s="1"/>
  <c r="E183" i="1"/>
  <c r="R185" i="1"/>
  <c r="L190" i="1"/>
  <c r="L195" i="1"/>
  <c r="L200" i="1"/>
  <c r="L202" i="1"/>
  <c r="L204" i="1"/>
  <c r="L208" i="1"/>
  <c r="R209" i="1"/>
  <c r="E213" i="1"/>
  <c r="L217" i="1"/>
  <c r="C17" i="2"/>
  <c r="C7" i="2" s="1"/>
  <c r="C18" i="2"/>
  <c r="C8" i="2" s="1"/>
  <c r="C19" i="2"/>
  <c r="C9" i="2" s="1"/>
  <c r="C20" i="2"/>
  <c r="C10" i="2" s="1"/>
  <c r="L111" i="1" l="1"/>
  <c r="B9" i="3"/>
  <c r="E123" i="1"/>
  <c r="E136" i="1"/>
  <c r="L120" i="1"/>
  <c r="L136" i="1"/>
  <c r="E126" i="1"/>
  <c r="E130" i="1"/>
  <c r="E131" i="1"/>
  <c r="E122" i="1"/>
  <c r="E108" i="1"/>
  <c r="E113" i="1"/>
  <c r="E127" i="1"/>
  <c r="D210" i="1"/>
  <c r="E65" i="1" s="1"/>
  <c r="E120" i="1"/>
  <c r="E137" i="1"/>
  <c r="E128" i="1"/>
  <c r="E110" i="1"/>
  <c r="E112" i="1"/>
  <c r="E139" i="1"/>
  <c r="E134" i="1"/>
  <c r="E115" i="1"/>
  <c r="E129" i="1"/>
  <c r="E116" i="1"/>
  <c r="E133" i="1"/>
  <c r="E132" i="1"/>
  <c r="E118" i="1"/>
  <c r="E135" i="1"/>
  <c r="E119" i="1"/>
  <c r="B16" i="2"/>
  <c r="B6" i="2" s="1"/>
  <c r="E121" i="1"/>
  <c r="E117" i="1"/>
  <c r="E109" i="1"/>
  <c r="L134" i="1"/>
  <c r="K210" i="1"/>
  <c r="L140" i="1" s="1"/>
  <c r="L127" i="1"/>
  <c r="L110" i="1"/>
  <c r="C16" i="2"/>
  <c r="C6" i="2" s="1"/>
  <c r="L138" i="1"/>
  <c r="L130" i="1"/>
  <c r="L139" i="1"/>
  <c r="L135" i="1"/>
  <c r="L133" i="1"/>
  <c r="R140" i="1"/>
  <c r="L131" i="1"/>
  <c r="L129" i="1"/>
  <c r="L126" i="1"/>
  <c r="L122" i="1"/>
  <c r="L118" i="1"/>
  <c r="L116" i="1"/>
  <c r="L108" i="1"/>
  <c r="L121" i="1"/>
  <c r="L119" i="1"/>
  <c r="L117" i="1"/>
  <c r="L115" i="1"/>
  <c r="L112" i="1"/>
  <c r="L109" i="1"/>
  <c r="L137" i="1"/>
  <c r="L132" i="1"/>
  <c r="L123" i="1"/>
  <c r="L113" i="1"/>
  <c r="L114" i="1"/>
  <c r="E185" i="1" l="1"/>
  <c r="E104" i="1"/>
  <c r="E179" i="1"/>
  <c r="E148" i="1"/>
  <c r="E209" i="1"/>
  <c r="D235" i="1"/>
  <c r="E24" i="1"/>
  <c r="E140" i="1"/>
  <c r="K235" i="1"/>
  <c r="R210" i="1"/>
  <c r="L185" i="1"/>
  <c r="L24" i="1"/>
  <c r="L179" i="1"/>
  <c r="L148" i="1"/>
  <c r="L65" i="1"/>
  <c r="L104" i="1"/>
  <c r="L209" i="1"/>
</calcChain>
</file>

<file path=xl/sharedStrings.xml><?xml version="1.0" encoding="utf-8"?>
<sst xmlns="http://schemas.openxmlformats.org/spreadsheetml/2006/main" count="483" uniqueCount="305">
  <si>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</si>
  <si>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</si>
  <si>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</si>
  <si>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</si>
  <si>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</si>
  <si>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</si>
  <si>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</si>
  <si>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</si>
  <si>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</si>
  <si>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</si>
  <si>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</si>
  <si>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</si>
  <si>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</si>
  <si>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</si>
  <si>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</si>
  <si>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</si>
  <si>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</si>
  <si>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</si>
  <si>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</si>
  <si>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</si>
  <si>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</si>
  <si>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</si>
  <si>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</si>
  <si>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</si>
  <si>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</si>
  <si>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</si>
  <si>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</si>
  <si>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</si>
  <si>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</si>
  <si>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</si>
  <si>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</si>
  <si>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</si>
  <si>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</si>
  <si>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</si>
  <si>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</si>
  <si>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</si>
  <si>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</si>
  <si>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</si>
  <si>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</si>
  <si>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</si>
  <si>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</si>
  <si>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</si>
  <si>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</si>
  <si>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</si>
  <si>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</si>
  <si>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</si>
  <si>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</si>
  <si>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</si>
  <si>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</si>
  <si>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</si>
  <si>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</si>
  <si>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</si>
  <si>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</si>
  <si>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</si>
  <si>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</si>
  <si>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</si>
  <si>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</si>
  <si>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</si>
  <si>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</si>
  <si>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</si>
  <si>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</si>
  <si>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</si>
  <si>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</si>
  <si>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</si>
  <si>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</si>
  <si>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</si>
  <si>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</si>
  <si>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</si>
  <si>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</si>
  <si>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</si>
  <si>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</si>
  <si>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</si>
  <si>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</si>
  <si>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</si>
  <si>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</si>
  <si>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</si>
  <si>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</si>
  <si>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</si>
  <si>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</si>
  <si>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</si>
  <si>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</si>
  <si>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</si>
  <si>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</si>
  <si>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</si>
  <si>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</si>
  <si>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</si>
  <si>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</si>
  <si>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</si>
  <si>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</si>
  <si>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</si>
  <si>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</si>
  <si>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</si>
  <si>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</si>
  <si>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</si>
  <si>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</si>
  <si>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</si>
  <si>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</si>
  <si>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</si>
  <si>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</si>
  <si>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</si>
  <si>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</si>
  <si>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</si>
  <si>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</si>
  <si>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</si>
  <si>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</si>
  <si>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</si>
  <si>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</si>
  <si>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</si>
  <si>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</si>
  <si>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</si>
  <si>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</si>
  <si>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</si>
  <si>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</si>
  <si>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</si>
  <si>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</si>
  <si>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</si>
  <si>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</si>
  <si>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</si>
  <si>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</si>
  <si>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</si>
  <si>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</si>
  <si>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</si>
  <si>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</si>
  <si>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</si>
  <si>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</si>
  <si>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</si>
  <si>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</si>
  <si>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</si>
  <si>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</si>
  <si>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</si>
  <si>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</si>
  <si>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</si>
  <si>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</si>
  <si>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</si>
  <si>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</si>
  <si>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</si>
  <si>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</si>
  <si>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</si>
  <si>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</si>
  <si>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</si>
  <si>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</si>
  <si>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</si>
  <si>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</si>
  <si>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</si>
  <si>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</si>
  <si>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</si>
  <si>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</si>
  <si>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</si>
  <si>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</si>
  <si>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</si>
  <si>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</si>
  <si>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</si>
  <si>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</si>
  <si>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</si>
  <si>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</si>
  <si>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</si>
  <si>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</si>
  <si>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</si>
  <si>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</si>
  <si>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</si>
  <si>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</si>
  <si>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</si>
  <si>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</si>
  <si>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</si>
  <si>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</si>
  <si>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</si>
  <si>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</si>
  <si>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</si>
  <si>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</si>
  <si>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</si>
  <si>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</si>
  <si>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</si>
  <si>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</si>
  <si>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</si>
  <si>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</si>
  <si>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</si>
  <si>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</si>
  <si>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</si>
  <si>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</si>
  <si>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</si>
  <si>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</si>
  <si>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</si>
  <si>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</si>
  <si>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</si>
  <si>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</si>
  <si>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</si>
  <si>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</si>
  <si>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</si>
  <si>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</si>
  <si>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</si>
  <si>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</si>
  <si>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</si>
  <si>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</si>
  <si>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</si>
  <si>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</si>
  <si>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</si>
  <si>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</si>
  <si>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</si>
  <si>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</si>
  <si>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</si>
  <si>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</si>
  <si>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</si>
  <si>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</si>
  <si>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</si>
  <si>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</si>
  <si>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</si>
  <si>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</si>
  <si>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</si>
  <si>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</si>
  <si>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</si>
  <si>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</si>
  <si>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</si>
  <si>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</si>
  <si>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</si>
  <si>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</si>
  <si>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</si>
  <si>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</si>
  <si>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</si>
  <si>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</si>
  <si>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</si>
  <si>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</si>
  <si>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</si>
  <si>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</si>
  <si>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</si>
  <si>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</si>
  <si>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</si>
  <si>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</si>
  <si>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</si>
  <si>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</si>
  <si>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</si>
  <si>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</si>
  <si>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</si>
  <si>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</si>
  <si>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</si>
  <si>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</si>
  <si>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</si>
  <si>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</si>
  <si>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</si>
  <si>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</si>
  <si>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</si>
  <si>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</si>
  <si>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</si>
  <si>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</si>
  <si>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</si>
  <si>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</si>
  <si>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</si>
  <si>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</si>
  <si>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</si>
  <si>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</si>
  <si>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</si>
  <si>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</si>
  <si>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</si>
  <si>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</si>
  <si>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</si>
  <si>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</si>
  <si>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</si>
  <si>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</si>
  <si>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</si>
  <si>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</si>
  <si>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</si>
  <si>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</si>
  <si>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</si>
  <si>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</si>
  <si>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</si>
  <si>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</si>
  <si>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</si>
  <si>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</si>
  <si>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</si>
  <si>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</si>
  <si>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</si>
  <si>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</si>
  <si>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</si>
  <si>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</si>
  <si>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</si>
  <si>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</si>
  <si>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</si>
  <si>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</si>
  <si>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</si>
  <si>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</si>
  <si>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</si>
  <si>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</si>
  <si>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</si>
  <si>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</si>
  <si>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</si>
  <si>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</si>
  <si>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</si>
  <si>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</si>
  <si>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</si>
  <si>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</si>
  <si>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</si>
  <si>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</si>
  <si>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</si>
  <si>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</si>
  <si>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</si>
  <si>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</si>
  <si>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</si>
  <si>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</si>
  <si>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NAV, Unit Price and Yield as at Week Ended January 24, 2025</t>
  </si>
  <si>
    <t>0.44%</t>
  </si>
  <si>
    <t>Week Ended January 24, 2025</t>
  </si>
  <si>
    <t>WEEKLY VALUATION REPORT OF COLLECTIVE INVESTMENT SCHEMES AS AT WEEK ENDED FRIDAY, JANUARY 31, 2025</t>
  </si>
  <si>
    <t>NAV, Unit Price and Yield as at Week Ended January 31, 2025</t>
  </si>
  <si>
    <t>NFEM RATE NG₦/US$ as at 31st January, 2025 = N1,478.22</t>
  </si>
  <si>
    <t>0.07%</t>
  </si>
  <si>
    <t>Week Ended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</si>
</sst>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4">
    <font>
      <sz val="11"/>
      <color theme="1"/>
      <name val="Calibri"/>
      <charset val="134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33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21" borderId="0" applyNumberFormat="0" applyBorder="0" applyAlignment="0" applyProtection="0"/>
    <xf numFmtId="0" fontId="35" fillId="0" borderId="0"/>
    <xf numFmtId="0" fontId="38" fillId="0" borderId="0"/>
    <xf numFmtId="0" fontId="36" fillId="0" borderId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92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4" fillId="2" borderId="0" xfId="0" applyFont="1" applyFill="1" applyAlignment="1">
      <alignment wrapText="1"/>
    </xf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7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8" fillId="16" borderId="1" xfId="1" applyFont="1" applyFill="1" applyBorder="1" applyAlignment="1">
      <alignment horizontal="right" vertical="top" wrapText="1"/>
    </xf>
    <xf numFmtId="4" fontId="28" fillId="16" borderId="1" xfId="0" applyNumberFormat="1" applyFont="1" applyFill="1" applyBorder="1" applyAlignment="1">
      <alignment horizontal="right"/>
    </xf>
    <xf numFmtId="0" fontId="29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30" fillId="0" borderId="0" xfId="0" applyFont="1"/>
    <xf numFmtId="43" fontId="0" fillId="0" borderId="0" xfId="0" applyNumberFormat="1"/>
    <xf numFmtId="0" fontId="31" fillId="0" borderId="0" xfId="0" applyFont="1"/>
    <xf numFmtId="0" fontId="25" fillId="2" borderId="0" xfId="0" applyFont="1" applyFill="1" applyAlignment="1">
      <alignment wrapText="1"/>
    </xf>
    <xf numFmtId="43" fontId="31" fillId="0" borderId="0" xfId="11" applyFont="1" applyBorder="1"/>
    <xf numFmtId="2" fontId="31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8" fillId="16" borderId="1" xfId="2" applyFont="1" applyFill="1" applyBorder="1" applyAlignment="1">
      <alignment horizontal="center"/>
    </xf>
    <xf numFmtId="4" fontId="28" fillId="16" borderId="1" xfId="0" applyNumberFormat="1" applyFont="1" applyFill="1" applyBorder="1" applyAlignment="1">
      <alignment horizontal="center"/>
    </xf>
    <xf numFmtId="10" fontId="31" fillId="0" borderId="0" xfId="2" applyNumberFormat="1" applyFont="1" applyBorder="1"/>
    <xf numFmtId="10" fontId="32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8" fillId="16" borderId="1" xfId="2" applyNumberFormat="1" applyFont="1" applyFill="1" applyBorder="1" applyAlignment="1">
      <alignment horizontal="center" vertical="top" wrapText="1"/>
    </xf>
    <xf numFmtId="166" fontId="28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 vertical="top" wrapText="1"/>
    </xf>
    <xf numFmtId="4" fontId="3" fillId="2" borderId="0" xfId="0" applyNumberFormat="1" applyFont="1" applyFill="1" applyAlignment="1">
      <alignment horizontal="right"/>
    </xf>
    <xf numFmtId="0" fontId="41" fillId="8" borderId="1" xfId="0" applyFont="1" applyFill="1" applyBorder="1"/>
    <xf numFmtId="0" fontId="42" fillId="0" borderId="0" xfId="0" applyFont="1"/>
    <xf numFmtId="0" fontId="29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6" fillId="0" borderId="0" xfId="0" applyNumberFormat="1" applyFont="1"/>
    <xf numFmtId="0" fontId="8" fillId="0" borderId="0" xfId="0" applyFont="1" applyBorder="1"/>
    <xf numFmtId="0" fontId="44" fillId="0" borderId="0" xfId="0" applyFont="1" applyBorder="1" applyAlignment="1">
      <alignment horizontal="right"/>
    </xf>
    <xf numFmtId="16" fontId="44" fillId="2" borderId="0" xfId="0" applyNumberFormat="1" applyFont="1" applyFill="1" applyBorder="1" applyAlignment="1">
      <alignment horizontal="center" wrapText="1"/>
    </xf>
    <xf numFmtId="0" fontId="44" fillId="0" borderId="0" xfId="0" applyFont="1" applyBorder="1" applyAlignment="1">
      <alignment horizontal="right" wrapText="1"/>
    </xf>
    <xf numFmtId="4" fontId="45" fillId="2" borderId="0" xfId="0" applyNumberFormat="1" applyFont="1" applyFill="1" applyBorder="1"/>
    <xf numFmtId="4" fontId="45" fillId="2" borderId="0" xfId="0" applyNumberFormat="1" applyFont="1" applyFill="1" applyBorder="1" applyAlignment="1">
      <alignment horizontal="right"/>
    </xf>
    <xf numFmtId="164" fontId="45" fillId="2" borderId="0" xfId="1" applyFont="1" applyFill="1" applyBorder="1" applyAlignment="1">
      <alignment horizontal="right" vertical="top" wrapText="1"/>
    </xf>
    <xf numFmtId="0" fontId="46" fillId="0" borderId="0" xfId="0" applyFont="1" applyBorder="1" applyAlignment="1">
      <alignment horizontal="right" wrapText="1"/>
    </xf>
    <xf numFmtId="164" fontId="47" fillId="0" borderId="0" xfId="1" applyFont="1" applyBorder="1"/>
    <xf numFmtId="4" fontId="47" fillId="2" borderId="0" xfId="0" applyNumberFormat="1" applyFont="1" applyFill="1" applyBorder="1"/>
    <xf numFmtId="0" fontId="46" fillId="0" borderId="0" xfId="0" applyFont="1" applyBorder="1" applyAlignment="1">
      <alignment horizontal="right"/>
    </xf>
    <xf numFmtId="4" fontId="47" fillId="2" borderId="0" xfId="0" applyNumberFormat="1" applyFont="1" applyFill="1" applyBorder="1" applyAlignment="1">
      <alignment horizontal="right"/>
    </xf>
    <xf numFmtId="164" fontId="47" fillId="2" borderId="0" xfId="1" applyFont="1" applyFill="1" applyBorder="1" applyAlignment="1">
      <alignment horizontal="right" vertical="top" wrapText="1"/>
    </xf>
    <xf numFmtId="0" fontId="48" fillId="0" borderId="0" xfId="0" applyFont="1" applyBorder="1" applyAlignment="1">
      <alignment horizontal="right"/>
    </xf>
    <xf numFmtId="4" fontId="49" fillId="2" borderId="0" xfId="0" applyNumberFormat="1" applyFont="1" applyFill="1" applyBorder="1" applyAlignment="1">
      <alignment horizontal="right"/>
    </xf>
    <xf numFmtId="4" fontId="49" fillId="2" borderId="0" xfId="0" applyNumberFormat="1" applyFont="1" applyFill="1" applyBorder="1"/>
    <xf numFmtId="0" fontId="48" fillId="0" borderId="0" xfId="0" applyFont="1" applyAlignment="1">
      <alignment horizontal="right"/>
    </xf>
    <xf numFmtId="4" fontId="49" fillId="2" borderId="0" xfId="0" applyNumberFormat="1" applyFont="1" applyFill="1"/>
    <xf numFmtId="164" fontId="49" fillId="2" borderId="0" xfId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right"/>
    </xf>
    <xf numFmtId="16" fontId="48" fillId="2" borderId="0" xfId="0" applyNumberFormat="1" applyFont="1" applyFill="1" applyBorder="1"/>
    <xf numFmtId="164" fontId="8" fillId="0" borderId="0" xfId="1" applyFont="1" applyBorder="1"/>
    <xf numFmtId="0" fontId="43" fillId="0" borderId="0" xfId="0" applyFont="1"/>
    <xf numFmtId="16" fontId="51" fillId="2" borderId="0" xfId="0" applyNumberFormat="1" applyFont="1" applyFill="1"/>
    <xf numFmtId="164" fontId="52" fillId="0" borderId="0" xfId="1" applyFont="1"/>
    <xf numFmtId="43" fontId="52" fillId="0" borderId="0" xfId="0" applyNumberFormat="1" applyFont="1"/>
    <xf numFmtId="4" fontId="52" fillId="0" borderId="0" xfId="0" applyNumberFormat="1" applyFont="1"/>
    <xf numFmtId="0" fontId="16" fillId="0" borderId="1" xfId="0" applyFont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4" fontId="16" fillId="0" borderId="1" xfId="0" applyNumberFormat="1" applyFont="1" applyBorder="1" applyAlignment="1">
      <alignment wrapText="1"/>
    </xf>
    <xf numFmtId="49" fontId="16" fillId="0" borderId="1" xfId="0" applyNumberFormat="1" applyFont="1" applyBorder="1" applyAlignment="1">
      <alignment wrapText="1"/>
    </xf>
    <xf numFmtId="0" fontId="16" fillId="2" borderId="1" xfId="0" applyFont="1" applyFill="1" applyBorder="1" applyAlignment="1">
      <alignment horizontal="left" wrapText="1"/>
    </xf>
    <xf numFmtId="0" fontId="6" fillId="0" borderId="0" xfId="0" applyFont="1" applyBorder="1"/>
    <xf numFmtId="0" fontId="53" fillId="0" borderId="0" xfId="0" applyFont="1" applyBorder="1"/>
    <xf numFmtId="0" fontId="7" fillId="0" borderId="0" xfId="0" applyFont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/>
    <xf numFmtId="164" fontId="3" fillId="2" borderId="0" xfId="1" applyFont="1" applyFill="1" applyBorder="1" applyAlignment="1">
      <alignment horizontal="right" vertical="top"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26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</cellXfs>
  <cellStyles count="31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13" xfId="29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January 24,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33.667453981210002</c:v>
                </c:pt>
                <c:pt idx="1">
                  <c:v>1887.2726802340167</c:v>
                </c:pt>
                <c:pt idx="2">
                  <c:v>193.29511705489386</c:v>
                </c:pt>
                <c:pt idx="3">
                  <c:v>1788.0254439223008</c:v>
                </c:pt>
                <c:pt idx="4">
                  <c:v>100.88315171523095</c:v>
                </c:pt>
                <c:pt idx="5" formatCode="_-* #,##0.00_-;\-* #,##0.00_-;_-* &quot;-&quot;??_-;_-@_-">
                  <c:v>55.157132700650408</c:v>
                </c:pt>
                <c:pt idx="6">
                  <c:v>6.1473936605699997</c:v>
                </c:pt>
                <c:pt idx="7">
                  <c:v>54.941389819284474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January 31,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34.311367067189998</c:v>
                </c:pt>
                <c:pt idx="1">
                  <c:v>1936.4996495596733</c:v>
                </c:pt>
                <c:pt idx="2">
                  <c:v>192.71076472850817</c:v>
                </c:pt>
                <c:pt idx="3">
                  <c:v>1729.8545888020953</c:v>
                </c:pt>
                <c:pt idx="4">
                  <c:v>100.94394219636</c:v>
                </c:pt>
                <c:pt idx="5" formatCode="_-* #,##0.00_-;\-* #,##0.00_-;_-* &quot;-&quot;??_-;_-@_-">
                  <c:v>55.883226354418106</c:v>
                </c:pt>
                <c:pt idx="6">
                  <c:v>6.2638631020599993</c:v>
                </c:pt>
                <c:pt idx="7">
                  <c:v>55.353096361686781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31ST JANUARY,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31-Jan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6263863102.0599995</c:v>
                </c:pt>
                <c:pt idx="1">
                  <c:v>34311367067.189999</c:v>
                </c:pt>
                <c:pt idx="2" formatCode="_-* #,##0.00_-;\-* #,##0.00_-;_-* &quot;-&quot;??_-;_-@_-">
                  <c:v>55353096361.686783</c:v>
                </c:pt>
                <c:pt idx="3">
                  <c:v>55883226354.418106</c:v>
                </c:pt>
                <c:pt idx="4">
                  <c:v>100943942196.36</c:v>
                </c:pt>
                <c:pt idx="5">
                  <c:v>192710764728.50818</c:v>
                </c:pt>
                <c:pt idx="6">
                  <c:v>1936499649559.6733</c:v>
                </c:pt>
                <c:pt idx="7">
                  <c:v>1729854588802.0955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45639</c:v>
                </c:pt>
                <c:pt idx="1">
                  <c:v>45646</c:v>
                </c:pt>
                <c:pt idx="2">
                  <c:v>45653</c:v>
                </c:pt>
                <c:pt idx="3">
                  <c:v>45660</c:v>
                </c:pt>
                <c:pt idx="4">
                  <c:v>45667</c:v>
                </c:pt>
                <c:pt idx="5">
                  <c:v>45674</c:v>
                </c:pt>
                <c:pt idx="6">
                  <c:v>45681</c:v>
                </c:pt>
                <c:pt idx="7">
                  <c:v>45688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3751.2644931970517</c:v>
                </c:pt>
                <c:pt idx="1">
                  <c:v>3792.1276820114672</c:v>
                </c:pt>
                <c:pt idx="2">
                  <c:v>3829.831201863391</c:v>
                </c:pt>
                <c:pt idx="3">
                  <c:v>3883.4933818535656</c:v>
                </c:pt>
                <c:pt idx="4">
                  <c:v>3964.1148250792808</c:v>
                </c:pt>
                <c:pt idx="5">
                  <c:v>4019.7056298340649</c:v>
                </c:pt>
                <c:pt idx="6">
                  <c:v>4119.3897630881565</c:v>
                </c:pt>
                <c:pt idx="7">
                  <c:v>4111.8204981719919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45639</c:v>
                </c:pt>
                <c:pt idx="1">
                  <c:v>45646</c:v>
                </c:pt>
                <c:pt idx="2">
                  <c:v>45653</c:v>
                </c:pt>
                <c:pt idx="3">
                  <c:v>45660</c:v>
                </c:pt>
                <c:pt idx="4">
                  <c:v>45667</c:v>
                </c:pt>
                <c:pt idx="5">
                  <c:v>45674</c:v>
                </c:pt>
                <c:pt idx="6">
                  <c:v>45681</c:v>
                </c:pt>
                <c:pt idx="7">
                  <c:v>45688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12.494363671946113</c:v>
                </c:pt>
                <c:pt idx="1">
                  <c:v>12.568890044927004</c:v>
                </c:pt>
                <c:pt idx="2">
                  <c:v>12.767135898969396</c:v>
                </c:pt>
                <c:pt idx="3">
                  <c:v>12.486443329167654</c:v>
                </c:pt>
                <c:pt idx="4">
                  <c:v>13.126291240540001</c:v>
                </c:pt>
                <c:pt idx="5">
                  <c:v>12.926648581233682</c:v>
                </c:pt>
                <c:pt idx="6">
                  <c:v>13.139930136069998</c:v>
                </c:pt>
                <c:pt idx="7">
                  <c:v>13.268621080599999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2"/>
  <sheetViews>
    <sheetView tabSelected="1" view="pageBreakPreview" zoomScale="130" zoomScaleNormal="160" zoomScaleSheetLayoutView="13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79" t="s">
        <v>300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5" ht="15" customHeight="1">
      <c r="A2" s="23"/>
      <c r="B2" s="24"/>
      <c r="C2" s="130"/>
      <c r="D2" s="180" t="s">
        <v>297</v>
      </c>
      <c r="E2" s="180"/>
      <c r="F2" s="180"/>
      <c r="G2" s="180"/>
      <c r="H2" s="180"/>
      <c r="I2" s="180"/>
      <c r="J2" s="180"/>
      <c r="K2" s="180" t="s">
        <v>301</v>
      </c>
      <c r="L2" s="180"/>
      <c r="M2" s="180"/>
      <c r="N2" s="180"/>
      <c r="O2" s="180"/>
      <c r="P2" s="180"/>
      <c r="Q2" s="180"/>
      <c r="R2" s="180" t="s">
        <v>0</v>
      </c>
      <c r="S2" s="180"/>
      <c r="T2" s="180"/>
      <c r="U2" s="180" t="s">
        <v>1</v>
      </c>
      <c r="V2" s="180"/>
    </row>
    <row r="3" spans="1:25" ht="20.399999999999999">
      <c r="A3" s="25" t="s">
        <v>2</v>
      </c>
      <c r="B3" s="26" t="s">
        <v>3</v>
      </c>
      <c r="C3" s="27" t="s">
        <v>4</v>
      </c>
      <c r="D3" s="28" t="s">
        <v>5</v>
      </c>
      <c r="E3" s="29" t="s">
        <v>6</v>
      </c>
      <c r="F3" s="128" t="s">
        <v>291</v>
      </c>
      <c r="G3" s="29" t="s">
        <v>8</v>
      </c>
      <c r="H3" s="29" t="s">
        <v>9</v>
      </c>
      <c r="I3" s="29" t="s">
        <v>10</v>
      </c>
      <c r="J3" s="29" t="s">
        <v>11</v>
      </c>
      <c r="K3" s="52" t="s">
        <v>5</v>
      </c>
      <c r="L3" s="29" t="s">
        <v>6</v>
      </c>
      <c r="M3" s="29" t="s">
        <v>7</v>
      </c>
      <c r="N3" s="29" t="s">
        <v>8</v>
      </c>
      <c r="O3" s="29" t="s">
        <v>9</v>
      </c>
      <c r="P3" s="29" t="s">
        <v>10</v>
      </c>
      <c r="Q3" s="29" t="s">
        <v>11</v>
      </c>
      <c r="R3" s="28" t="s">
        <v>12</v>
      </c>
      <c r="S3" s="29" t="s">
        <v>13</v>
      </c>
      <c r="T3" s="29" t="s">
        <v>14</v>
      </c>
      <c r="U3" s="29" t="s">
        <v>15</v>
      </c>
      <c r="V3" s="29" t="s">
        <v>16</v>
      </c>
    </row>
    <row r="4" spans="1:25" ht="5.25" customHeight="1">
      <c r="A4" s="30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</row>
    <row r="5" spans="1:25" ht="15" customHeight="1">
      <c r="A5" s="182" t="s">
        <v>17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</row>
    <row r="6" spans="1:25">
      <c r="A6" s="168">
        <v>1</v>
      </c>
      <c r="B6" s="165" t="s">
        <v>18</v>
      </c>
      <c r="C6" s="166" t="s">
        <v>19</v>
      </c>
      <c r="D6" s="31">
        <v>1431203739.7</v>
      </c>
      <c r="E6" s="32">
        <f t="shared" ref="E6:E23" si="0">(D6/$D$24)</f>
        <v>4.2510008048091873E-2</v>
      </c>
      <c r="F6" s="33">
        <v>407.56139999999999</v>
      </c>
      <c r="G6" s="33">
        <v>407.56139999999999</v>
      </c>
      <c r="H6" s="34">
        <v>1816</v>
      </c>
      <c r="I6" s="53">
        <v>1.29E-2</v>
      </c>
      <c r="J6" s="53">
        <v>2.53E-2</v>
      </c>
      <c r="K6" s="31">
        <v>1463650968.8199999</v>
      </c>
      <c r="L6" s="32">
        <f>(K6/$K$24)</f>
        <v>4.2657903019539138E-2</v>
      </c>
      <c r="M6" s="33">
        <v>414.09660000000002</v>
      </c>
      <c r="N6" s="33">
        <v>414.09660000000002</v>
      </c>
      <c r="O6" s="34">
        <v>1816</v>
      </c>
      <c r="P6" s="53">
        <v>1.6E-2</v>
      </c>
      <c r="Q6" s="53">
        <v>4.1700000000000001E-2</v>
      </c>
      <c r="R6" s="59">
        <f>((K6-D6)/D6)</f>
        <v>2.2671285869334905E-2</v>
      </c>
      <c r="S6" s="59">
        <f>((N6-G6)/G6)</f>
        <v>1.603488455972531E-2</v>
      </c>
      <c r="T6" s="59">
        <f>((O6-H6)/H6)</f>
        <v>0</v>
      </c>
      <c r="U6" s="60">
        <f>P6-I6</f>
        <v>3.1000000000000003E-3</v>
      </c>
      <c r="V6" s="61">
        <f>Q6-J6</f>
        <v>1.6400000000000001E-2</v>
      </c>
    </row>
    <row r="7" spans="1:25">
      <c r="A7" s="168">
        <v>2</v>
      </c>
      <c r="B7" s="165" t="s">
        <v>20</v>
      </c>
      <c r="C7" s="166" t="s">
        <v>21</v>
      </c>
      <c r="D7" s="35">
        <v>644940485.29999995</v>
      </c>
      <c r="E7" s="32">
        <f t="shared" si="0"/>
        <v>1.9156200099358416E-2</v>
      </c>
      <c r="F7" s="35">
        <v>265.7414</v>
      </c>
      <c r="G7" s="35">
        <v>268.77300000000002</v>
      </c>
      <c r="H7" s="34">
        <v>463</v>
      </c>
      <c r="I7" s="53">
        <v>1.1953999999999999E-2</v>
      </c>
      <c r="J7" s="53">
        <v>7.1000000000000004E-3</v>
      </c>
      <c r="K7" s="35">
        <v>646093877.62</v>
      </c>
      <c r="L7" s="32">
        <f t="shared" ref="L7:L23" si="1">(K7/$K$24)</f>
        <v>1.883031580626884E-2</v>
      </c>
      <c r="M7" s="35">
        <v>268.5539</v>
      </c>
      <c r="N7" s="35">
        <v>271.65370000000001</v>
      </c>
      <c r="O7" s="34">
        <v>463</v>
      </c>
      <c r="P7" s="53">
        <v>-2.2399999999999998E-3</v>
      </c>
      <c r="Q7" s="53">
        <v>4.2900000000000001E-2</v>
      </c>
      <c r="R7" s="59">
        <f t="shared" ref="R7:R24" si="2">((K7-D7)/D7)</f>
        <v>1.7883701617266924E-3</v>
      </c>
      <c r="S7" s="59">
        <f t="shared" ref="S7:S24" si="3">((N7-G7)/G7)</f>
        <v>1.071796646240504E-2</v>
      </c>
      <c r="T7" s="59">
        <f t="shared" ref="T7:T24" si="4">((O7-H7)/H7)</f>
        <v>0</v>
      </c>
      <c r="U7" s="60">
        <f t="shared" ref="U7:U24" si="5">P7-I7</f>
        <v>-1.4193999999999998E-2</v>
      </c>
      <c r="V7" s="61">
        <f t="shared" ref="V7:V24" si="6">Q7-J7</f>
        <v>3.5799999999999998E-2</v>
      </c>
    </row>
    <row r="8" spans="1:25">
      <c r="A8" s="168">
        <v>3</v>
      </c>
      <c r="B8" s="165" t="s">
        <v>22</v>
      </c>
      <c r="C8" s="166" t="s">
        <v>23</v>
      </c>
      <c r="D8" s="35">
        <v>3916589610.5100002</v>
      </c>
      <c r="E8" s="32">
        <f t="shared" si="0"/>
        <v>0.11633162438406751</v>
      </c>
      <c r="F8" s="35">
        <v>35.524700000000003</v>
      </c>
      <c r="G8" s="35">
        <v>36.595799999999997</v>
      </c>
      <c r="H8" s="36">
        <v>6626</v>
      </c>
      <c r="I8" s="54">
        <v>0.98799999999999999</v>
      </c>
      <c r="J8" s="54">
        <v>2.9899999999999999E-2</v>
      </c>
      <c r="K8" s="35">
        <v>3928977995.0500002</v>
      </c>
      <c r="L8" s="32">
        <f t="shared" si="1"/>
        <v>0.11450951480178875</v>
      </c>
      <c r="M8" s="35">
        <v>35.983899999999998</v>
      </c>
      <c r="N8" s="35">
        <v>37.068800000000003</v>
      </c>
      <c r="O8" s="36">
        <v>6627</v>
      </c>
      <c r="P8" s="54">
        <v>0.67390000000000005</v>
      </c>
      <c r="Q8" s="54">
        <v>0.17560000000000001</v>
      </c>
      <c r="R8" s="59">
        <f t="shared" si="2"/>
        <v>3.1630540270944558E-3</v>
      </c>
      <c r="S8" s="59">
        <f t="shared" si="3"/>
        <v>1.2924980462239003E-2</v>
      </c>
      <c r="T8" s="59">
        <f t="shared" si="4"/>
        <v>1.5092061575611228E-4</v>
      </c>
      <c r="U8" s="60">
        <f t="shared" si="5"/>
        <v>-0.31409999999999993</v>
      </c>
      <c r="V8" s="61">
        <f t="shared" si="6"/>
        <v>0.1457</v>
      </c>
      <c r="X8" s="62"/>
      <c r="Y8" s="62"/>
    </row>
    <row r="9" spans="1:25">
      <c r="A9" s="168">
        <v>4</v>
      </c>
      <c r="B9" s="165" t="s">
        <v>24</v>
      </c>
      <c r="C9" s="166" t="s">
        <v>25</v>
      </c>
      <c r="D9" s="35">
        <v>644711969.34000003</v>
      </c>
      <c r="E9" s="32">
        <f t="shared" si="0"/>
        <v>1.914941265531446E-2</v>
      </c>
      <c r="F9" s="35">
        <v>220.8142</v>
      </c>
      <c r="G9" s="35">
        <v>220.8142</v>
      </c>
      <c r="H9" s="34">
        <v>1899</v>
      </c>
      <c r="I9" s="53">
        <v>1.3299999999999999E-2</v>
      </c>
      <c r="J9" s="53">
        <v>8.3999999999999995E-3</v>
      </c>
      <c r="K9" s="35">
        <v>587995085.10000002</v>
      </c>
      <c r="L9" s="32">
        <f t="shared" si="1"/>
        <v>1.7137034614463559E-2</v>
      </c>
      <c r="M9" s="35">
        <v>223.79949999999999</v>
      </c>
      <c r="N9" s="35">
        <v>223.79949999999999</v>
      </c>
      <c r="O9" s="34">
        <v>1908</v>
      </c>
      <c r="P9" s="53">
        <v>1.35E-2</v>
      </c>
      <c r="Q9" s="53">
        <v>2.1999999999999999E-2</v>
      </c>
      <c r="R9" s="59">
        <f t="shared" si="2"/>
        <v>-8.7972438759066032E-2</v>
      </c>
      <c r="S9" s="59">
        <f t="shared" si="3"/>
        <v>1.3519510973479039E-2</v>
      </c>
      <c r="T9" s="59">
        <f t="shared" si="4"/>
        <v>4.7393364928909956E-3</v>
      </c>
      <c r="U9" s="60">
        <f t="shared" si="5"/>
        <v>2.0000000000000052E-4</v>
      </c>
      <c r="V9" s="61">
        <f t="shared" si="6"/>
        <v>1.3599999999999999E-2</v>
      </c>
    </row>
    <row r="10" spans="1:25">
      <c r="A10" s="168">
        <v>5</v>
      </c>
      <c r="B10" s="165" t="s">
        <v>26</v>
      </c>
      <c r="C10" s="166" t="s">
        <v>27</v>
      </c>
      <c r="D10" s="35">
        <v>971485856.99000001</v>
      </c>
      <c r="E10" s="32">
        <f t="shared" si="0"/>
        <v>2.8855340755264469E-2</v>
      </c>
      <c r="F10" s="35">
        <v>1.2472000000000001</v>
      </c>
      <c r="G10" s="35">
        <v>1.2628999999999999</v>
      </c>
      <c r="H10" s="34">
        <v>493</v>
      </c>
      <c r="I10" s="53">
        <v>1.7999999999999999E-2</v>
      </c>
      <c r="J10" s="53">
        <v>6.7999999999999996E-3</v>
      </c>
      <c r="K10" s="35">
        <v>1008087298.1900001</v>
      </c>
      <c r="L10" s="32">
        <f t="shared" si="1"/>
        <v>2.9380563479616536E-2</v>
      </c>
      <c r="M10" s="35">
        <v>1.2948</v>
      </c>
      <c r="N10" s="35">
        <v>1.3109999999999999</v>
      </c>
      <c r="O10" s="34">
        <v>492</v>
      </c>
      <c r="P10" s="53">
        <v>3.7699999999999997E-2</v>
      </c>
      <c r="Q10" s="53">
        <v>4.5199999999999997E-2</v>
      </c>
      <c r="R10" s="59">
        <f t="shared" si="2"/>
        <v>3.7675732422295889E-2</v>
      </c>
      <c r="S10" s="59">
        <f t="shared" si="3"/>
        <v>3.8086942750811655E-2</v>
      </c>
      <c r="T10" s="59">
        <f t="shared" si="4"/>
        <v>-2.0283975659229209E-3</v>
      </c>
      <c r="U10" s="60">
        <f t="shared" si="5"/>
        <v>1.9699999999999999E-2</v>
      </c>
      <c r="V10" s="61">
        <f t="shared" si="6"/>
        <v>3.8399999999999997E-2</v>
      </c>
    </row>
    <row r="11" spans="1:25">
      <c r="A11" s="168">
        <v>6</v>
      </c>
      <c r="B11" s="165" t="s">
        <v>28</v>
      </c>
      <c r="C11" s="166" t="s">
        <v>29</v>
      </c>
      <c r="D11" s="37">
        <v>96540572.590000004</v>
      </c>
      <c r="E11" s="32">
        <f t="shared" si="0"/>
        <v>2.8674747025385361E-3</v>
      </c>
      <c r="F11" s="35">
        <v>174.2003</v>
      </c>
      <c r="G11" s="35">
        <v>175.0179</v>
      </c>
      <c r="H11" s="36">
        <v>64</v>
      </c>
      <c r="I11" s="54">
        <v>6.5750000000000001E-3</v>
      </c>
      <c r="J11" s="54">
        <v>1.35E-2</v>
      </c>
      <c r="K11" s="37">
        <v>97327878.909999996</v>
      </c>
      <c r="L11" s="32">
        <f t="shared" si="1"/>
        <v>2.8366074344810671E-3</v>
      </c>
      <c r="M11" s="35">
        <v>175.9956</v>
      </c>
      <c r="N11" s="35">
        <v>176.82579999999999</v>
      </c>
      <c r="O11" s="36">
        <v>66</v>
      </c>
      <c r="P11" s="54">
        <v>6.3599999999999996E-4</v>
      </c>
      <c r="Q11" s="54">
        <v>2.4E-2</v>
      </c>
      <c r="R11" s="59">
        <f t="shared" si="2"/>
        <v>8.1551859376639401E-3</v>
      </c>
      <c r="S11" s="59">
        <f t="shared" si="3"/>
        <v>1.0329800551829209E-2</v>
      </c>
      <c r="T11" s="59">
        <f t="shared" si="4"/>
        <v>3.125E-2</v>
      </c>
      <c r="U11" s="60">
        <f t="shared" si="5"/>
        <v>-5.9389999999999998E-3</v>
      </c>
      <c r="V11" s="61">
        <f t="shared" si="6"/>
        <v>1.0500000000000001E-2</v>
      </c>
    </row>
    <row r="12" spans="1:25">
      <c r="A12" s="168">
        <v>7</v>
      </c>
      <c r="B12" s="165" t="s">
        <v>30</v>
      </c>
      <c r="C12" s="166" t="s">
        <v>31</v>
      </c>
      <c r="D12" s="35">
        <v>1229944504.9100001</v>
      </c>
      <c r="E12" s="32">
        <f t="shared" si="0"/>
        <v>3.6532150770784123E-2</v>
      </c>
      <c r="F12" s="35">
        <v>335.72</v>
      </c>
      <c r="G12" s="35">
        <v>339.61</v>
      </c>
      <c r="H12" s="36">
        <v>1656</v>
      </c>
      <c r="I12" s="54">
        <v>9.5999999999999992E-3</v>
      </c>
      <c r="J12" s="54">
        <v>3.6799999999999999E-2</v>
      </c>
      <c r="K12" s="35">
        <v>1261452251.9100001</v>
      </c>
      <c r="L12" s="32">
        <f t="shared" si="1"/>
        <v>3.6764849661622918E-2</v>
      </c>
      <c r="M12" s="35">
        <v>343.37</v>
      </c>
      <c r="N12" s="35">
        <v>347.41</v>
      </c>
      <c r="O12" s="36">
        <v>1657</v>
      </c>
      <c r="P12" s="54">
        <v>2.29E-2</v>
      </c>
      <c r="Q12" s="54">
        <v>6.0400000000000002E-2</v>
      </c>
      <c r="R12" s="59">
        <f t="shared" si="2"/>
        <v>2.5617210267796228E-2</v>
      </c>
      <c r="S12" s="59">
        <f t="shared" si="3"/>
        <v>2.296752156885843E-2</v>
      </c>
      <c r="T12" s="59">
        <f t="shared" si="4"/>
        <v>6.0386473429951688E-4</v>
      </c>
      <c r="U12" s="60">
        <f t="shared" si="5"/>
        <v>1.3300000000000001E-2</v>
      </c>
      <c r="V12" s="61">
        <f t="shared" si="6"/>
        <v>2.3600000000000003E-2</v>
      </c>
    </row>
    <row r="13" spans="1:25">
      <c r="A13" s="168">
        <v>8</v>
      </c>
      <c r="B13" s="165" t="s">
        <v>32</v>
      </c>
      <c r="C13" s="166" t="s">
        <v>33</v>
      </c>
      <c r="D13" s="31">
        <v>446030823.42000002</v>
      </c>
      <c r="E13" s="32">
        <f t="shared" si="0"/>
        <v>1.3248130484382108E-2</v>
      </c>
      <c r="F13" s="35">
        <v>223.6</v>
      </c>
      <c r="G13" s="35">
        <v>233.3</v>
      </c>
      <c r="H13" s="34">
        <v>2466</v>
      </c>
      <c r="I13" s="53">
        <v>-4.1999999999999997E-3</v>
      </c>
      <c r="J13" s="53">
        <v>0.72240000000000004</v>
      </c>
      <c r="K13" s="31">
        <v>448676262.56</v>
      </c>
      <c r="L13" s="32">
        <f t="shared" si="1"/>
        <v>1.3076606993868324E-2</v>
      </c>
      <c r="M13" s="35">
        <v>224.93</v>
      </c>
      <c r="N13" s="35">
        <v>234.74</v>
      </c>
      <c r="O13" s="34">
        <v>2468</v>
      </c>
      <c r="P13" s="53">
        <v>5.8999999999999999E-3</v>
      </c>
      <c r="Q13" s="53">
        <v>0.78920000000000001</v>
      </c>
      <c r="R13" s="59">
        <f t="shared" si="2"/>
        <v>5.9310679914803491E-3</v>
      </c>
      <c r="S13" s="59">
        <f t="shared" si="3"/>
        <v>6.1723103300471392E-3</v>
      </c>
      <c r="T13" s="59">
        <f t="shared" si="4"/>
        <v>8.110300081103001E-4</v>
      </c>
      <c r="U13" s="60">
        <f t="shared" si="5"/>
        <v>1.01E-2</v>
      </c>
      <c r="V13" s="61">
        <f t="shared" si="6"/>
        <v>6.6799999999999971E-2</v>
      </c>
    </row>
    <row r="14" spans="1:25">
      <c r="A14" s="168">
        <v>9</v>
      </c>
      <c r="B14" s="165" t="s">
        <v>34</v>
      </c>
      <c r="C14" s="166" t="s">
        <v>35</v>
      </c>
      <c r="D14" s="37">
        <v>63647334.299999997</v>
      </c>
      <c r="E14" s="32">
        <f t="shared" si="0"/>
        <v>1.8904706704439824E-3</v>
      </c>
      <c r="F14" s="35">
        <v>226.6</v>
      </c>
      <c r="G14" s="35">
        <v>233.84</v>
      </c>
      <c r="H14" s="34">
        <v>16</v>
      </c>
      <c r="I14" s="53">
        <v>1.9199999999999998E-2</v>
      </c>
      <c r="J14" s="53">
        <v>3.6299999999999999E-2</v>
      </c>
      <c r="K14" s="37">
        <v>65320315.140000001</v>
      </c>
      <c r="L14" s="32">
        <f t="shared" si="1"/>
        <v>1.9037514597447238E-3</v>
      </c>
      <c r="M14" s="35">
        <v>232.53</v>
      </c>
      <c r="N14" s="35">
        <v>240.01</v>
      </c>
      <c r="O14" s="34">
        <v>16</v>
      </c>
      <c r="P14" s="53">
        <v>2.63E-2</v>
      </c>
      <c r="Q14" s="53">
        <v>6.3500000000000001E-2</v>
      </c>
      <c r="R14" s="59">
        <f t="shared" si="2"/>
        <v>2.6285167452802554E-2</v>
      </c>
      <c r="S14" s="59">
        <f t="shared" si="3"/>
        <v>2.6385562777967789E-2</v>
      </c>
      <c r="T14" s="59">
        <f t="shared" si="4"/>
        <v>0</v>
      </c>
      <c r="U14" s="60">
        <f t="shared" si="5"/>
        <v>7.1000000000000021E-3</v>
      </c>
      <c r="V14" s="61">
        <f t="shared" si="6"/>
        <v>2.7200000000000002E-2</v>
      </c>
    </row>
    <row r="15" spans="1:25" ht="14.25" customHeight="1">
      <c r="A15" s="168">
        <v>10</v>
      </c>
      <c r="B15" s="165" t="s">
        <v>36</v>
      </c>
      <c r="C15" s="166" t="s">
        <v>37</v>
      </c>
      <c r="D15" s="31">
        <v>641688423.24000001</v>
      </c>
      <c r="E15" s="32">
        <f t="shared" si="0"/>
        <v>1.9059606455484573E-2</v>
      </c>
      <c r="F15" s="35">
        <v>2.2235990000000001</v>
      </c>
      <c r="G15" s="35">
        <v>2.2553709999999998</v>
      </c>
      <c r="H15" s="34">
        <v>479</v>
      </c>
      <c r="I15" s="53">
        <v>8.5666517894402716E-3</v>
      </c>
      <c r="J15" s="53">
        <v>6.1552504526972696E-2</v>
      </c>
      <c r="K15" s="31">
        <v>681380377.60000002</v>
      </c>
      <c r="L15" s="32">
        <f t="shared" si="1"/>
        <v>1.9858735918790164E-2</v>
      </c>
      <c r="M15" s="35">
        <v>2.355086</v>
      </c>
      <c r="N15" s="35">
        <v>2.3879800000000002</v>
      </c>
      <c r="O15" s="34">
        <v>483</v>
      </c>
      <c r="P15" s="53">
        <v>5.9132514450672025E-2</v>
      </c>
      <c r="Q15" s="53">
        <v>0.12299186457799749</v>
      </c>
      <c r="R15" s="59">
        <f t="shared" si="2"/>
        <v>6.1855493916483976E-2</v>
      </c>
      <c r="S15" s="59">
        <f t="shared" si="3"/>
        <v>5.8796978412864416E-2</v>
      </c>
      <c r="T15" s="59">
        <f t="shared" si="4"/>
        <v>8.350730688935281E-3</v>
      </c>
      <c r="U15" s="60">
        <f t="shared" si="5"/>
        <v>5.0565862661231753E-2</v>
      </c>
      <c r="V15" s="61">
        <f t="shared" si="6"/>
        <v>6.1439360051024794E-2</v>
      </c>
    </row>
    <row r="16" spans="1:25" ht="14.25" customHeight="1">
      <c r="A16" s="168">
        <v>11</v>
      </c>
      <c r="B16" s="165" t="s">
        <v>38</v>
      </c>
      <c r="C16" s="166" t="s">
        <v>39</v>
      </c>
      <c r="D16" s="31">
        <v>16643946.17</v>
      </c>
      <c r="E16" s="32">
        <f t="shared" si="0"/>
        <v>4.9436307774532282E-4</v>
      </c>
      <c r="F16" s="35">
        <v>14.05</v>
      </c>
      <c r="G16" s="35">
        <v>14.87</v>
      </c>
      <c r="H16" s="34">
        <v>28</v>
      </c>
      <c r="I16" s="53">
        <v>8.9399999999999993E-2</v>
      </c>
      <c r="J16" s="53">
        <v>1.1079000000000001</v>
      </c>
      <c r="K16" s="31">
        <v>17245241.129999999</v>
      </c>
      <c r="L16" s="32">
        <f t="shared" si="1"/>
        <v>5.0261014363635304E-4</v>
      </c>
      <c r="M16" s="35">
        <v>14.23</v>
      </c>
      <c r="N16" s="35">
        <v>15.05</v>
      </c>
      <c r="O16" s="34">
        <v>29</v>
      </c>
      <c r="P16" s="53">
        <v>4.0899999999999999E-2</v>
      </c>
      <c r="Q16" s="53">
        <v>1.1105</v>
      </c>
      <c r="R16" s="59">
        <f t="shared" ref="R16" si="7">((K16-D16)/D16)</f>
        <v>3.6126946930638809E-2</v>
      </c>
      <c r="S16" s="59">
        <f t="shared" ref="S16" si="8">((N16-G16)/G16)</f>
        <v>1.2104909213181003E-2</v>
      </c>
      <c r="T16" s="59">
        <f t="shared" ref="T16" si="9">((O16-H16)/H16)</f>
        <v>3.5714285714285712E-2</v>
      </c>
      <c r="U16" s="60">
        <f t="shared" ref="U16" si="10">P16-I16</f>
        <v>-4.8499999999999995E-2</v>
      </c>
      <c r="V16" s="61">
        <f t="shared" ref="V16" si="11">Q16-J16</f>
        <v>2.5999999999999357E-3</v>
      </c>
    </row>
    <row r="17" spans="1:22">
      <c r="A17" s="168">
        <v>12</v>
      </c>
      <c r="B17" s="165" t="s">
        <v>40</v>
      </c>
      <c r="C17" s="166" t="s">
        <v>41</v>
      </c>
      <c r="D17" s="133">
        <v>1817857858.76</v>
      </c>
      <c r="E17" s="32">
        <f t="shared" si="0"/>
        <v>5.3994515289886691E-2</v>
      </c>
      <c r="F17" s="35">
        <v>3.7</v>
      </c>
      <c r="G17" s="35">
        <v>3.78</v>
      </c>
      <c r="H17" s="34">
        <v>3659</v>
      </c>
      <c r="I17" s="53">
        <v>1.6199999999999999E-2</v>
      </c>
      <c r="J17" s="53">
        <v>1.67E-2</v>
      </c>
      <c r="K17" s="133">
        <v>1835549940.9000001</v>
      </c>
      <c r="L17" s="32">
        <f t="shared" si="1"/>
        <v>5.349684660787625E-2</v>
      </c>
      <c r="M17" s="35">
        <v>3.73</v>
      </c>
      <c r="N17" s="35">
        <v>3.82</v>
      </c>
      <c r="O17" s="34">
        <v>3658</v>
      </c>
      <c r="P17" s="53">
        <v>-6.9999999999999999E-4</v>
      </c>
      <c r="Q17" s="53">
        <v>2.6599999999999999E-2</v>
      </c>
      <c r="R17" s="59">
        <f t="shared" si="2"/>
        <v>9.7323792697786918E-3</v>
      </c>
      <c r="S17" s="59">
        <f t="shared" si="3"/>
        <v>1.0582010582010592E-2</v>
      </c>
      <c r="T17" s="59">
        <f t="shared" si="4"/>
        <v>-2.7329871549603714E-4</v>
      </c>
      <c r="U17" s="60">
        <f t="shared" si="5"/>
        <v>-1.6899999999999998E-2</v>
      </c>
      <c r="V17" s="61">
        <f t="shared" si="6"/>
        <v>9.8999999999999991E-3</v>
      </c>
    </row>
    <row r="18" spans="1:22">
      <c r="A18" s="168">
        <v>13</v>
      </c>
      <c r="B18" s="165" t="s">
        <v>42</v>
      </c>
      <c r="C18" s="166" t="s">
        <v>43</v>
      </c>
      <c r="D18" s="35">
        <v>896426026.05999994</v>
      </c>
      <c r="E18" s="32">
        <f t="shared" si="0"/>
        <v>2.6625892963581397E-2</v>
      </c>
      <c r="F18" s="35">
        <v>25.398944</v>
      </c>
      <c r="G18" s="35">
        <v>25.476924</v>
      </c>
      <c r="H18" s="34">
        <v>419</v>
      </c>
      <c r="I18" s="53">
        <v>2.0606623168532678E-2</v>
      </c>
      <c r="J18" s="53">
        <v>4.5551208699216028E-2</v>
      </c>
      <c r="K18" s="35">
        <v>949112146.14999998</v>
      </c>
      <c r="L18" s="32">
        <f t="shared" si="1"/>
        <v>2.7661740912025091E-2</v>
      </c>
      <c r="M18" s="35">
        <v>25.858438</v>
      </c>
      <c r="N18" s="35">
        <v>25.934073999999999</v>
      </c>
      <c r="O18" s="34">
        <v>440</v>
      </c>
      <c r="P18" s="53">
        <v>1.8091067093183089E-2</v>
      </c>
      <c r="Q18" s="53">
        <v>6.44663457651522E-2</v>
      </c>
      <c r="R18" s="59">
        <f t="shared" si="2"/>
        <v>5.8773527941360357E-2</v>
      </c>
      <c r="S18" s="59">
        <f t="shared" si="3"/>
        <v>1.7943688963392858E-2</v>
      </c>
      <c r="T18" s="59">
        <f t="shared" si="4"/>
        <v>5.0119331742243436E-2</v>
      </c>
      <c r="U18" s="60">
        <f t="shared" si="5"/>
        <v>-2.5155560753495898E-3</v>
      </c>
      <c r="V18" s="61">
        <f t="shared" si="6"/>
        <v>1.8915137065936172E-2</v>
      </c>
    </row>
    <row r="19" spans="1:22">
      <c r="A19" s="168">
        <v>14</v>
      </c>
      <c r="B19" s="165" t="s">
        <v>44</v>
      </c>
      <c r="C19" s="166" t="s">
        <v>45</v>
      </c>
      <c r="D19" s="35">
        <v>125325343.79000001</v>
      </c>
      <c r="E19" s="32">
        <f t="shared" si="0"/>
        <v>3.7224479124541104E-3</v>
      </c>
      <c r="F19" s="35">
        <v>1.3539140000000001</v>
      </c>
      <c r="G19" s="35">
        <v>1.4067069999999999</v>
      </c>
      <c r="H19" s="34">
        <v>22</v>
      </c>
      <c r="I19" s="53">
        <v>7.0000000000000001E-3</v>
      </c>
      <c r="J19" s="53">
        <v>-0.36409999999999998</v>
      </c>
      <c r="K19" s="35">
        <v>125150455.23999999</v>
      </c>
      <c r="L19" s="32">
        <f t="shared" si="1"/>
        <v>3.6474925349061428E-3</v>
      </c>
      <c r="M19" s="35">
        <v>1.352025</v>
      </c>
      <c r="N19" s="35">
        <v>1.40543</v>
      </c>
      <c r="O19" s="34">
        <v>22</v>
      </c>
      <c r="P19" s="53">
        <v>-8.8000000000000005E-3</v>
      </c>
      <c r="Q19" s="53">
        <v>-0.3649</v>
      </c>
      <c r="R19" s="59">
        <f t="shared" si="2"/>
        <v>-1.3954763235524167E-3</v>
      </c>
      <c r="S19" s="59">
        <f t="shared" si="3"/>
        <v>-9.0779387605234964E-4</v>
      </c>
      <c r="T19" s="59">
        <f t="shared" si="4"/>
        <v>0</v>
      </c>
      <c r="U19" s="60">
        <f t="shared" si="5"/>
        <v>-1.5800000000000002E-2</v>
      </c>
      <c r="V19" s="61">
        <f t="shared" si="6"/>
        <v>-8.0000000000002292E-4</v>
      </c>
    </row>
    <row r="20" spans="1:22">
      <c r="A20" s="168">
        <v>15</v>
      </c>
      <c r="B20" s="165" t="s">
        <v>46</v>
      </c>
      <c r="C20" s="166" t="s">
        <v>47</v>
      </c>
      <c r="D20" s="31">
        <v>2430788072.0500002</v>
      </c>
      <c r="E20" s="32">
        <f t="shared" si="0"/>
        <v>7.2199937465025926E-2</v>
      </c>
      <c r="F20" s="35">
        <v>32.35</v>
      </c>
      <c r="G20" s="35">
        <v>33.01</v>
      </c>
      <c r="H20" s="34">
        <v>8944</v>
      </c>
      <c r="I20" s="53">
        <v>1.0999999999999999E-2</v>
      </c>
      <c r="J20" s="53">
        <v>3.9199999999999999E-2</v>
      </c>
      <c r="K20" s="31">
        <v>2516696843.3899999</v>
      </c>
      <c r="L20" s="32">
        <f t="shared" si="1"/>
        <v>7.3348777927201084E-2</v>
      </c>
      <c r="M20" s="35">
        <v>33.47</v>
      </c>
      <c r="N20" s="35">
        <v>34.159999999999997</v>
      </c>
      <c r="O20" s="34">
        <v>8944</v>
      </c>
      <c r="P20" s="53">
        <v>2.2499999999999999E-2</v>
      </c>
      <c r="Q20" s="53">
        <v>7.51E-2</v>
      </c>
      <c r="R20" s="59">
        <f t="shared" si="2"/>
        <v>3.5341942116553456E-2</v>
      </c>
      <c r="S20" s="59">
        <f t="shared" si="3"/>
        <v>3.4837927900636133E-2</v>
      </c>
      <c r="T20" s="59">
        <f t="shared" si="4"/>
        <v>0</v>
      </c>
      <c r="U20" s="60">
        <f t="shared" si="5"/>
        <v>1.15E-2</v>
      </c>
      <c r="V20" s="61">
        <f t="shared" si="6"/>
        <v>3.5900000000000001E-2</v>
      </c>
    </row>
    <row r="21" spans="1:22" ht="12.75" customHeight="1">
      <c r="A21" s="168">
        <v>16</v>
      </c>
      <c r="B21" s="165" t="s">
        <v>48</v>
      </c>
      <c r="C21" s="166" t="s">
        <v>49</v>
      </c>
      <c r="D21" s="35">
        <v>800122765.74000001</v>
      </c>
      <c r="E21" s="32">
        <f t="shared" si="0"/>
        <v>2.3765466975511514E-2</v>
      </c>
      <c r="F21" s="35">
        <v>8382.83</v>
      </c>
      <c r="G21" s="35">
        <v>8491.5</v>
      </c>
      <c r="H21" s="34">
        <v>19</v>
      </c>
      <c r="I21" s="53">
        <v>1.7299999999999999E-2</v>
      </c>
      <c r="J21" s="53">
        <v>4.6899999999999997E-2</v>
      </c>
      <c r="K21" s="35">
        <v>820840366.91999996</v>
      </c>
      <c r="L21" s="32">
        <f t="shared" si="1"/>
        <v>2.3923277825468013E-2</v>
      </c>
      <c r="M21" s="35">
        <v>8598.98</v>
      </c>
      <c r="N21" s="35">
        <v>8711.99</v>
      </c>
      <c r="O21" s="34">
        <v>19</v>
      </c>
      <c r="P21" s="53">
        <v>2.5999999999999999E-2</v>
      </c>
      <c r="Q21" s="53">
        <v>7.4099999999999999E-2</v>
      </c>
      <c r="R21" s="59">
        <f t="shared" si="2"/>
        <v>2.5893028004070232E-2</v>
      </c>
      <c r="S21" s="59">
        <f t="shared" si="3"/>
        <v>2.596596596596594E-2</v>
      </c>
      <c r="T21" s="59">
        <f t="shared" si="4"/>
        <v>0</v>
      </c>
      <c r="U21" s="60">
        <f t="shared" si="5"/>
        <v>8.6999999999999994E-3</v>
      </c>
      <c r="V21" s="61">
        <f t="shared" si="6"/>
        <v>2.7200000000000002E-2</v>
      </c>
    </row>
    <row r="22" spans="1:22">
      <c r="A22" s="168">
        <v>17</v>
      </c>
      <c r="B22" s="165" t="s">
        <v>50</v>
      </c>
      <c r="C22" s="166" t="s">
        <v>49</v>
      </c>
      <c r="D22" s="35">
        <v>13573578912.120001</v>
      </c>
      <c r="E22" s="32">
        <f t="shared" si="0"/>
        <v>0.40316618297586426</v>
      </c>
      <c r="F22" s="35">
        <v>26412.22</v>
      </c>
      <c r="G22" s="35">
        <v>26777.66</v>
      </c>
      <c r="H22" s="34">
        <v>17491</v>
      </c>
      <c r="I22" s="53">
        <v>1.6199999999999999E-2</v>
      </c>
      <c r="J22" s="53">
        <v>4.19E-2</v>
      </c>
      <c r="K22" s="35">
        <v>13876689085.84</v>
      </c>
      <c r="L22" s="32">
        <f t="shared" si="1"/>
        <v>0.40443416488378531</v>
      </c>
      <c r="M22" s="35">
        <v>26913.33</v>
      </c>
      <c r="N22" s="35">
        <v>27303.72</v>
      </c>
      <c r="O22" s="34">
        <v>17508</v>
      </c>
      <c r="P22" s="53">
        <v>1.9599999999999999E-2</v>
      </c>
      <c r="Q22" s="53">
        <v>6.2300000000000001E-2</v>
      </c>
      <c r="R22" s="59">
        <f t="shared" si="2"/>
        <v>2.2330895608478677E-2</v>
      </c>
      <c r="S22" s="59">
        <f t="shared" si="3"/>
        <v>1.9645480598379443E-2</v>
      </c>
      <c r="T22" s="59">
        <f t="shared" si="4"/>
        <v>9.7192842033045571E-4</v>
      </c>
      <c r="U22" s="60">
        <f t="shared" si="5"/>
        <v>3.4000000000000002E-3</v>
      </c>
      <c r="V22" s="61">
        <f t="shared" si="6"/>
        <v>2.0400000000000001E-2</v>
      </c>
    </row>
    <row r="23" spans="1:22">
      <c r="A23" s="168">
        <v>18</v>
      </c>
      <c r="B23" s="166" t="s">
        <v>51</v>
      </c>
      <c r="C23" s="166" t="s">
        <v>52</v>
      </c>
      <c r="D23" s="35">
        <v>3919927736.2199998</v>
      </c>
      <c r="E23" s="32">
        <f t="shared" si="0"/>
        <v>0.11643077431420071</v>
      </c>
      <c r="F23" s="35">
        <v>1.542</v>
      </c>
      <c r="G23" s="33">
        <v>1.5570999999999999</v>
      </c>
      <c r="H23" s="34">
        <v>4615</v>
      </c>
      <c r="I23" s="53">
        <v>1.03E-2</v>
      </c>
      <c r="J23" s="53">
        <v>3.3700000000000001E-2</v>
      </c>
      <c r="K23" s="35">
        <v>3981120676.7199998</v>
      </c>
      <c r="L23" s="32">
        <f t="shared" si="1"/>
        <v>0.11602920597491781</v>
      </c>
      <c r="M23" s="35">
        <v>1.5692999999999999</v>
      </c>
      <c r="N23" s="33">
        <v>1.5847</v>
      </c>
      <c r="O23" s="34">
        <v>4629</v>
      </c>
      <c r="P23" s="53">
        <v>1.77E-2</v>
      </c>
      <c r="Q23" s="53">
        <v>5.1999999999999998E-2</v>
      </c>
      <c r="R23" s="59">
        <f t="shared" si="2"/>
        <v>1.5610731783287559E-2</v>
      </c>
      <c r="S23" s="59">
        <f t="shared" si="3"/>
        <v>1.7725258493353074E-2</v>
      </c>
      <c r="T23" s="59">
        <f t="shared" si="4"/>
        <v>3.0335861321776816E-3</v>
      </c>
      <c r="U23" s="60">
        <f t="shared" si="5"/>
        <v>7.4000000000000003E-3</v>
      </c>
      <c r="V23" s="61">
        <f t="shared" si="6"/>
        <v>1.8299999999999997E-2</v>
      </c>
    </row>
    <row r="24" spans="1:22">
      <c r="A24" s="38"/>
      <c r="B24" s="39"/>
      <c r="C24" s="40" t="s">
        <v>53</v>
      </c>
      <c r="D24" s="41">
        <f>SUM(D6:D23)</f>
        <v>33667453981.210003</v>
      </c>
      <c r="E24" s="42">
        <f>(D24/$D$210)</f>
        <v>8.1729226699759367E-3</v>
      </c>
      <c r="F24" s="43"/>
      <c r="G24" s="44"/>
      <c r="H24" s="45">
        <f>SUM(H6:H23)</f>
        <v>51175</v>
      </c>
      <c r="I24" s="55"/>
      <c r="J24" s="34">
        <v>0</v>
      </c>
      <c r="K24" s="41">
        <f>SUM(K6:K23)</f>
        <v>34311367067.189999</v>
      </c>
      <c r="L24" s="42">
        <f>(K24/$K$210)</f>
        <v>8.3445683201501478E-3</v>
      </c>
      <c r="M24" s="43"/>
      <c r="N24" s="44"/>
      <c r="O24" s="45">
        <f>SUM(O6:O23)</f>
        <v>51245</v>
      </c>
      <c r="P24" s="55"/>
      <c r="Q24" s="45"/>
      <c r="R24" s="59">
        <f t="shared" si="2"/>
        <v>1.9125684001509803E-2</v>
      </c>
      <c r="S24" s="59" t="e">
        <f t="shared" si="3"/>
        <v>#DIV/0!</v>
      </c>
      <c r="T24" s="59">
        <f t="shared" si="4"/>
        <v>1.3678553981436249E-3</v>
      </c>
      <c r="U24" s="60">
        <f t="shared" si="5"/>
        <v>0</v>
      </c>
      <c r="V24" s="61">
        <f t="shared" si="6"/>
        <v>0</v>
      </c>
    </row>
    <row r="25" spans="1:22" ht="4.5" customHeight="1">
      <c r="A25" s="38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</row>
    <row r="26" spans="1:22" ht="15" customHeight="1">
      <c r="A26" s="182" t="s">
        <v>54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</row>
    <row r="27" spans="1:22">
      <c r="A27" s="164">
        <v>19</v>
      </c>
      <c r="B27" s="165" t="s">
        <v>55</v>
      </c>
      <c r="C27" s="166" t="s">
        <v>19</v>
      </c>
      <c r="D27" s="47">
        <v>2031432339.48</v>
      </c>
      <c r="E27" s="32">
        <f>(D27/$K$65)</f>
        <v>1.049022828350066E-3</v>
      </c>
      <c r="F27" s="33">
        <v>100</v>
      </c>
      <c r="G27" s="33">
        <v>100</v>
      </c>
      <c r="H27" s="34">
        <v>1166</v>
      </c>
      <c r="I27" s="53">
        <v>0.21099999999999999</v>
      </c>
      <c r="J27" s="53">
        <v>0.21099999999999999</v>
      </c>
      <c r="K27" s="47">
        <v>2097540570.71</v>
      </c>
      <c r="L27" s="32">
        <f t="shared" ref="L27:L64" si="12">(K27/$K$65)</f>
        <v>1.0831608315482757E-3</v>
      </c>
      <c r="M27" s="33">
        <v>100</v>
      </c>
      <c r="N27" s="33">
        <v>100</v>
      </c>
      <c r="O27" s="34">
        <v>1166</v>
      </c>
      <c r="P27" s="53">
        <v>0.22020000000000001</v>
      </c>
      <c r="Q27" s="53">
        <v>0.22020000000000001</v>
      </c>
      <c r="R27" s="59">
        <f>((K27-D27)/D27)</f>
        <v>3.2542669497386364E-2</v>
      </c>
      <c r="S27" s="59">
        <f>((N27-G27)/G27)</f>
        <v>0</v>
      </c>
      <c r="T27" s="59">
        <f>((O27-H27)/H27)</f>
        <v>0</v>
      </c>
      <c r="U27" s="60">
        <f>P27-I27</f>
        <v>9.2000000000000137E-3</v>
      </c>
      <c r="V27" s="61">
        <f>Q27-J27</f>
        <v>9.2000000000000137E-3</v>
      </c>
    </row>
    <row r="28" spans="1:22">
      <c r="A28" s="164">
        <v>20</v>
      </c>
      <c r="B28" s="165" t="s">
        <v>56</v>
      </c>
      <c r="C28" s="166" t="s">
        <v>57</v>
      </c>
      <c r="D28" s="47">
        <v>12845877171.48</v>
      </c>
      <c r="E28" s="32">
        <f t="shared" ref="E28:E64" si="13">(D28/$K$65)</f>
        <v>6.6335551232353336E-3</v>
      </c>
      <c r="F28" s="33">
        <v>100</v>
      </c>
      <c r="G28" s="33">
        <v>100</v>
      </c>
      <c r="H28" s="34">
        <v>2059</v>
      </c>
      <c r="I28" s="53">
        <v>0.22886899999999999</v>
      </c>
      <c r="J28" s="53">
        <v>0.22886899999999999</v>
      </c>
      <c r="K28" s="47">
        <v>13183207690.59</v>
      </c>
      <c r="L28" s="32">
        <f t="shared" si="12"/>
        <v>6.8077511367418192E-3</v>
      </c>
      <c r="M28" s="33">
        <v>100</v>
      </c>
      <c r="N28" s="33">
        <v>100</v>
      </c>
      <c r="O28" s="34">
        <v>2159</v>
      </c>
      <c r="P28" s="53">
        <v>0.232402</v>
      </c>
      <c r="Q28" s="53">
        <v>0.232402</v>
      </c>
      <c r="R28" s="59">
        <f t="shared" ref="R28:R65" si="14">((K28-D28)/D28)</f>
        <v>2.6259827538981217E-2</v>
      </c>
      <c r="S28" s="59">
        <f t="shared" ref="S28:S65" si="15">((N28-G28)/G28)</f>
        <v>0</v>
      </c>
      <c r="T28" s="59">
        <f t="shared" ref="T28:T65" si="16">((O28-H28)/H28)</f>
        <v>4.8567265662943178E-2</v>
      </c>
      <c r="U28" s="60">
        <f t="shared" ref="U28:U65" si="17">P28-I28</f>
        <v>3.5330000000000084E-3</v>
      </c>
      <c r="V28" s="61">
        <f t="shared" ref="V28:V65" si="18">Q28-J28</f>
        <v>3.5330000000000084E-3</v>
      </c>
    </row>
    <row r="29" spans="1:22">
      <c r="A29" s="164">
        <v>21</v>
      </c>
      <c r="B29" s="165" t="s">
        <v>58</v>
      </c>
      <c r="C29" s="166" t="s">
        <v>21</v>
      </c>
      <c r="D29" s="47">
        <v>1358055451.75</v>
      </c>
      <c r="E29" s="32">
        <f t="shared" si="13"/>
        <v>7.0129393106722145E-4</v>
      </c>
      <c r="F29" s="33">
        <v>100</v>
      </c>
      <c r="G29" s="33">
        <v>100</v>
      </c>
      <c r="H29" s="34">
        <v>1829</v>
      </c>
      <c r="I29" s="53">
        <v>0.23949999999999999</v>
      </c>
      <c r="J29" s="53">
        <v>0.23949999999999999</v>
      </c>
      <c r="K29" s="47">
        <v>1374772534.9400001</v>
      </c>
      <c r="L29" s="32">
        <f t="shared" si="12"/>
        <v>7.0992656014815165E-4</v>
      </c>
      <c r="M29" s="33">
        <v>100</v>
      </c>
      <c r="N29" s="33">
        <v>100</v>
      </c>
      <c r="O29" s="34">
        <v>1837</v>
      </c>
      <c r="P29" s="53">
        <v>0.23749999999999999</v>
      </c>
      <c r="Q29" s="53">
        <v>0.23749999999999999</v>
      </c>
      <c r="R29" s="59">
        <f t="shared" si="14"/>
        <v>1.2309573345078291E-2</v>
      </c>
      <c r="S29" s="59">
        <f t="shared" si="15"/>
        <v>0</v>
      </c>
      <c r="T29" s="59">
        <f t="shared" si="16"/>
        <v>4.3739748496446143E-3</v>
      </c>
      <c r="U29" s="60">
        <f t="shared" si="17"/>
        <v>-2.0000000000000018E-3</v>
      </c>
      <c r="V29" s="61">
        <f t="shared" si="18"/>
        <v>-2.0000000000000018E-3</v>
      </c>
    </row>
    <row r="30" spans="1:22">
      <c r="A30" s="164">
        <v>22</v>
      </c>
      <c r="B30" s="165" t="s">
        <v>59</v>
      </c>
      <c r="C30" s="166" t="s">
        <v>23</v>
      </c>
      <c r="D30" s="47">
        <v>137811181295.44</v>
      </c>
      <c r="E30" s="32">
        <f t="shared" si="13"/>
        <v>7.1165094879710358E-2</v>
      </c>
      <c r="F30" s="33">
        <v>1</v>
      </c>
      <c r="G30" s="33">
        <v>1</v>
      </c>
      <c r="H30" s="34">
        <v>64996</v>
      </c>
      <c r="I30" s="53">
        <v>0.219</v>
      </c>
      <c r="J30" s="53">
        <v>0.219</v>
      </c>
      <c r="K30" s="47">
        <v>139613829227.51001</v>
      </c>
      <c r="L30" s="32">
        <f t="shared" si="12"/>
        <v>7.2095974434725971E-2</v>
      </c>
      <c r="M30" s="33">
        <v>1</v>
      </c>
      <c r="N30" s="33">
        <v>1</v>
      </c>
      <c r="O30" s="34">
        <v>65275</v>
      </c>
      <c r="P30" s="53">
        <v>0.2223</v>
      </c>
      <c r="Q30" s="53">
        <v>0.2223</v>
      </c>
      <c r="R30" s="59">
        <f t="shared" si="14"/>
        <v>1.3080563675058308E-2</v>
      </c>
      <c r="S30" s="59">
        <f t="shared" si="15"/>
        <v>0</v>
      </c>
      <c r="T30" s="59">
        <f t="shared" si="16"/>
        <v>4.2925718505754202E-3</v>
      </c>
      <c r="U30" s="60">
        <f t="shared" si="17"/>
        <v>3.2999999999999974E-3</v>
      </c>
      <c r="V30" s="61">
        <f t="shared" si="18"/>
        <v>3.2999999999999974E-3</v>
      </c>
    </row>
    <row r="31" spans="1:22">
      <c r="A31" s="164">
        <v>23</v>
      </c>
      <c r="B31" s="165" t="s">
        <v>60</v>
      </c>
      <c r="C31" s="166" t="s">
        <v>25</v>
      </c>
      <c r="D31" s="47">
        <v>88844450592.729996</v>
      </c>
      <c r="E31" s="32">
        <f t="shared" si="13"/>
        <v>4.5878888030231088E-2</v>
      </c>
      <c r="F31" s="33">
        <v>1</v>
      </c>
      <c r="G31" s="33">
        <v>1</v>
      </c>
      <c r="H31" s="34">
        <v>31225</v>
      </c>
      <c r="I31" s="53">
        <v>0.21160000000000001</v>
      </c>
      <c r="J31" s="53">
        <v>0.21160000000000001</v>
      </c>
      <c r="K31" s="47">
        <v>91708155459.169998</v>
      </c>
      <c r="L31" s="32">
        <f t="shared" si="12"/>
        <v>4.7357692773155345E-2</v>
      </c>
      <c r="M31" s="33">
        <v>1</v>
      </c>
      <c r="N31" s="33">
        <v>1</v>
      </c>
      <c r="O31" s="34">
        <v>31429</v>
      </c>
      <c r="P31" s="53">
        <v>0.20569999999999999</v>
      </c>
      <c r="Q31" s="53">
        <v>0.20569999999999999</v>
      </c>
      <c r="R31" s="59">
        <f t="shared" si="14"/>
        <v>3.2232793914922751E-2</v>
      </c>
      <c r="S31" s="59">
        <f t="shared" si="15"/>
        <v>0</v>
      </c>
      <c r="T31" s="59">
        <f t="shared" si="16"/>
        <v>6.5332265812650123E-3</v>
      </c>
      <c r="U31" s="60">
        <f t="shared" si="17"/>
        <v>-5.9000000000000163E-3</v>
      </c>
      <c r="V31" s="61">
        <f t="shared" si="18"/>
        <v>-5.9000000000000163E-3</v>
      </c>
    </row>
    <row r="32" spans="1:22">
      <c r="A32" s="164">
        <v>24</v>
      </c>
      <c r="B32" s="165" t="s">
        <v>293</v>
      </c>
      <c r="C32" s="166" t="s">
        <v>27</v>
      </c>
      <c r="D32" s="35">
        <v>2523489950</v>
      </c>
      <c r="E32" s="32">
        <f t="shared" ref="E32" si="19">(D32/$D$24)</f>
        <v>7.4953394201069501E-2</v>
      </c>
      <c r="F32" s="35">
        <v>1</v>
      </c>
      <c r="G32" s="35">
        <v>1</v>
      </c>
      <c r="H32" s="34">
        <v>467</v>
      </c>
      <c r="I32" s="53">
        <v>0.24579999999999999</v>
      </c>
      <c r="J32" s="53">
        <v>0.24579999999999999</v>
      </c>
      <c r="K32" s="35">
        <v>2985168960.8400002</v>
      </c>
      <c r="L32" s="32">
        <f t="shared" ref="L32" si="20">(K32/$K$24)</f>
        <v>8.7002332346429498E-2</v>
      </c>
      <c r="M32" s="35">
        <v>1</v>
      </c>
      <c r="N32" s="35">
        <v>1</v>
      </c>
      <c r="O32" s="34">
        <v>467</v>
      </c>
      <c r="P32" s="53">
        <v>0.22639999999999999</v>
      </c>
      <c r="Q32" s="53">
        <v>0.22639999999999999</v>
      </c>
      <c r="R32" s="59">
        <f t="shared" si="14"/>
        <v>0.18295258550167801</v>
      </c>
      <c r="S32" s="59">
        <f t="shared" si="15"/>
        <v>0</v>
      </c>
      <c r="T32" s="59">
        <f t="shared" si="16"/>
        <v>0</v>
      </c>
      <c r="U32" s="60">
        <f t="shared" si="17"/>
        <v>-1.9400000000000001E-2</v>
      </c>
      <c r="V32" s="61">
        <f t="shared" si="18"/>
        <v>-1.9400000000000001E-2</v>
      </c>
    </row>
    <row r="33" spans="1:22" ht="15" customHeight="1">
      <c r="A33" s="164">
        <v>25</v>
      </c>
      <c r="B33" s="165" t="s">
        <v>61</v>
      </c>
      <c r="C33" s="166" t="s">
        <v>47</v>
      </c>
      <c r="D33" s="47">
        <v>14285766917</v>
      </c>
      <c r="E33" s="32">
        <f t="shared" si="13"/>
        <v>7.377107927826549E-3</v>
      </c>
      <c r="F33" s="33">
        <v>100</v>
      </c>
      <c r="G33" s="33">
        <v>100</v>
      </c>
      <c r="H33" s="34">
        <v>2083</v>
      </c>
      <c r="I33" s="53">
        <v>0.23649999999999999</v>
      </c>
      <c r="J33" s="53">
        <v>0.23649999999999999</v>
      </c>
      <c r="K33" s="47">
        <v>14366906941</v>
      </c>
      <c r="L33" s="32">
        <f t="shared" si="12"/>
        <v>7.4190082834596884E-3</v>
      </c>
      <c r="M33" s="33">
        <v>100</v>
      </c>
      <c r="N33" s="33">
        <v>100</v>
      </c>
      <c r="O33" s="34">
        <v>2083</v>
      </c>
      <c r="P33" s="53">
        <v>0.2359</v>
      </c>
      <c r="Q33" s="53">
        <v>0.2359</v>
      </c>
      <c r="R33" s="59">
        <f t="shared" si="14"/>
        <v>5.679780754608542E-3</v>
      </c>
      <c r="S33" s="59">
        <f t="shared" si="15"/>
        <v>0</v>
      </c>
      <c r="T33" s="59">
        <f t="shared" si="16"/>
        <v>0</v>
      </c>
      <c r="U33" s="60">
        <f t="shared" si="17"/>
        <v>-5.9999999999998943E-4</v>
      </c>
      <c r="V33" s="61">
        <f t="shared" si="18"/>
        <v>-5.9999999999998943E-4</v>
      </c>
    </row>
    <row r="34" spans="1:22" ht="15" customHeight="1">
      <c r="A34" s="164">
        <v>26</v>
      </c>
      <c r="B34" s="165" t="s">
        <v>62</v>
      </c>
      <c r="C34" s="166" t="s">
        <v>63</v>
      </c>
      <c r="D34" s="47">
        <v>346675536.37</v>
      </c>
      <c r="E34" s="32">
        <f t="shared" si="13"/>
        <v>1.7902173979160186E-4</v>
      </c>
      <c r="F34" s="33">
        <v>1</v>
      </c>
      <c r="G34" s="33">
        <v>1</v>
      </c>
      <c r="H34" s="34">
        <v>306</v>
      </c>
      <c r="I34" s="53">
        <v>0.215</v>
      </c>
      <c r="J34" s="53">
        <v>0.215</v>
      </c>
      <c r="K34" s="47">
        <v>348886292.70999998</v>
      </c>
      <c r="L34" s="32"/>
      <c r="M34" s="33">
        <v>1</v>
      </c>
      <c r="N34" s="33">
        <v>1</v>
      </c>
      <c r="O34" s="34">
        <v>312</v>
      </c>
      <c r="P34" s="53">
        <v>0.215</v>
      </c>
      <c r="Q34" s="53">
        <v>0.215</v>
      </c>
      <c r="R34" s="59">
        <f t="shared" si="14"/>
        <v>6.3770185896257674E-3</v>
      </c>
      <c r="S34" s="59">
        <f t="shared" si="15"/>
        <v>0</v>
      </c>
      <c r="T34" s="59">
        <f t="shared" si="16"/>
        <v>1.9607843137254902E-2</v>
      </c>
      <c r="U34" s="60">
        <f t="shared" si="17"/>
        <v>0</v>
      </c>
      <c r="V34" s="61">
        <f t="shared" si="18"/>
        <v>0</v>
      </c>
    </row>
    <row r="35" spans="1:22">
      <c r="A35" s="164">
        <v>27</v>
      </c>
      <c r="B35" s="165" t="s">
        <v>64</v>
      </c>
      <c r="C35" s="166" t="s">
        <v>65</v>
      </c>
      <c r="D35" s="47">
        <v>37077896849.489998</v>
      </c>
      <c r="E35" s="32">
        <f t="shared" si="13"/>
        <v>1.9146864734997951E-2</v>
      </c>
      <c r="F35" s="33">
        <v>100</v>
      </c>
      <c r="G35" s="33">
        <v>100</v>
      </c>
      <c r="H35" s="34">
        <v>3468</v>
      </c>
      <c r="I35" s="53">
        <v>0.22760547147396001</v>
      </c>
      <c r="J35" s="53">
        <v>0.22760547147396001</v>
      </c>
      <c r="K35" s="47">
        <v>37862090253.689995</v>
      </c>
      <c r="L35" s="32">
        <f t="shared" si="12"/>
        <v>1.9551818799605349E-2</v>
      </c>
      <c r="M35" s="33">
        <v>100</v>
      </c>
      <c r="N35" s="33">
        <v>100</v>
      </c>
      <c r="O35" s="34">
        <v>3534</v>
      </c>
      <c r="P35" s="53">
        <v>0.228892971681422</v>
      </c>
      <c r="Q35" s="53">
        <v>0.228892971681422</v>
      </c>
      <c r="R35" s="59">
        <f t="shared" si="14"/>
        <v>2.1149889039911482E-2</v>
      </c>
      <c r="S35" s="59">
        <f t="shared" si="15"/>
        <v>0</v>
      </c>
      <c r="T35" s="59">
        <f t="shared" si="16"/>
        <v>1.9031141868512111E-2</v>
      </c>
      <c r="U35" s="60">
        <f t="shared" si="17"/>
        <v>1.287500207461989E-3</v>
      </c>
      <c r="V35" s="61">
        <f t="shared" si="18"/>
        <v>1.287500207461989E-3</v>
      </c>
    </row>
    <row r="36" spans="1:22">
      <c r="A36" s="164">
        <v>28</v>
      </c>
      <c r="B36" s="165" t="s">
        <v>66</v>
      </c>
      <c r="C36" s="166" t="s">
        <v>67</v>
      </c>
      <c r="D36" s="47">
        <v>16848647929.93</v>
      </c>
      <c r="E36" s="32">
        <f t="shared" si="13"/>
        <v>8.7005685406455376E-3</v>
      </c>
      <c r="F36" s="33">
        <v>100</v>
      </c>
      <c r="G36" s="33">
        <v>100</v>
      </c>
      <c r="H36" s="34">
        <v>6554</v>
      </c>
      <c r="I36" s="53">
        <v>0.21959999999999999</v>
      </c>
      <c r="J36" s="53">
        <v>0.21959999999999999</v>
      </c>
      <c r="K36" s="47">
        <v>17833958475.580002</v>
      </c>
      <c r="L36" s="32">
        <f t="shared" si="12"/>
        <v>9.2093786227305206E-3</v>
      </c>
      <c r="M36" s="33">
        <v>100</v>
      </c>
      <c r="N36" s="33">
        <v>100</v>
      </c>
      <c r="O36" s="34">
        <v>6585</v>
      </c>
      <c r="P36" s="53">
        <v>0.23200000000000001</v>
      </c>
      <c r="Q36" s="53">
        <v>0.23200000000000001</v>
      </c>
      <c r="R36" s="59">
        <f t="shared" si="14"/>
        <v>5.8480095836039893E-2</v>
      </c>
      <c r="S36" s="59">
        <f t="shared" si="15"/>
        <v>0</v>
      </c>
      <c r="T36" s="59">
        <f t="shared" si="16"/>
        <v>4.7299359169972535E-3</v>
      </c>
      <c r="U36" s="60">
        <f t="shared" si="17"/>
        <v>1.2400000000000022E-2</v>
      </c>
      <c r="V36" s="61">
        <f t="shared" si="18"/>
        <v>1.2400000000000022E-2</v>
      </c>
    </row>
    <row r="37" spans="1:22">
      <c r="A37" s="164">
        <v>29</v>
      </c>
      <c r="B37" s="165" t="s">
        <v>68</v>
      </c>
      <c r="C37" s="166" t="s">
        <v>69</v>
      </c>
      <c r="D37" s="47">
        <v>44514190.369999997</v>
      </c>
      <c r="E37" s="32">
        <f t="shared" si="13"/>
        <v>2.2986934379317733E-5</v>
      </c>
      <c r="F37" s="33">
        <v>100</v>
      </c>
      <c r="G37" s="33">
        <v>100</v>
      </c>
      <c r="H37" s="34">
        <v>0</v>
      </c>
      <c r="I37" s="53">
        <v>0</v>
      </c>
      <c r="J37" s="53">
        <v>0</v>
      </c>
      <c r="K37" s="47">
        <v>44514190.369999997</v>
      </c>
      <c r="L37" s="32">
        <f t="shared" si="12"/>
        <v>2.2986934379317733E-5</v>
      </c>
      <c r="M37" s="33">
        <v>100</v>
      </c>
      <c r="N37" s="33">
        <v>100</v>
      </c>
      <c r="O37" s="34">
        <v>0</v>
      </c>
      <c r="P37" s="53">
        <v>0</v>
      </c>
      <c r="Q37" s="53">
        <v>0</v>
      </c>
      <c r="R37" s="59">
        <f t="shared" si="14"/>
        <v>0</v>
      </c>
      <c r="S37" s="59">
        <f t="shared" si="15"/>
        <v>0</v>
      </c>
      <c r="T37" s="59" t="e">
        <f t="shared" si="16"/>
        <v>#DIV/0!</v>
      </c>
      <c r="U37" s="60">
        <f t="shared" si="17"/>
        <v>0</v>
      </c>
      <c r="V37" s="61">
        <f t="shared" si="18"/>
        <v>0</v>
      </c>
    </row>
    <row r="38" spans="1:22">
      <c r="A38" s="164">
        <v>30</v>
      </c>
      <c r="B38" s="165" t="s">
        <v>70</v>
      </c>
      <c r="C38" s="166" t="s">
        <v>71</v>
      </c>
      <c r="D38" s="47">
        <v>12511844866.01</v>
      </c>
      <c r="E38" s="32">
        <f t="shared" si="13"/>
        <v>6.4610622929133906E-3</v>
      </c>
      <c r="F38" s="33">
        <v>1</v>
      </c>
      <c r="G38" s="33">
        <v>1</v>
      </c>
      <c r="H38" s="34">
        <v>3880</v>
      </c>
      <c r="I38" s="53">
        <v>0.1981</v>
      </c>
      <c r="J38" s="53">
        <v>0.1981</v>
      </c>
      <c r="K38" s="47">
        <v>13665454734.629999</v>
      </c>
      <c r="L38" s="32">
        <f t="shared" si="12"/>
        <v>7.0567814136900508E-3</v>
      </c>
      <c r="M38" s="33">
        <v>1</v>
      </c>
      <c r="N38" s="33">
        <v>1</v>
      </c>
      <c r="O38" s="34">
        <v>4023</v>
      </c>
      <c r="P38" s="53">
        <v>0.23669999999999999</v>
      </c>
      <c r="Q38" s="53">
        <v>0.23669999999999999</v>
      </c>
      <c r="R38" s="59">
        <f t="shared" si="14"/>
        <v>9.2201420411943028E-2</v>
      </c>
      <c r="S38" s="59">
        <f t="shared" si="15"/>
        <v>0</v>
      </c>
      <c r="T38" s="59">
        <f t="shared" si="16"/>
        <v>3.6855670103092784E-2</v>
      </c>
      <c r="U38" s="60">
        <f t="shared" si="17"/>
        <v>3.8599999999999995E-2</v>
      </c>
      <c r="V38" s="61">
        <f t="shared" si="18"/>
        <v>3.8599999999999995E-2</v>
      </c>
    </row>
    <row r="39" spans="1:22">
      <c r="A39" s="164">
        <v>31</v>
      </c>
      <c r="B39" s="165" t="s">
        <v>72</v>
      </c>
      <c r="C39" s="166" t="s">
        <v>73</v>
      </c>
      <c r="D39" s="47">
        <v>32547184153.049999</v>
      </c>
      <c r="E39" s="32">
        <f t="shared" si="13"/>
        <v>1.6807224396064656E-2</v>
      </c>
      <c r="F39" s="48">
        <v>100</v>
      </c>
      <c r="G39" s="48">
        <v>100</v>
      </c>
      <c r="H39" s="34">
        <v>3089</v>
      </c>
      <c r="I39" s="53">
        <v>0.23860000000000001</v>
      </c>
      <c r="J39" s="53">
        <v>0.23860000000000001</v>
      </c>
      <c r="K39" s="47">
        <v>33239101369.5</v>
      </c>
      <c r="L39" s="32">
        <f t="shared" si="12"/>
        <v>1.716452743849347E-2</v>
      </c>
      <c r="M39" s="48">
        <v>100</v>
      </c>
      <c r="N39" s="48">
        <v>100</v>
      </c>
      <c r="O39" s="34">
        <v>3089</v>
      </c>
      <c r="P39" s="53">
        <v>0.21590000000000001</v>
      </c>
      <c r="Q39" s="53">
        <v>0.21590000000000001</v>
      </c>
      <c r="R39" s="59">
        <f t="shared" si="14"/>
        <v>2.1258896413168239E-2</v>
      </c>
      <c r="S39" s="59">
        <f t="shared" si="15"/>
        <v>0</v>
      </c>
      <c r="T39" s="59">
        <f t="shared" si="16"/>
        <v>0</v>
      </c>
      <c r="U39" s="60">
        <f t="shared" si="17"/>
        <v>-2.2699999999999998E-2</v>
      </c>
      <c r="V39" s="61">
        <f t="shared" si="18"/>
        <v>-2.2699999999999998E-2</v>
      </c>
    </row>
    <row r="40" spans="1:22">
      <c r="A40" s="164">
        <v>32</v>
      </c>
      <c r="B40" s="165" t="s">
        <v>74</v>
      </c>
      <c r="C40" s="166" t="s">
        <v>73</v>
      </c>
      <c r="D40" s="47">
        <v>2056245202.5</v>
      </c>
      <c r="E40" s="32">
        <f t="shared" si="13"/>
        <v>1.0618360829383856E-3</v>
      </c>
      <c r="F40" s="48">
        <v>1000000</v>
      </c>
      <c r="G40" s="48">
        <v>1000000</v>
      </c>
      <c r="H40" s="34">
        <v>9</v>
      </c>
      <c r="I40" s="53">
        <v>0.24979999999999999</v>
      </c>
      <c r="J40" s="53">
        <v>0.24979999999999999</v>
      </c>
      <c r="K40" s="47">
        <v>2114006190.8399999</v>
      </c>
      <c r="L40" s="32">
        <f t="shared" si="12"/>
        <v>1.0916636061982705E-3</v>
      </c>
      <c r="M40" s="48">
        <v>1000000</v>
      </c>
      <c r="N40" s="48">
        <v>1000000</v>
      </c>
      <c r="O40" s="34">
        <v>9</v>
      </c>
      <c r="P40" s="53">
        <v>0.22639999999999999</v>
      </c>
      <c r="Q40" s="53">
        <v>0.22639999999999999</v>
      </c>
      <c r="R40" s="59">
        <f t="shared" si="14"/>
        <v>2.8090515795379668E-2</v>
      </c>
      <c r="S40" s="59">
        <f t="shared" si="15"/>
        <v>0</v>
      </c>
      <c r="T40" s="59">
        <f t="shared" si="16"/>
        <v>0</v>
      </c>
      <c r="U40" s="60">
        <f t="shared" si="17"/>
        <v>-2.3400000000000004E-2</v>
      </c>
      <c r="V40" s="61">
        <f t="shared" si="18"/>
        <v>-2.3400000000000004E-2</v>
      </c>
    </row>
    <row r="41" spans="1:22">
      <c r="A41" s="164">
        <v>33</v>
      </c>
      <c r="B41" s="165" t="s">
        <v>75</v>
      </c>
      <c r="C41" s="166" t="s">
        <v>76</v>
      </c>
      <c r="D41" s="47">
        <v>3633728686.0799999</v>
      </c>
      <c r="E41" s="32">
        <f t="shared" si="13"/>
        <v>1.8764416956678755E-3</v>
      </c>
      <c r="F41" s="33">
        <v>1</v>
      </c>
      <c r="G41" s="33">
        <v>1</v>
      </c>
      <c r="H41" s="34">
        <v>770</v>
      </c>
      <c r="I41" s="53">
        <v>0.2276</v>
      </c>
      <c r="J41" s="53">
        <v>0.2276</v>
      </c>
      <c r="K41" s="47">
        <v>3629886120.4200001</v>
      </c>
      <c r="L41" s="32">
        <f t="shared" si="12"/>
        <v>1.8744574114668048E-3</v>
      </c>
      <c r="M41" s="33">
        <v>1</v>
      </c>
      <c r="N41" s="33">
        <v>1</v>
      </c>
      <c r="O41" s="34">
        <v>789</v>
      </c>
      <c r="P41" s="53">
        <v>0.24160000000000001</v>
      </c>
      <c r="Q41" s="53">
        <v>0.24160000000000001</v>
      </c>
      <c r="R41" s="59">
        <f t="shared" si="14"/>
        <v>-1.0574718125543757E-3</v>
      </c>
      <c r="S41" s="59">
        <f t="shared" si="15"/>
        <v>0</v>
      </c>
      <c r="T41" s="59">
        <f t="shared" si="16"/>
        <v>2.4675324675324677E-2</v>
      </c>
      <c r="U41" s="60">
        <f t="shared" si="17"/>
        <v>1.4000000000000012E-2</v>
      </c>
      <c r="V41" s="61">
        <f t="shared" si="18"/>
        <v>1.4000000000000012E-2</v>
      </c>
    </row>
    <row r="42" spans="1:22">
      <c r="A42" s="164">
        <v>34</v>
      </c>
      <c r="B42" s="165" t="s">
        <v>77</v>
      </c>
      <c r="C42" s="166" t="s">
        <v>31</v>
      </c>
      <c r="D42" s="47">
        <v>385555476228.79999</v>
      </c>
      <c r="E42" s="32">
        <f t="shared" si="13"/>
        <v>0.19909917170213207</v>
      </c>
      <c r="F42" s="33">
        <v>100</v>
      </c>
      <c r="G42" s="33">
        <v>100</v>
      </c>
      <c r="H42" s="34">
        <v>15580</v>
      </c>
      <c r="I42" s="53">
        <v>0.2296</v>
      </c>
      <c r="J42" s="53">
        <v>0.2296</v>
      </c>
      <c r="K42" s="47">
        <v>388972255661.25</v>
      </c>
      <c r="L42" s="32">
        <f t="shared" si="12"/>
        <v>0.20086358174642355</v>
      </c>
      <c r="M42" s="33">
        <v>100</v>
      </c>
      <c r="N42" s="33">
        <v>100</v>
      </c>
      <c r="O42" s="34">
        <v>15726</v>
      </c>
      <c r="P42" s="53">
        <v>0.22919999999999999</v>
      </c>
      <c r="Q42" s="53">
        <v>0.22919999999999999</v>
      </c>
      <c r="R42" s="59">
        <f t="shared" si="14"/>
        <v>8.861965769155343E-3</v>
      </c>
      <c r="S42" s="59">
        <f t="shared" si="15"/>
        <v>0</v>
      </c>
      <c r="T42" s="59">
        <f t="shared" si="16"/>
        <v>9.3709884467265726E-3</v>
      </c>
      <c r="U42" s="60">
        <f t="shared" si="17"/>
        <v>-4.0000000000001146E-4</v>
      </c>
      <c r="V42" s="61">
        <f t="shared" si="18"/>
        <v>-4.0000000000001146E-4</v>
      </c>
    </row>
    <row r="43" spans="1:22">
      <c r="A43" s="164">
        <v>35</v>
      </c>
      <c r="B43" s="165" t="s">
        <v>78</v>
      </c>
      <c r="C43" s="166" t="s">
        <v>79</v>
      </c>
      <c r="D43" s="47">
        <v>981856213.14999998</v>
      </c>
      <c r="E43" s="32">
        <f t="shared" si="13"/>
        <v>5.0702627979987353E-4</v>
      </c>
      <c r="F43" s="33">
        <v>1</v>
      </c>
      <c r="G43" s="33">
        <v>1</v>
      </c>
      <c r="H43" s="49">
        <v>855</v>
      </c>
      <c r="I43" s="56">
        <v>0.23810000000000001</v>
      </c>
      <c r="J43" s="56">
        <v>0.23810000000000001</v>
      </c>
      <c r="K43" s="47">
        <v>1165627648.96</v>
      </c>
      <c r="L43" s="32">
        <f t="shared" si="12"/>
        <v>6.0192505029631356E-4</v>
      </c>
      <c r="M43" s="33">
        <v>1</v>
      </c>
      <c r="N43" s="33">
        <v>1</v>
      </c>
      <c r="O43" s="49">
        <v>910</v>
      </c>
      <c r="P43" s="56">
        <v>0.21379999999999999</v>
      </c>
      <c r="Q43" s="56">
        <v>0.21379999999999999</v>
      </c>
      <c r="R43" s="59">
        <f t="shared" si="14"/>
        <v>0.18716736050426658</v>
      </c>
      <c r="S43" s="59">
        <f t="shared" si="15"/>
        <v>0</v>
      </c>
      <c r="T43" s="59">
        <f t="shared" si="16"/>
        <v>6.4327485380116955E-2</v>
      </c>
      <c r="U43" s="60">
        <f t="shared" si="17"/>
        <v>-2.4300000000000016E-2</v>
      </c>
      <c r="V43" s="61">
        <f t="shared" si="18"/>
        <v>-2.4300000000000016E-2</v>
      </c>
    </row>
    <row r="44" spans="1:22">
      <c r="A44" s="164">
        <v>36</v>
      </c>
      <c r="B44" s="165" t="s">
        <v>80</v>
      </c>
      <c r="C44" s="166" t="s">
        <v>81</v>
      </c>
      <c r="D44" s="47">
        <v>766413770.30999994</v>
      </c>
      <c r="E44" s="32">
        <f t="shared" si="13"/>
        <v>3.9577273896448635E-4</v>
      </c>
      <c r="F44" s="33">
        <v>10</v>
      </c>
      <c r="G44" s="33">
        <v>10</v>
      </c>
      <c r="H44" s="34">
        <v>416</v>
      </c>
      <c r="I44" s="53">
        <v>0.18149999999999999</v>
      </c>
      <c r="J44" s="53">
        <v>0.18149999999999999</v>
      </c>
      <c r="K44" s="47">
        <v>672259241.41999984</v>
      </c>
      <c r="L44" s="32">
        <f t="shared" si="12"/>
        <v>3.4715174958738568E-4</v>
      </c>
      <c r="M44" s="33">
        <v>10</v>
      </c>
      <c r="N44" s="33">
        <v>10</v>
      </c>
      <c r="O44" s="34">
        <v>415</v>
      </c>
      <c r="P44" s="53">
        <v>0.18090000000000001</v>
      </c>
      <c r="Q44" s="53">
        <v>0.18090000000000001</v>
      </c>
      <c r="R44" s="59">
        <f t="shared" si="14"/>
        <v>-0.12285077922323391</v>
      </c>
      <c r="S44" s="59">
        <f t="shared" si="15"/>
        <v>0</v>
      </c>
      <c r="T44" s="59">
        <f t="shared" si="16"/>
        <v>-2.403846153846154E-3</v>
      </c>
      <c r="U44" s="60">
        <f t="shared" si="17"/>
        <v>-5.9999999999998943E-4</v>
      </c>
      <c r="V44" s="61">
        <f t="shared" si="18"/>
        <v>-5.9999999999998943E-4</v>
      </c>
    </row>
    <row r="45" spans="1:22">
      <c r="A45" s="164">
        <v>37</v>
      </c>
      <c r="B45" s="165" t="s">
        <v>82</v>
      </c>
      <c r="C45" s="166" t="s">
        <v>83</v>
      </c>
      <c r="D45" s="47">
        <v>5184842491.6000004</v>
      </c>
      <c r="E45" s="32">
        <f t="shared" si="13"/>
        <v>2.6774301212907237E-3</v>
      </c>
      <c r="F45" s="33">
        <v>100</v>
      </c>
      <c r="G45" s="33">
        <v>100</v>
      </c>
      <c r="H45" s="34">
        <v>729</v>
      </c>
      <c r="I45" s="53">
        <v>0.21540000000000001</v>
      </c>
      <c r="J45" s="53">
        <v>0.21540000000000001</v>
      </c>
      <c r="K45" s="47">
        <v>5562193374.2299995</v>
      </c>
      <c r="L45" s="32">
        <f t="shared" si="12"/>
        <v>2.8722924765283314E-3</v>
      </c>
      <c r="M45" s="33">
        <v>100</v>
      </c>
      <c r="N45" s="33">
        <v>100</v>
      </c>
      <c r="O45" s="34">
        <v>729</v>
      </c>
      <c r="P45" s="53">
        <v>0.21229999999999999</v>
      </c>
      <c r="Q45" s="53">
        <v>0.21229999999999999</v>
      </c>
      <c r="R45" s="59">
        <f t="shared" si="14"/>
        <v>7.2779623149854214E-2</v>
      </c>
      <c r="S45" s="59">
        <f t="shared" si="15"/>
        <v>0</v>
      </c>
      <c r="T45" s="59">
        <f t="shared" si="16"/>
        <v>0</v>
      </c>
      <c r="U45" s="60">
        <f t="shared" si="17"/>
        <v>-3.1000000000000194E-3</v>
      </c>
      <c r="V45" s="61">
        <f t="shared" si="18"/>
        <v>-3.1000000000000194E-3</v>
      </c>
    </row>
    <row r="46" spans="1:22">
      <c r="A46" s="164">
        <v>38</v>
      </c>
      <c r="B46" s="165" t="s">
        <v>84</v>
      </c>
      <c r="C46" s="165" t="s">
        <v>85</v>
      </c>
      <c r="D46" s="35">
        <v>78541449.880263403</v>
      </c>
      <c r="E46" s="32">
        <f>(D46/$D$179)</f>
        <v>1.4239581724910305E-3</v>
      </c>
      <c r="F46" s="35">
        <v>1</v>
      </c>
      <c r="G46" s="35">
        <v>1</v>
      </c>
      <c r="H46" s="34">
        <v>50</v>
      </c>
      <c r="I46" s="53">
        <v>0.160735243460841</v>
      </c>
      <c r="J46" s="53">
        <v>0.160735243460841</v>
      </c>
      <c r="K46" s="35">
        <v>81000108.477589697</v>
      </c>
      <c r="L46" s="57">
        <f>(K46/$K$179)</f>
        <v>1.4494529711630698E-3</v>
      </c>
      <c r="M46" s="35">
        <v>1</v>
      </c>
      <c r="N46" s="35">
        <v>1</v>
      </c>
      <c r="O46" s="34">
        <v>53</v>
      </c>
      <c r="P46" s="53">
        <v>0.16189999999999999</v>
      </c>
      <c r="Q46" s="53">
        <v>0.16189999999999999</v>
      </c>
      <c r="R46" s="60">
        <f t="shared" si="14"/>
        <v>3.1303962443709955E-2</v>
      </c>
      <c r="S46" s="60">
        <f t="shared" si="15"/>
        <v>0</v>
      </c>
      <c r="T46" s="60">
        <f t="shared" si="16"/>
        <v>0.06</v>
      </c>
      <c r="U46" s="60">
        <f t="shared" si="17"/>
        <v>1.1647565391589842E-3</v>
      </c>
      <c r="V46" s="61">
        <f t="shared" si="18"/>
        <v>1.1647565391589842E-3</v>
      </c>
    </row>
    <row r="47" spans="1:22">
      <c r="A47" s="164">
        <v>39</v>
      </c>
      <c r="B47" s="165" t="s">
        <v>292</v>
      </c>
      <c r="C47" s="166" t="s">
        <v>37</v>
      </c>
      <c r="D47" s="47">
        <v>176006568.13</v>
      </c>
      <c r="E47" s="32">
        <f t="shared" ref="E47" si="21">(D47/$K$65)</f>
        <v>9.0889026584652804E-5</v>
      </c>
      <c r="F47" s="33">
        <v>1</v>
      </c>
      <c r="G47" s="33">
        <v>1</v>
      </c>
      <c r="H47" s="34">
        <v>737</v>
      </c>
      <c r="I47" s="53">
        <v>0.159</v>
      </c>
      <c r="J47" s="53">
        <v>0.159</v>
      </c>
      <c r="K47" s="47">
        <v>196464777.09</v>
      </c>
      <c r="L47" s="32">
        <f t="shared" ref="L47" si="22">(K47/$K$65)</f>
        <v>1.014535567484728E-4</v>
      </c>
      <c r="M47" s="33">
        <v>1</v>
      </c>
      <c r="N47" s="33">
        <v>1</v>
      </c>
      <c r="O47" s="34">
        <v>964</v>
      </c>
      <c r="P47" s="53">
        <v>0.2034</v>
      </c>
      <c r="Q47" s="53">
        <v>0.2034</v>
      </c>
      <c r="R47" s="59">
        <f t="shared" ref="R47" si="23">((K47-D47)/D47)</f>
        <v>0.11623548585351312</v>
      </c>
      <c r="S47" s="59">
        <f t="shared" ref="S47" si="24">((N47-G47)/G47)</f>
        <v>0</v>
      </c>
      <c r="T47" s="59">
        <f t="shared" ref="T47" si="25">((O47-H47)/H47)</f>
        <v>0.30800542740841247</v>
      </c>
      <c r="U47" s="60">
        <f t="shared" ref="U47" si="26">P47-I47</f>
        <v>4.4399999999999995E-2</v>
      </c>
      <c r="V47" s="61">
        <f t="shared" ref="V47" si="27">Q47-J47</f>
        <v>4.4399999999999995E-2</v>
      </c>
    </row>
    <row r="48" spans="1:22">
      <c r="A48" s="164">
        <v>40</v>
      </c>
      <c r="B48" s="165" t="s">
        <v>86</v>
      </c>
      <c r="C48" s="166" t="s">
        <v>37</v>
      </c>
      <c r="D48" s="47">
        <v>48581309994.690002</v>
      </c>
      <c r="E48" s="32">
        <f t="shared" si="13"/>
        <v>2.5087177271494242E-2</v>
      </c>
      <c r="F48" s="33">
        <v>100</v>
      </c>
      <c r="G48" s="33">
        <v>100</v>
      </c>
      <c r="H48" s="34">
        <v>13269</v>
      </c>
      <c r="I48" s="53">
        <v>0.18609999999999999</v>
      </c>
      <c r="J48" s="53">
        <v>0.18609999999999999</v>
      </c>
      <c r="K48" s="47">
        <v>51964584539.629997</v>
      </c>
      <c r="L48" s="32">
        <f t="shared" si="12"/>
        <v>2.6834285537539783E-2</v>
      </c>
      <c r="M48" s="33">
        <v>100</v>
      </c>
      <c r="N48" s="33">
        <v>100</v>
      </c>
      <c r="O48" s="34">
        <v>13459</v>
      </c>
      <c r="P48" s="53">
        <v>0.21149999999999999</v>
      </c>
      <c r="Q48" s="53">
        <v>0.21149999999999999</v>
      </c>
      <c r="R48" s="59">
        <f t="shared" si="14"/>
        <v>6.964148445790759E-2</v>
      </c>
      <c r="S48" s="59">
        <f t="shared" si="15"/>
        <v>0</v>
      </c>
      <c r="T48" s="59">
        <f t="shared" si="16"/>
        <v>1.4319089607355491E-2</v>
      </c>
      <c r="U48" s="60">
        <f t="shared" si="17"/>
        <v>2.5400000000000006E-2</v>
      </c>
      <c r="V48" s="61">
        <f t="shared" si="18"/>
        <v>2.5400000000000006E-2</v>
      </c>
    </row>
    <row r="49" spans="1:22">
      <c r="A49" s="164">
        <v>41</v>
      </c>
      <c r="B49" s="165" t="s">
        <v>87</v>
      </c>
      <c r="C49" s="166" t="s">
        <v>41</v>
      </c>
      <c r="D49" s="47">
        <v>9801356307.3999996</v>
      </c>
      <c r="E49" s="32">
        <f t="shared" si="13"/>
        <v>5.0613777852367078E-3</v>
      </c>
      <c r="F49" s="33">
        <v>1</v>
      </c>
      <c r="G49" s="33">
        <v>1</v>
      </c>
      <c r="H49" s="34">
        <v>1218</v>
      </c>
      <c r="I49" s="53">
        <v>0.223</v>
      </c>
      <c r="J49" s="53">
        <v>0.223</v>
      </c>
      <c r="K49" s="47">
        <v>9789190042.7700005</v>
      </c>
      <c r="L49" s="32">
        <f t="shared" si="12"/>
        <v>5.0550951790752424E-3</v>
      </c>
      <c r="M49" s="33">
        <v>1</v>
      </c>
      <c r="N49" s="33">
        <v>1</v>
      </c>
      <c r="O49" s="34">
        <v>1241</v>
      </c>
      <c r="P49" s="53">
        <v>0.246</v>
      </c>
      <c r="Q49" s="53">
        <v>0.246</v>
      </c>
      <c r="R49" s="59">
        <f t="shared" si="14"/>
        <v>-1.2412837824101611E-3</v>
      </c>
      <c r="S49" s="59">
        <f t="shared" si="15"/>
        <v>0</v>
      </c>
      <c r="T49" s="59">
        <f t="shared" si="16"/>
        <v>1.8883415435139574E-2</v>
      </c>
      <c r="U49" s="60">
        <f t="shared" si="17"/>
        <v>2.2999999999999993E-2</v>
      </c>
      <c r="V49" s="61">
        <f t="shared" si="18"/>
        <v>2.2999999999999993E-2</v>
      </c>
    </row>
    <row r="50" spans="1:22">
      <c r="A50" s="164">
        <v>42</v>
      </c>
      <c r="B50" s="165" t="s">
        <v>88</v>
      </c>
      <c r="C50" s="166" t="s">
        <v>43</v>
      </c>
      <c r="D50" s="50">
        <v>20951419586.629997</v>
      </c>
      <c r="E50" s="32">
        <f t="shared" si="13"/>
        <v>1.0819221987152948E-2</v>
      </c>
      <c r="F50" s="33">
        <v>10</v>
      </c>
      <c r="G50" s="33">
        <v>10</v>
      </c>
      <c r="H50" s="34">
        <v>3386</v>
      </c>
      <c r="I50" s="53">
        <v>0.2424</v>
      </c>
      <c r="J50" s="53">
        <v>0.2424</v>
      </c>
      <c r="K50" s="50">
        <v>22013998383.330002</v>
      </c>
      <c r="L50" s="32">
        <f t="shared" si="12"/>
        <v>1.1367933058152428E-2</v>
      </c>
      <c r="M50" s="33">
        <v>10</v>
      </c>
      <c r="N50" s="33">
        <v>10</v>
      </c>
      <c r="O50" s="34">
        <v>3472</v>
      </c>
      <c r="P50" s="53">
        <v>0.22600000000000001</v>
      </c>
      <c r="Q50" s="53">
        <v>0.2465</v>
      </c>
      <c r="R50" s="59">
        <f t="shared" si="14"/>
        <v>5.0716315059533335E-2</v>
      </c>
      <c r="S50" s="59">
        <f t="shared" si="15"/>
        <v>0</v>
      </c>
      <c r="T50" s="59">
        <f t="shared" si="16"/>
        <v>2.5398700531600708E-2</v>
      </c>
      <c r="U50" s="60">
        <f t="shared" si="17"/>
        <v>-1.6399999999999998E-2</v>
      </c>
      <c r="V50" s="61">
        <f t="shared" si="18"/>
        <v>4.0999999999999925E-3</v>
      </c>
    </row>
    <row r="51" spans="1:22">
      <c r="A51" s="164">
        <v>43</v>
      </c>
      <c r="B51" s="165" t="s">
        <v>89</v>
      </c>
      <c r="C51" s="166" t="s">
        <v>90</v>
      </c>
      <c r="D51" s="47">
        <v>13988942956</v>
      </c>
      <c r="E51" s="32">
        <f t="shared" si="13"/>
        <v>7.2238293248237072E-3</v>
      </c>
      <c r="F51" s="33">
        <v>100</v>
      </c>
      <c r="G51" s="33">
        <v>100</v>
      </c>
      <c r="H51" s="34">
        <v>3337</v>
      </c>
      <c r="I51" s="53">
        <v>0.22359999999999999</v>
      </c>
      <c r="J51" s="53">
        <v>0.22359999999999999</v>
      </c>
      <c r="K51" s="47">
        <v>14298110356</v>
      </c>
      <c r="L51" s="32">
        <f t="shared" si="12"/>
        <v>7.3834820260624077E-3</v>
      </c>
      <c r="M51" s="33">
        <v>100</v>
      </c>
      <c r="N51" s="33">
        <v>100</v>
      </c>
      <c r="O51" s="34">
        <v>3343</v>
      </c>
      <c r="P51" s="53">
        <v>0.22359999999999999</v>
      </c>
      <c r="Q51" s="53">
        <v>0.22359999999999999</v>
      </c>
      <c r="R51" s="59">
        <f t="shared" si="14"/>
        <v>2.2100840712013552E-2</v>
      </c>
      <c r="S51" s="59">
        <f t="shared" si="15"/>
        <v>0</v>
      </c>
      <c r="T51" s="59">
        <f t="shared" si="16"/>
        <v>1.7980221756068325E-3</v>
      </c>
      <c r="U51" s="60">
        <f t="shared" si="17"/>
        <v>0</v>
      </c>
      <c r="V51" s="61">
        <f t="shared" si="18"/>
        <v>0</v>
      </c>
    </row>
    <row r="52" spans="1:22">
      <c r="A52" s="164">
        <v>44</v>
      </c>
      <c r="B52" s="165" t="s">
        <v>91</v>
      </c>
      <c r="C52" s="166" t="s">
        <v>92</v>
      </c>
      <c r="D52" s="47">
        <v>287696511.86000001</v>
      </c>
      <c r="E52" s="32">
        <f t="shared" si="13"/>
        <v>1.485652279490044E-4</v>
      </c>
      <c r="F52" s="33">
        <v>1</v>
      </c>
      <c r="G52" s="33">
        <v>1</v>
      </c>
      <c r="H52" s="34">
        <v>89</v>
      </c>
      <c r="I52" s="53">
        <v>0.16889999999999999</v>
      </c>
      <c r="J52" s="53">
        <v>0.16889999999999999</v>
      </c>
      <c r="K52" s="47">
        <v>288189681.30000001</v>
      </c>
      <c r="L52" s="32">
        <f t="shared" si="12"/>
        <v>1.4881989850374069E-4</v>
      </c>
      <c r="M52" s="33">
        <v>1</v>
      </c>
      <c r="N52" s="33">
        <v>1</v>
      </c>
      <c r="O52" s="34">
        <v>89</v>
      </c>
      <c r="P52" s="53">
        <v>0.18890000000000001</v>
      </c>
      <c r="Q52" s="53">
        <v>0.18890000000000001</v>
      </c>
      <c r="R52" s="59">
        <f t="shared" si="14"/>
        <v>1.7142002758795548E-3</v>
      </c>
      <c r="S52" s="59">
        <f t="shared" si="15"/>
        <v>0</v>
      </c>
      <c r="T52" s="59">
        <f t="shared" si="16"/>
        <v>0</v>
      </c>
      <c r="U52" s="60">
        <f t="shared" si="17"/>
        <v>2.0000000000000018E-2</v>
      </c>
      <c r="V52" s="61">
        <f t="shared" si="18"/>
        <v>2.0000000000000018E-2</v>
      </c>
    </row>
    <row r="53" spans="1:22">
      <c r="A53" s="164">
        <v>45</v>
      </c>
      <c r="B53" s="165" t="s">
        <v>93</v>
      </c>
      <c r="C53" s="166" t="s">
        <v>45</v>
      </c>
      <c r="D53" s="50">
        <v>985992274.48000002</v>
      </c>
      <c r="E53" s="32">
        <f t="shared" si="13"/>
        <v>5.0916212388894453E-4</v>
      </c>
      <c r="F53" s="33">
        <v>10</v>
      </c>
      <c r="G53" s="33">
        <v>10</v>
      </c>
      <c r="H53" s="34">
        <v>744</v>
      </c>
      <c r="I53" s="53">
        <v>0.16400000000000001</v>
      </c>
      <c r="J53" s="53">
        <v>0.16400000000000001</v>
      </c>
      <c r="K53" s="50">
        <v>1083132260.8399999</v>
      </c>
      <c r="L53" s="32">
        <f t="shared" si="12"/>
        <v>5.5932479052412201E-4</v>
      </c>
      <c r="M53" s="33">
        <v>10</v>
      </c>
      <c r="N53" s="33">
        <v>10</v>
      </c>
      <c r="O53" s="34">
        <v>747</v>
      </c>
      <c r="P53" s="53">
        <v>0.16400000000000001</v>
      </c>
      <c r="Q53" s="53">
        <v>0.16400000000000001</v>
      </c>
      <c r="R53" s="59">
        <f t="shared" si="14"/>
        <v>9.8520027868606072E-2</v>
      </c>
      <c r="S53" s="59">
        <f t="shared" si="15"/>
        <v>0</v>
      </c>
      <c r="T53" s="59">
        <f t="shared" si="16"/>
        <v>4.0322580645161289E-3</v>
      </c>
      <c r="U53" s="60">
        <f t="shared" si="17"/>
        <v>0</v>
      </c>
      <c r="V53" s="61">
        <f t="shared" si="18"/>
        <v>0</v>
      </c>
    </row>
    <row r="54" spans="1:22">
      <c r="A54" s="164">
        <v>46</v>
      </c>
      <c r="B54" s="165" t="s">
        <v>94</v>
      </c>
      <c r="C54" s="166" t="s">
        <v>95</v>
      </c>
      <c r="D54" s="50">
        <v>749461224.65999997</v>
      </c>
      <c r="E54" s="32">
        <f t="shared" si="13"/>
        <v>3.8701851809289745E-4</v>
      </c>
      <c r="F54" s="33">
        <v>1</v>
      </c>
      <c r="G54" s="33">
        <v>1</v>
      </c>
      <c r="H54" s="34">
        <v>62</v>
      </c>
      <c r="I54" s="53">
        <v>0.21890000000000001</v>
      </c>
      <c r="J54" s="53">
        <v>0.21890000000000001</v>
      </c>
      <c r="K54" s="50">
        <v>749621324.83000004</v>
      </c>
      <c r="L54" s="32">
        <f t="shared" si="12"/>
        <v>3.8710119312464171E-4</v>
      </c>
      <c r="M54" s="33">
        <v>1</v>
      </c>
      <c r="N54" s="33">
        <v>1</v>
      </c>
      <c r="O54" s="34">
        <v>73</v>
      </c>
      <c r="P54" s="53">
        <v>0.22040000000000001</v>
      </c>
      <c r="Q54" s="53">
        <v>0.22040000000000001</v>
      </c>
      <c r="R54" s="59">
        <f t="shared" si="14"/>
        <v>2.1362035116987836E-4</v>
      </c>
      <c r="S54" s="59">
        <f t="shared" si="15"/>
        <v>0</v>
      </c>
      <c r="T54" s="59">
        <f t="shared" si="16"/>
        <v>0.17741935483870969</v>
      </c>
      <c r="U54" s="60">
        <f t="shared" si="17"/>
        <v>1.5000000000000013E-3</v>
      </c>
      <c r="V54" s="61">
        <f t="shared" si="18"/>
        <v>1.5000000000000013E-3</v>
      </c>
    </row>
    <row r="55" spans="1:22">
      <c r="A55" s="164">
        <v>47</v>
      </c>
      <c r="B55" s="165" t="s">
        <v>96</v>
      </c>
      <c r="C55" s="166" t="s">
        <v>97</v>
      </c>
      <c r="D55" s="50">
        <v>6516237595.7464008</v>
      </c>
      <c r="E55" s="32">
        <f t="shared" si="13"/>
        <v>3.3649567647626899E-3</v>
      </c>
      <c r="F55" s="33">
        <v>100</v>
      </c>
      <c r="G55" s="33">
        <v>100</v>
      </c>
      <c r="H55" s="34">
        <v>82</v>
      </c>
      <c r="I55" s="53">
        <v>0.23300000000000001</v>
      </c>
      <c r="J55" s="53">
        <v>0.23300000000000001</v>
      </c>
      <c r="K55" s="50">
        <v>7055167595.7460995</v>
      </c>
      <c r="L55" s="32">
        <f t="shared" si="12"/>
        <v>3.6432578737364209E-3</v>
      </c>
      <c r="M55" s="33">
        <v>100</v>
      </c>
      <c r="N55" s="33">
        <v>100</v>
      </c>
      <c r="O55" s="34">
        <v>91</v>
      </c>
      <c r="P55" s="53">
        <v>0.23319999999999999</v>
      </c>
      <c r="Q55" s="53">
        <v>0.23319999999999999</v>
      </c>
      <c r="R55" s="59">
        <f t="shared" si="14"/>
        <v>8.2705701270238449E-2</v>
      </c>
      <c r="S55" s="59">
        <f t="shared" si="15"/>
        <v>0</v>
      </c>
      <c r="T55" s="59">
        <f t="shared" si="16"/>
        <v>0.10975609756097561</v>
      </c>
      <c r="U55" s="60">
        <f t="shared" si="17"/>
        <v>1.9999999999997797E-4</v>
      </c>
      <c r="V55" s="61">
        <f t="shared" si="18"/>
        <v>1.9999999999997797E-4</v>
      </c>
    </row>
    <row r="56" spans="1:22">
      <c r="A56" s="164">
        <v>48</v>
      </c>
      <c r="B56" s="165" t="s">
        <v>98</v>
      </c>
      <c r="C56" s="166" t="s">
        <v>99</v>
      </c>
      <c r="D56" s="50">
        <v>58339686.979999997</v>
      </c>
      <c r="E56" s="32">
        <f t="shared" si="13"/>
        <v>3.0126360721658502E-5</v>
      </c>
      <c r="F56" s="33">
        <v>1000</v>
      </c>
      <c r="G56" s="33">
        <v>1000</v>
      </c>
      <c r="H56" s="34">
        <v>21</v>
      </c>
      <c r="I56" s="53">
        <v>0.188</v>
      </c>
      <c r="J56" s="53">
        <v>0.188</v>
      </c>
      <c r="K56" s="50">
        <v>56968209.490000002</v>
      </c>
      <c r="L56" s="32">
        <f t="shared" si="12"/>
        <v>2.9418135708391992E-5</v>
      </c>
      <c r="M56" s="33">
        <v>1000</v>
      </c>
      <c r="N56" s="33">
        <v>1000</v>
      </c>
      <c r="O56" s="34">
        <v>21</v>
      </c>
      <c r="P56" s="53">
        <v>0.187</v>
      </c>
      <c r="Q56" s="53">
        <v>0.187</v>
      </c>
      <c r="R56" s="59">
        <f t="shared" si="14"/>
        <v>-2.350848214989848E-2</v>
      </c>
      <c r="S56" s="59">
        <f t="shared" si="15"/>
        <v>0</v>
      </c>
      <c r="T56" s="59">
        <f t="shared" si="16"/>
        <v>0</v>
      </c>
      <c r="U56" s="60">
        <f t="shared" si="17"/>
        <v>-1.0000000000000009E-3</v>
      </c>
      <c r="V56" s="61">
        <f t="shared" si="18"/>
        <v>-1.0000000000000009E-3</v>
      </c>
    </row>
    <row r="57" spans="1:22">
      <c r="A57" s="164">
        <v>49</v>
      </c>
      <c r="B57" s="165" t="s">
        <v>100</v>
      </c>
      <c r="C57" s="166" t="s">
        <v>49</v>
      </c>
      <c r="D57" s="47">
        <v>864859283909.47998</v>
      </c>
      <c r="E57" s="32">
        <f t="shared" si="13"/>
        <v>0.44660957419028402</v>
      </c>
      <c r="F57" s="33">
        <v>100</v>
      </c>
      <c r="G57" s="33">
        <v>100</v>
      </c>
      <c r="H57" s="34">
        <v>152740</v>
      </c>
      <c r="I57" s="53">
        <v>0.2162</v>
      </c>
      <c r="J57" s="53">
        <v>0.2162</v>
      </c>
      <c r="K57" s="47">
        <v>893965831055.32996</v>
      </c>
      <c r="L57" s="32">
        <f t="shared" si="12"/>
        <v>0.46164006859417833</v>
      </c>
      <c r="M57" s="33">
        <v>100</v>
      </c>
      <c r="N57" s="33">
        <v>100</v>
      </c>
      <c r="O57" s="34">
        <v>154390</v>
      </c>
      <c r="P57" s="53">
        <v>0.21779999999999999</v>
      </c>
      <c r="Q57" s="53">
        <v>0.21779999999999999</v>
      </c>
      <c r="R57" s="59">
        <f t="shared" si="14"/>
        <v>3.3654662310240516E-2</v>
      </c>
      <c r="S57" s="59">
        <f t="shared" si="15"/>
        <v>0</v>
      </c>
      <c r="T57" s="59">
        <f t="shared" si="16"/>
        <v>1.0802671205970931E-2</v>
      </c>
      <c r="U57" s="60">
        <f t="shared" si="17"/>
        <v>1.5999999999999903E-3</v>
      </c>
      <c r="V57" s="61">
        <f t="shared" si="18"/>
        <v>1.5999999999999903E-3</v>
      </c>
    </row>
    <row r="58" spans="1:22">
      <c r="A58" s="164">
        <v>50</v>
      </c>
      <c r="B58" s="165" t="s">
        <v>101</v>
      </c>
      <c r="C58" s="165" t="s">
        <v>102</v>
      </c>
      <c r="D58" s="47">
        <v>1787336670.1700001</v>
      </c>
      <c r="E58" s="32">
        <f t="shared" si="13"/>
        <v>9.2297288593695833E-4</v>
      </c>
      <c r="F58" s="33">
        <v>100</v>
      </c>
      <c r="G58" s="33">
        <v>100</v>
      </c>
      <c r="H58" s="34">
        <v>384</v>
      </c>
      <c r="I58" s="53">
        <v>0.21529999999999999</v>
      </c>
      <c r="J58" s="53">
        <v>0.21529999999999999</v>
      </c>
      <c r="K58" s="47">
        <v>2015823838.05</v>
      </c>
      <c r="L58" s="32">
        <f t="shared" si="12"/>
        <v>1.040962666070383E-3</v>
      </c>
      <c r="M58" s="33">
        <v>100</v>
      </c>
      <c r="N58" s="33">
        <v>100</v>
      </c>
      <c r="O58" s="34">
        <v>395</v>
      </c>
      <c r="P58" s="53">
        <v>0.20469999999999999</v>
      </c>
      <c r="Q58" s="53">
        <v>0.20469999999999999</v>
      </c>
      <c r="R58" s="59">
        <f t="shared" si="14"/>
        <v>0.1278366698861875</v>
      </c>
      <c r="S58" s="59">
        <f t="shared" si="15"/>
        <v>0</v>
      </c>
      <c r="T58" s="59">
        <f t="shared" si="16"/>
        <v>2.8645833333333332E-2</v>
      </c>
      <c r="U58" s="60">
        <f t="shared" si="17"/>
        <v>-1.0599999999999998E-2</v>
      </c>
      <c r="V58" s="61">
        <f t="shared" si="18"/>
        <v>-1.0599999999999998E-2</v>
      </c>
    </row>
    <row r="59" spans="1:22">
      <c r="A59" s="164">
        <v>51</v>
      </c>
      <c r="B59" s="165" t="s">
        <v>103</v>
      </c>
      <c r="C59" s="166" t="s">
        <v>104</v>
      </c>
      <c r="D59" s="47">
        <v>3524673890.0700002</v>
      </c>
      <c r="E59" s="32">
        <f t="shared" si="13"/>
        <v>1.8201262731296906E-3</v>
      </c>
      <c r="F59" s="33">
        <v>1</v>
      </c>
      <c r="G59" s="33">
        <v>1</v>
      </c>
      <c r="H59" s="34">
        <v>402</v>
      </c>
      <c r="I59" s="53">
        <v>0.2080849122</v>
      </c>
      <c r="J59" s="53">
        <v>0.2080849122</v>
      </c>
      <c r="K59" s="47">
        <v>3644121798.1700001</v>
      </c>
      <c r="L59" s="32">
        <f t="shared" si="12"/>
        <v>1.8818086535665579E-3</v>
      </c>
      <c r="M59" s="33">
        <v>1</v>
      </c>
      <c r="N59" s="33">
        <v>1</v>
      </c>
      <c r="O59" s="34">
        <v>402</v>
      </c>
      <c r="P59" s="53">
        <v>0.21188399999999999</v>
      </c>
      <c r="Q59" s="53">
        <v>0.21188399999999999</v>
      </c>
      <c r="R59" s="59">
        <f t="shared" si="14"/>
        <v>3.3889066570532478E-2</v>
      </c>
      <c r="S59" s="59">
        <f t="shared" si="15"/>
        <v>0</v>
      </c>
      <c r="T59" s="59">
        <f t="shared" si="16"/>
        <v>0</v>
      </c>
      <c r="U59" s="60">
        <f t="shared" si="17"/>
        <v>3.7990877999999895E-3</v>
      </c>
      <c r="V59" s="61">
        <f t="shared" si="18"/>
        <v>3.7990877999999895E-3</v>
      </c>
    </row>
    <row r="60" spans="1:22">
      <c r="A60" s="164">
        <v>52</v>
      </c>
      <c r="B60" s="165" t="s">
        <v>105</v>
      </c>
      <c r="C60" s="166" t="s">
        <v>52</v>
      </c>
      <c r="D60" s="47">
        <v>88691828827.639999</v>
      </c>
      <c r="E60" s="32">
        <f t="shared" si="13"/>
        <v>4.5800074814269648E-2</v>
      </c>
      <c r="F60" s="33">
        <v>1</v>
      </c>
      <c r="G60" s="33">
        <v>1</v>
      </c>
      <c r="H60" s="34">
        <v>42585</v>
      </c>
      <c r="I60" s="53">
        <v>0.20849999999999999</v>
      </c>
      <c r="J60" s="53">
        <v>0.20849999999999999</v>
      </c>
      <c r="K60" s="47">
        <v>89817939702.419998</v>
      </c>
      <c r="L60" s="32">
        <f t="shared" si="12"/>
        <v>4.6381593574180639E-2</v>
      </c>
      <c r="M60" s="33">
        <v>1</v>
      </c>
      <c r="N60" s="33">
        <v>1</v>
      </c>
      <c r="O60" s="34">
        <v>43884</v>
      </c>
      <c r="P60" s="53">
        <v>0.21410000000000001</v>
      </c>
      <c r="Q60" s="53">
        <v>0.21410000000000001</v>
      </c>
      <c r="R60" s="59">
        <f t="shared" si="14"/>
        <v>1.269689541489144E-2</v>
      </c>
      <c r="S60" s="59">
        <f t="shared" si="15"/>
        <v>0</v>
      </c>
      <c r="T60" s="59">
        <f t="shared" si="16"/>
        <v>3.0503698485382178E-2</v>
      </c>
      <c r="U60" s="60">
        <f t="shared" si="17"/>
        <v>5.6000000000000216E-3</v>
      </c>
      <c r="V60" s="61">
        <f t="shared" si="18"/>
        <v>5.6000000000000216E-3</v>
      </c>
    </row>
    <row r="61" spans="1:22">
      <c r="A61" s="164">
        <v>53</v>
      </c>
      <c r="B61" s="165" t="s">
        <v>106</v>
      </c>
      <c r="C61" s="166" t="s">
        <v>107</v>
      </c>
      <c r="D61" s="47">
        <v>1469829212.5699999</v>
      </c>
      <c r="E61" s="32">
        <f t="shared" si="13"/>
        <v>7.5901341521244982E-4</v>
      </c>
      <c r="F61" s="33">
        <v>1</v>
      </c>
      <c r="G61" s="33">
        <v>1</v>
      </c>
      <c r="H61" s="34">
        <v>143</v>
      </c>
      <c r="I61" s="53">
        <v>0.2205</v>
      </c>
      <c r="J61" s="53">
        <v>0.2205</v>
      </c>
      <c r="K61" s="47">
        <v>1501672037.21</v>
      </c>
      <c r="L61" s="32">
        <f t="shared" si="12"/>
        <v>7.7545691141821498E-4</v>
      </c>
      <c r="M61" s="33">
        <v>1</v>
      </c>
      <c r="N61" s="33">
        <v>1</v>
      </c>
      <c r="O61" s="34">
        <v>144</v>
      </c>
      <c r="P61" s="53">
        <v>0.2127</v>
      </c>
      <c r="Q61" s="53">
        <v>0.2127</v>
      </c>
      <c r="R61" s="59">
        <f t="shared" si="14"/>
        <v>2.166430246975623E-2</v>
      </c>
      <c r="S61" s="59">
        <f t="shared" si="15"/>
        <v>0</v>
      </c>
      <c r="T61" s="59">
        <f t="shared" si="16"/>
        <v>6.993006993006993E-3</v>
      </c>
      <c r="U61" s="60">
        <f t="shared" si="17"/>
        <v>-7.8000000000000014E-3</v>
      </c>
      <c r="V61" s="61">
        <f t="shared" si="18"/>
        <v>-7.8000000000000014E-3</v>
      </c>
    </row>
    <row r="62" spans="1:22">
      <c r="A62" s="164">
        <v>54</v>
      </c>
      <c r="B62" s="165" t="s">
        <v>108</v>
      </c>
      <c r="C62" s="166" t="s">
        <v>109</v>
      </c>
      <c r="D62" s="47">
        <v>2799086427.1100001</v>
      </c>
      <c r="E62" s="32">
        <f t="shared" si="13"/>
        <v>1.4454360617862565E-3</v>
      </c>
      <c r="F62" s="33">
        <v>1</v>
      </c>
      <c r="G62" s="33">
        <v>1</v>
      </c>
      <c r="H62" s="34">
        <v>347</v>
      </c>
      <c r="I62" s="53">
        <v>0.22189999999999999</v>
      </c>
      <c r="J62" s="53">
        <v>0.22189999999999999</v>
      </c>
      <c r="K62" s="47">
        <v>2849841180.0900002</v>
      </c>
      <c r="L62" s="32">
        <f t="shared" si="12"/>
        <v>1.4716455955662089E-3</v>
      </c>
      <c r="M62" s="33">
        <v>1</v>
      </c>
      <c r="N62" s="33">
        <v>1</v>
      </c>
      <c r="O62" s="34">
        <v>347</v>
      </c>
      <c r="P62" s="53">
        <v>0.21590000000000001</v>
      </c>
      <c r="Q62" s="53">
        <v>0.21590000000000001</v>
      </c>
      <c r="R62" s="59">
        <f t="shared" si="14"/>
        <v>1.8132613730117389E-2</v>
      </c>
      <c r="S62" s="59">
        <f t="shared" si="15"/>
        <v>0</v>
      </c>
      <c r="T62" s="59">
        <f t="shared" si="16"/>
        <v>0</v>
      </c>
      <c r="U62" s="60">
        <f t="shared" si="17"/>
        <v>-5.9999999999999776E-3</v>
      </c>
      <c r="V62" s="61">
        <f t="shared" si="18"/>
        <v>-5.9999999999999776E-3</v>
      </c>
    </row>
    <row r="63" spans="1:22">
      <c r="A63" s="164">
        <v>55</v>
      </c>
      <c r="B63" s="165" t="s">
        <v>110</v>
      </c>
      <c r="C63" s="166" t="s">
        <v>111</v>
      </c>
      <c r="D63" s="47">
        <v>3371342328.2600002</v>
      </c>
      <c r="E63" s="32">
        <f t="shared" si="13"/>
        <v>1.7409465212279204E-3</v>
      </c>
      <c r="F63" s="33">
        <v>1</v>
      </c>
      <c r="G63" s="33">
        <v>1</v>
      </c>
      <c r="H63" s="34">
        <v>2172</v>
      </c>
      <c r="I63" s="53">
        <v>0.22750000000000001</v>
      </c>
      <c r="J63" s="53">
        <v>0.22750000000000001</v>
      </c>
      <c r="K63" s="47">
        <v>3634375657.1799998</v>
      </c>
      <c r="L63" s="32">
        <f t="shared" si="12"/>
        <v>1.876775788731175E-3</v>
      </c>
      <c r="M63" s="33">
        <v>1</v>
      </c>
      <c r="N63" s="33">
        <v>1</v>
      </c>
      <c r="O63" s="34">
        <v>2277</v>
      </c>
      <c r="P63" s="53">
        <v>0.23519999999999999</v>
      </c>
      <c r="Q63" s="53">
        <v>0.23519999999999999</v>
      </c>
      <c r="R63" s="59">
        <f t="shared" si="14"/>
        <v>7.8020356080468103E-2</v>
      </c>
      <c r="S63" s="59">
        <f t="shared" si="15"/>
        <v>0</v>
      </c>
      <c r="T63" s="59">
        <f t="shared" si="16"/>
        <v>4.834254143646409E-2</v>
      </c>
      <c r="U63" s="60">
        <f t="shared" si="17"/>
        <v>7.6999999999999846E-3</v>
      </c>
      <c r="V63" s="61">
        <f t="shared" si="18"/>
        <v>7.6999999999999846E-3</v>
      </c>
    </row>
    <row r="64" spans="1:22">
      <c r="A64" s="164">
        <v>56</v>
      </c>
      <c r="B64" s="165" t="s">
        <v>112</v>
      </c>
      <c r="C64" s="166" t="s">
        <v>113</v>
      </c>
      <c r="D64" s="47">
        <v>61338414976.720001</v>
      </c>
      <c r="E64" s="32">
        <f t="shared" si="13"/>
        <v>3.1674890822039288E-2</v>
      </c>
      <c r="F64" s="33">
        <v>1</v>
      </c>
      <c r="G64" s="33">
        <v>1</v>
      </c>
      <c r="H64" s="34">
        <v>4463</v>
      </c>
      <c r="I64" s="53">
        <v>0.2266</v>
      </c>
      <c r="J64" s="53">
        <v>0.2266</v>
      </c>
      <c r="K64" s="47">
        <v>61053802073.360001</v>
      </c>
      <c r="L64" s="32">
        <f t="shared" si="12"/>
        <v>3.1527917956113538E-2</v>
      </c>
      <c r="M64" s="33">
        <v>1</v>
      </c>
      <c r="N64" s="33">
        <v>1</v>
      </c>
      <c r="O64" s="34">
        <v>4585</v>
      </c>
      <c r="P64" s="53">
        <v>0.22670000000000001</v>
      </c>
      <c r="Q64" s="53">
        <v>0.22670000000000001</v>
      </c>
      <c r="R64" s="59">
        <f t="shared" si="14"/>
        <v>-4.6400433312145549E-3</v>
      </c>
      <c r="S64" s="59">
        <f t="shared" si="15"/>
        <v>0</v>
      </c>
      <c r="T64" s="59">
        <f t="shared" si="16"/>
        <v>2.7335872731346626E-2</v>
      </c>
      <c r="U64" s="60">
        <f t="shared" si="17"/>
        <v>1.0000000000001674E-4</v>
      </c>
      <c r="V64" s="61">
        <f t="shared" si="18"/>
        <v>1.0000000000001674E-4</v>
      </c>
    </row>
    <row r="65" spans="1:22">
      <c r="A65" s="38"/>
      <c r="B65" s="39"/>
      <c r="C65" s="40" t="s">
        <v>53</v>
      </c>
      <c r="D65" s="51">
        <f>SUM(D27:D64)</f>
        <v>1887272680234.0166</v>
      </c>
      <c r="E65" s="42">
        <f>(D65/$D$210)</f>
        <v>0.45814375156848397</v>
      </c>
      <c r="F65" s="43"/>
      <c r="G65" s="48"/>
      <c r="H65" s="45">
        <f>SUM(H27:H64)</f>
        <v>365712</v>
      </c>
      <c r="I65" s="58"/>
      <c r="J65" s="58"/>
      <c r="K65" s="51">
        <f>SUM(K27:K64)</f>
        <v>1936499649559.6733</v>
      </c>
      <c r="L65" s="42">
        <f>(K65/$K$210)</f>
        <v>0.4709591895902534</v>
      </c>
      <c r="M65" s="43"/>
      <c r="N65" s="48"/>
      <c r="O65" s="45">
        <f>SUM(O27:O64)</f>
        <v>370514</v>
      </c>
      <c r="P65" s="58"/>
      <c r="Q65" s="58"/>
      <c r="R65" s="59">
        <f t="shared" si="14"/>
        <v>2.608365491707999E-2</v>
      </c>
      <c r="S65" s="59" t="e">
        <f t="shared" si="15"/>
        <v>#DIV/0!</v>
      </c>
      <c r="T65" s="59">
        <f t="shared" si="16"/>
        <v>1.3130550815942599E-2</v>
      </c>
      <c r="U65" s="60">
        <f t="shared" si="17"/>
        <v>0</v>
      </c>
      <c r="V65" s="61">
        <f t="shared" si="18"/>
        <v>0</v>
      </c>
    </row>
    <row r="66" spans="1:22" ht="3" customHeight="1">
      <c r="A66" s="38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</row>
    <row r="67" spans="1:22" ht="15" customHeight="1">
      <c r="A67" s="182" t="s">
        <v>114</v>
      </c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</row>
    <row r="68" spans="1:22">
      <c r="A68" s="164">
        <v>57</v>
      </c>
      <c r="B68" s="165" t="s">
        <v>115</v>
      </c>
      <c r="C68" s="166" t="s">
        <v>21</v>
      </c>
      <c r="D68" s="31">
        <v>498079364.94999999</v>
      </c>
      <c r="E68" s="32">
        <f>(D68/$D$104)</f>
        <v>2.5767819308573142E-3</v>
      </c>
      <c r="F68" s="63">
        <v>1.3032999999999999</v>
      </c>
      <c r="G68" s="63">
        <v>1.3032999999999999</v>
      </c>
      <c r="H68" s="34">
        <v>467</v>
      </c>
      <c r="I68" s="53">
        <v>4.548E-3</v>
      </c>
      <c r="J68" s="53">
        <v>3.2000000000000001E-2</v>
      </c>
      <c r="K68" s="31">
        <v>499079528.32999998</v>
      </c>
      <c r="L68" s="32">
        <f t="shared" ref="L68:L89" si="28">(K68/$K$104)</f>
        <v>2.589785417711904E-3</v>
      </c>
      <c r="M68" s="63">
        <v>1.3063</v>
      </c>
      <c r="N68" s="63">
        <v>1.3063</v>
      </c>
      <c r="O68" s="34">
        <v>467</v>
      </c>
      <c r="P68" s="53">
        <v>-3.2810000000000001E-3</v>
      </c>
      <c r="Q68" s="53">
        <v>2E-3</v>
      </c>
      <c r="R68" s="59">
        <f>((K68-D68)/D68)</f>
        <v>2.0080401847211585E-3</v>
      </c>
      <c r="S68" s="59">
        <f>((N68-G68)/G68)</f>
        <v>2.3018491521523163E-3</v>
      </c>
      <c r="T68" s="59">
        <f>((O68-H68)/H68)</f>
        <v>0</v>
      </c>
      <c r="U68" s="60">
        <f>P68-I68</f>
        <v>-7.8289999999999992E-3</v>
      </c>
      <c r="V68" s="61">
        <f>Q68-J68</f>
        <v>-0.03</v>
      </c>
    </row>
    <row r="69" spans="1:22">
      <c r="A69" s="164">
        <v>58</v>
      </c>
      <c r="B69" s="165" t="s">
        <v>116</v>
      </c>
      <c r="C69" s="166" t="s">
        <v>23</v>
      </c>
      <c r="D69" s="31">
        <v>1303537028.5</v>
      </c>
      <c r="E69" s="32">
        <f>(D69/$D$104)</f>
        <v>6.7437659489857091E-3</v>
      </c>
      <c r="F69" s="63">
        <v>1.1895</v>
      </c>
      <c r="G69" s="63">
        <v>1.1895</v>
      </c>
      <c r="H69" s="34">
        <v>844</v>
      </c>
      <c r="I69" s="53">
        <v>0.10100000000000001</v>
      </c>
      <c r="J69" s="53">
        <v>0.1069</v>
      </c>
      <c r="K69" s="31">
        <v>1309834966.6900001</v>
      </c>
      <c r="L69" s="32">
        <f t="shared" si="28"/>
        <v>6.7968956925437019E-3</v>
      </c>
      <c r="M69" s="63">
        <v>1.1919</v>
      </c>
      <c r="N69" s="63">
        <v>1.1919</v>
      </c>
      <c r="O69" s="34">
        <v>846</v>
      </c>
      <c r="P69" s="53">
        <v>0.1052</v>
      </c>
      <c r="Q69" s="53">
        <v>0.1067</v>
      </c>
      <c r="R69" s="59">
        <f t="shared" ref="R69:R104" si="29">((K69-D69)/D69)</f>
        <v>4.8314225467359301E-3</v>
      </c>
      <c r="S69" s="59">
        <f t="shared" ref="S69:S104" si="30">((N69-G69)/G69)</f>
        <v>2.0176544766708345E-3</v>
      </c>
      <c r="T69" s="59">
        <f t="shared" ref="T69:T104" si="31">((O69-H69)/H69)</f>
        <v>2.3696682464454978E-3</v>
      </c>
      <c r="U69" s="60">
        <f t="shared" ref="U69:U104" si="32">P69-I69</f>
        <v>4.1999999999999954E-3</v>
      </c>
      <c r="V69" s="61">
        <f t="shared" ref="V69:V104" si="33">Q69-J69</f>
        <v>-1.9999999999999185E-4</v>
      </c>
    </row>
    <row r="70" spans="1:22">
      <c r="A70" s="164">
        <v>59</v>
      </c>
      <c r="B70" s="165" t="s">
        <v>117</v>
      </c>
      <c r="C70" s="166" t="s">
        <v>23</v>
      </c>
      <c r="D70" s="31">
        <v>846089667.77999997</v>
      </c>
      <c r="E70" s="32">
        <f>(D70/$D$104)</f>
        <v>4.3771911089700161E-3</v>
      </c>
      <c r="F70" s="63">
        <v>1.0821000000000001</v>
      </c>
      <c r="G70" s="63">
        <v>1.0821000000000001</v>
      </c>
      <c r="H70" s="34">
        <v>211</v>
      </c>
      <c r="I70" s="53">
        <v>0.1111</v>
      </c>
      <c r="J70" s="53">
        <v>0.12609999999999999</v>
      </c>
      <c r="K70" s="31">
        <v>847458073.49000001</v>
      </c>
      <c r="L70" s="32">
        <f t="shared" si="28"/>
        <v>4.3975647893043385E-3</v>
      </c>
      <c r="M70" s="63">
        <v>1.0844</v>
      </c>
      <c r="N70" s="63">
        <v>1.0844</v>
      </c>
      <c r="O70" s="34">
        <v>211</v>
      </c>
      <c r="P70" s="53">
        <v>0.1108</v>
      </c>
      <c r="Q70" s="53">
        <v>0.1229</v>
      </c>
      <c r="R70" s="59">
        <f t="shared" si="29"/>
        <v>1.617329418039709E-3</v>
      </c>
      <c r="S70" s="59">
        <f t="shared" si="30"/>
        <v>2.1254967193419911E-3</v>
      </c>
      <c r="T70" s="59">
        <f t="shared" si="31"/>
        <v>0</v>
      </c>
      <c r="U70" s="60">
        <f t="shared" si="32"/>
        <v>-3.0000000000000859E-4</v>
      </c>
      <c r="V70" s="61">
        <f t="shared" si="33"/>
        <v>-3.1999999999999945E-3</v>
      </c>
    </row>
    <row r="71" spans="1:22">
      <c r="A71" s="164">
        <v>60</v>
      </c>
      <c r="B71" s="165" t="s">
        <v>118</v>
      </c>
      <c r="C71" s="166" t="s">
        <v>119</v>
      </c>
      <c r="D71" s="31">
        <v>271870147.66000003</v>
      </c>
      <c r="E71" s="32">
        <f>(D71/$D$104)</f>
        <v>1.4065029256936255E-3</v>
      </c>
      <c r="F71" s="37">
        <v>1082.24</v>
      </c>
      <c r="G71" s="37">
        <v>1082.24</v>
      </c>
      <c r="H71" s="34">
        <v>111</v>
      </c>
      <c r="I71" s="53">
        <v>-3.2911000000000003E-2</v>
      </c>
      <c r="J71" s="53">
        <v>-2.7497000000000001E-2</v>
      </c>
      <c r="K71" s="31">
        <v>275483439.02999997</v>
      </c>
      <c r="L71" s="32">
        <f t="shared" si="28"/>
        <v>1.4295176474344977E-3</v>
      </c>
      <c r="M71" s="37">
        <v>1098.6400000000001</v>
      </c>
      <c r="N71" s="37">
        <v>1098.6400000000001</v>
      </c>
      <c r="O71" s="34">
        <v>111</v>
      </c>
      <c r="P71" s="53">
        <v>1.3812E-2</v>
      </c>
      <c r="Q71" s="53">
        <v>-1.3245E-2</v>
      </c>
      <c r="R71" s="59">
        <f t="shared" si="29"/>
        <v>1.3290504312811558E-2</v>
      </c>
      <c r="S71" s="59">
        <f t="shared" si="30"/>
        <v>1.515375517445307E-2</v>
      </c>
      <c r="T71" s="59">
        <f t="shared" si="31"/>
        <v>0</v>
      </c>
      <c r="U71" s="60">
        <f t="shared" si="32"/>
        <v>4.6723000000000001E-2</v>
      </c>
      <c r="V71" s="61">
        <f t="shared" si="33"/>
        <v>1.4252000000000001E-2</v>
      </c>
    </row>
    <row r="72" spans="1:22" ht="15" customHeight="1">
      <c r="A72" s="164">
        <v>61</v>
      </c>
      <c r="B72" s="165" t="s">
        <v>120</v>
      </c>
      <c r="C72" s="166" t="s">
        <v>27</v>
      </c>
      <c r="D72" s="31">
        <v>1635006785.76</v>
      </c>
      <c r="E72" s="32">
        <f>(D72/$K$104)</f>
        <v>8.4842524913613677E-3</v>
      </c>
      <c r="F72" s="37">
        <v>1.0474000000000001</v>
      </c>
      <c r="G72" s="37">
        <v>1.0474000000000001</v>
      </c>
      <c r="H72" s="34">
        <v>877</v>
      </c>
      <c r="I72" s="53">
        <v>1.2999999999999999E-3</v>
      </c>
      <c r="J72" s="53">
        <v>5.7999999999999996E-3</v>
      </c>
      <c r="K72" s="31">
        <v>1631806849.78</v>
      </c>
      <c r="L72" s="32">
        <f t="shared" si="28"/>
        <v>8.4676476276709135E-3</v>
      </c>
      <c r="M72" s="37">
        <v>1.0482</v>
      </c>
      <c r="N72" s="37">
        <v>1.0482</v>
      </c>
      <c r="O72" s="34">
        <v>881</v>
      </c>
      <c r="P72" s="53">
        <v>8.0000000000000004E-4</v>
      </c>
      <c r="Q72" s="53">
        <v>4.3E-3</v>
      </c>
      <c r="R72" s="59">
        <f t="shared" si="29"/>
        <v>-1.9571392656407803E-3</v>
      </c>
      <c r="S72" s="59">
        <f t="shared" si="30"/>
        <v>7.6379606645017356E-4</v>
      </c>
      <c r="T72" s="59">
        <f t="shared" si="31"/>
        <v>4.5610034207525657E-3</v>
      </c>
      <c r="U72" s="60">
        <f t="shared" si="32"/>
        <v>-4.999999999999999E-4</v>
      </c>
      <c r="V72" s="61">
        <f t="shared" si="33"/>
        <v>-1.4999999999999996E-3</v>
      </c>
    </row>
    <row r="73" spans="1:22">
      <c r="A73" s="164">
        <v>62</v>
      </c>
      <c r="B73" s="165" t="s">
        <v>121</v>
      </c>
      <c r="C73" s="166" t="s">
        <v>122</v>
      </c>
      <c r="D73" s="31">
        <v>431803345.75086206</v>
      </c>
      <c r="E73" s="32">
        <f t="shared" ref="E73:E89" si="34">(D73/$D$104)</f>
        <v>2.2339071588044009E-3</v>
      </c>
      <c r="F73" s="37">
        <v>2.4847999999999999</v>
      </c>
      <c r="G73" s="37">
        <v>2.4847999999999999</v>
      </c>
      <c r="H73" s="34">
        <v>1390</v>
      </c>
      <c r="I73" s="53">
        <v>0.1389</v>
      </c>
      <c r="J73" s="53">
        <v>0.13519999999999999</v>
      </c>
      <c r="K73" s="31">
        <v>432764735.98697102</v>
      </c>
      <c r="L73" s="32">
        <f t="shared" si="28"/>
        <v>2.2456697558989607E-3</v>
      </c>
      <c r="M73" s="37">
        <v>2.4903</v>
      </c>
      <c r="N73" s="37">
        <v>2.4903</v>
      </c>
      <c r="O73" s="34">
        <v>1390</v>
      </c>
      <c r="P73" s="53">
        <v>0.1154</v>
      </c>
      <c r="Q73" s="53">
        <v>0.13100000000000001</v>
      </c>
      <c r="R73" s="59">
        <f t="shared" si="29"/>
        <v>2.2264538836242664E-3</v>
      </c>
      <c r="S73" s="59">
        <f t="shared" si="30"/>
        <v>2.2134578235673136E-3</v>
      </c>
      <c r="T73" s="59">
        <f t="shared" si="31"/>
        <v>0</v>
      </c>
      <c r="U73" s="60">
        <f t="shared" si="32"/>
        <v>-2.3499999999999993E-2</v>
      </c>
      <c r="V73" s="61">
        <f t="shared" si="33"/>
        <v>-4.1999999999999815E-3</v>
      </c>
    </row>
    <row r="74" spans="1:22">
      <c r="A74" s="164">
        <v>63</v>
      </c>
      <c r="B74" s="165" t="s">
        <v>123</v>
      </c>
      <c r="C74" s="166" t="s">
        <v>63</v>
      </c>
      <c r="D74" s="31">
        <v>137961235.97</v>
      </c>
      <c r="E74" s="32">
        <f t="shared" si="34"/>
        <v>7.1373368387169552E-4</v>
      </c>
      <c r="F74" s="37">
        <v>10.57</v>
      </c>
      <c r="G74" s="37">
        <v>10.63</v>
      </c>
      <c r="H74" s="34">
        <v>29</v>
      </c>
      <c r="I74" s="53">
        <v>-6.1000000000000004E-3</v>
      </c>
      <c r="J74" s="53">
        <v>-0.43519999999999998</v>
      </c>
      <c r="K74" s="31">
        <v>138458169.28999999</v>
      </c>
      <c r="L74" s="32"/>
      <c r="M74" s="37">
        <v>10.61</v>
      </c>
      <c r="N74" s="37">
        <v>10.66</v>
      </c>
      <c r="O74" s="34">
        <v>29</v>
      </c>
      <c r="P74" s="53">
        <v>0.18</v>
      </c>
      <c r="Q74" s="53">
        <v>-0.252</v>
      </c>
      <c r="R74" s="59">
        <f t="shared" si="29"/>
        <v>3.6019778781052106E-3</v>
      </c>
      <c r="S74" s="59">
        <f t="shared" si="30"/>
        <v>2.8222013170272208E-3</v>
      </c>
      <c r="T74" s="59">
        <f t="shared" si="31"/>
        <v>0</v>
      </c>
      <c r="U74" s="60">
        <f t="shared" si="32"/>
        <v>0.18609999999999999</v>
      </c>
      <c r="V74" s="61">
        <f t="shared" si="33"/>
        <v>0.18319999999999997</v>
      </c>
    </row>
    <row r="75" spans="1:22">
      <c r="A75" s="164">
        <v>64</v>
      </c>
      <c r="B75" s="165" t="s">
        <v>124</v>
      </c>
      <c r="C75" s="166" t="s">
        <v>65</v>
      </c>
      <c r="D75" s="31">
        <v>1886501378.04302</v>
      </c>
      <c r="E75" s="32">
        <f t="shared" si="34"/>
        <v>9.7596949513591314E-3</v>
      </c>
      <c r="F75" s="31">
        <v>4414.9060577142</v>
      </c>
      <c r="G75" s="31">
        <v>4414.9060577142</v>
      </c>
      <c r="H75" s="34">
        <v>1051</v>
      </c>
      <c r="I75" s="53">
        <v>9.3593692815694213E-2</v>
      </c>
      <c r="J75" s="53">
        <v>0.10623313087647397</v>
      </c>
      <c r="K75" s="31">
        <v>2010044243.85726</v>
      </c>
      <c r="L75" s="32">
        <f t="shared" si="28"/>
        <v>1.0430368260377253E-2</v>
      </c>
      <c r="M75" s="31">
        <v>4422.8922258418897</v>
      </c>
      <c r="N75" s="31">
        <v>4422.8922258418897</v>
      </c>
      <c r="O75" s="34">
        <v>1056</v>
      </c>
      <c r="P75" s="53">
        <v>9.4321740566449958E-2</v>
      </c>
      <c r="Q75" s="53">
        <v>0.10369223591562415</v>
      </c>
      <c r="R75" s="59">
        <f t="shared" si="29"/>
        <v>6.5487821664036272E-2</v>
      </c>
      <c r="S75" s="59">
        <f t="shared" si="30"/>
        <v>1.8089100930552045E-3</v>
      </c>
      <c r="T75" s="59">
        <f t="shared" si="31"/>
        <v>4.7573739295908657E-3</v>
      </c>
      <c r="U75" s="60">
        <f t="shared" si="32"/>
        <v>7.2804775075574479E-4</v>
      </c>
      <c r="V75" s="61">
        <f t="shared" si="33"/>
        <v>-2.5408949608498183E-3</v>
      </c>
    </row>
    <row r="76" spans="1:22">
      <c r="A76" s="164">
        <v>65</v>
      </c>
      <c r="B76" s="165" t="s">
        <v>125</v>
      </c>
      <c r="C76" s="166" t="s">
        <v>67</v>
      </c>
      <c r="D76" s="31">
        <v>361942305.88999999</v>
      </c>
      <c r="E76" s="32">
        <f t="shared" si="34"/>
        <v>1.8724855102636247E-3</v>
      </c>
      <c r="F76" s="63">
        <v>110.77</v>
      </c>
      <c r="G76" s="63">
        <v>110.77</v>
      </c>
      <c r="H76" s="34">
        <v>136</v>
      </c>
      <c r="I76" s="53">
        <v>2.3999999999999998E-3</v>
      </c>
      <c r="J76" s="53">
        <v>0.1303</v>
      </c>
      <c r="K76" s="31">
        <v>362995679.72000003</v>
      </c>
      <c r="L76" s="32">
        <f t="shared" si="28"/>
        <v>1.88362949122946E-3</v>
      </c>
      <c r="M76" s="63">
        <v>111.03</v>
      </c>
      <c r="N76" s="63">
        <v>111.03</v>
      </c>
      <c r="O76" s="34">
        <v>136</v>
      </c>
      <c r="P76" s="53">
        <v>2.3E-3</v>
      </c>
      <c r="Q76" s="53">
        <v>0.1303</v>
      </c>
      <c r="R76" s="59">
        <f t="shared" si="29"/>
        <v>2.9103362963051353E-3</v>
      </c>
      <c r="S76" s="59">
        <f t="shared" si="30"/>
        <v>2.3472059221811424E-3</v>
      </c>
      <c r="T76" s="59">
        <f t="shared" si="31"/>
        <v>0</v>
      </c>
      <c r="U76" s="60">
        <f t="shared" si="32"/>
        <v>-9.9999999999999829E-5</v>
      </c>
      <c r="V76" s="61">
        <f t="shared" si="33"/>
        <v>0</v>
      </c>
    </row>
    <row r="77" spans="1:22" ht="13.5" customHeight="1">
      <c r="A77" s="164">
        <v>66</v>
      </c>
      <c r="B77" s="165" t="s">
        <v>126</v>
      </c>
      <c r="C77" s="166" t="s">
        <v>127</v>
      </c>
      <c r="D77" s="31">
        <v>355420806.19999999</v>
      </c>
      <c r="E77" s="32">
        <f t="shared" si="34"/>
        <v>1.8387469461997018E-3</v>
      </c>
      <c r="F77" s="63">
        <v>1.3740000000000001</v>
      </c>
      <c r="G77" s="63">
        <v>1.3740000000000001</v>
      </c>
      <c r="H77" s="34">
        <v>375</v>
      </c>
      <c r="I77" s="53">
        <v>-3.7129596572653689E-3</v>
      </c>
      <c r="J77" s="53">
        <v>6.3095255082151858E-2</v>
      </c>
      <c r="K77" s="31">
        <v>354798430.60000002</v>
      </c>
      <c r="L77" s="32">
        <f t="shared" si="28"/>
        <v>1.8410929513970934E-3</v>
      </c>
      <c r="M77" s="63">
        <v>1.3652</v>
      </c>
      <c r="N77" s="63">
        <v>1.3652</v>
      </c>
      <c r="O77" s="34">
        <v>380</v>
      </c>
      <c r="P77" s="53">
        <v>-3.7129596572653689E-3</v>
      </c>
      <c r="Q77" s="53">
        <v>6.3095255082151858E-2</v>
      </c>
      <c r="R77" s="59">
        <f t="shared" si="29"/>
        <v>-1.7510950094737708E-3</v>
      </c>
      <c r="S77" s="59">
        <f t="shared" si="30"/>
        <v>-6.4046579330423146E-3</v>
      </c>
      <c r="T77" s="59">
        <f t="shared" si="31"/>
        <v>1.3333333333333334E-2</v>
      </c>
      <c r="U77" s="60">
        <f t="shared" si="32"/>
        <v>0</v>
      </c>
      <c r="V77" s="61">
        <f t="shared" si="33"/>
        <v>0</v>
      </c>
    </row>
    <row r="78" spans="1:22">
      <c r="A78" s="164">
        <v>67</v>
      </c>
      <c r="B78" s="165" t="s">
        <v>128</v>
      </c>
      <c r="C78" s="166" t="s">
        <v>29</v>
      </c>
      <c r="D78" s="31">
        <v>123835253.09999999</v>
      </c>
      <c r="E78" s="32">
        <f t="shared" si="34"/>
        <v>6.4065380950534842E-4</v>
      </c>
      <c r="F78" s="63">
        <v>131.79730000000001</v>
      </c>
      <c r="G78" s="63">
        <v>131.79730000000001</v>
      </c>
      <c r="H78" s="34">
        <v>169</v>
      </c>
      <c r="I78" s="53">
        <v>3.4099999999999999E-4</v>
      </c>
      <c r="J78" s="53">
        <v>8.0000000000000002E-3</v>
      </c>
      <c r="K78" s="31">
        <v>121377855.45</v>
      </c>
      <c r="L78" s="32">
        <f t="shared" si="28"/>
        <v>6.2984470857659503E-4</v>
      </c>
      <c r="M78" s="63">
        <v>132.12139999999999</v>
      </c>
      <c r="N78" s="63">
        <v>132.12139999999999</v>
      </c>
      <c r="O78" s="34">
        <v>175</v>
      </c>
      <c r="P78" s="53">
        <v>5.3300000000000005E-4</v>
      </c>
      <c r="Q78" s="53">
        <v>1.0500000000000001E-2</v>
      </c>
      <c r="R78" s="59">
        <f t="shared" si="29"/>
        <v>-1.9844087919096691E-2</v>
      </c>
      <c r="S78" s="59">
        <f t="shared" si="30"/>
        <v>2.4590792072370768E-3</v>
      </c>
      <c r="T78" s="59">
        <f t="shared" si="31"/>
        <v>3.5502958579881658E-2</v>
      </c>
      <c r="U78" s="60">
        <f t="shared" si="32"/>
        <v>1.9200000000000006E-4</v>
      </c>
      <c r="V78" s="61">
        <f t="shared" si="33"/>
        <v>2.5000000000000005E-3</v>
      </c>
    </row>
    <row r="79" spans="1:22">
      <c r="A79" s="164">
        <v>68</v>
      </c>
      <c r="B79" s="165" t="s">
        <v>129</v>
      </c>
      <c r="C79" s="166" t="s">
        <v>99</v>
      </c>
      <c r="D79" s="31">
        <v>1580783209.9900002</v>
      </c>
      <c r="E79" s="32">
        <f t="shared" si="34"/>
        <v>8.178081443935668E-3</v>
      </c>
      <c r="F79" s="37">
        <v>1000</v>
      </c>
      <c r="G79" s="37">
        <v>1000</v>
      </c>
      <c r="H79" s="34">
        <v>335</v>
      </c>
      <c r="I79" s="53">
        <v>1.12E-2</v>
      </c>
      <c r="J79" s="53">
        <v>0.21510000000000001</v>
      </c>
      <c r="K79" s="31">
        <v>1550906119.9900002</v>
      </c>
      <c r="L79" s="32">
        <f t="shared" si="28"/>
        <v>8.0478437319001037E-3</v>
      </c>
      <c r="M79" s="37">
        <v>1000</v>
      </c>
      <c r="N79" s="37">
        <v>1000</v>
      </c>
      <c r="O79" s="34">
        <v>336</v>
      </c>
      <c r="P79" s="53">
        <v>1.15E-2</v>
      </c>
      <c r="Q79" s="53">
        <v>0.22500000000000001</v>
      </c>
      <c r="R79" s="59">
        <f t="shared" si="29"/>
        <v>-1.89001817650815E-2</v>
      </c>
      <c r="S79" s="59">
        <f t="shared" si="30"/>
        <v>0</v>
      </c>
      <c r="T79" s="59">
        <f t="shared" si="31"/>
        <v>2.9850746268656717E-3</v>
      </c>
      <c r="U79" s="60">
        <f t="shared" si="32"/>
        <v>2.9999999999999992E-4</v>
      </c>
      <c r="V79" s="61">
        <f t="shared" si="33"/>
        <v>9.8999999999999921E-3</v>
      </c>
    </row>
    <row r="80" spans="1:22">
      <c r="A80" s="164">
        <v>69</v>
      </c>
      <c r="B80" s="165" t="s">
        <v>130</v>
      </c>
      <c r="C80" s="166" t="s">
        <v>73</v>
      </c>
      <c r="D80" s="31">
        <v>186037862.78999999</v>
      </c>
      <c r="E80" s="32">
        <f t="shared" si="34"/>
        <v>9.624550564159731E-4</v>
      </c>
      <c r="F80" s="37">
        <v>1011.44</v>
      </c>
      <c r="G80" s="37">
        <v>1011.62</v>
      </c>
      <c r="H80" s="34">
        <v>73</v>
      </c>
      <c r="I80" s="53">
        <v>5.9999999999999995E-4</v>
      </c>
      <c r="J80" s="53">
        <v>4.0000000000000002E-4</v>
      </c>
      <c r="K80" s="31">
        <v>190450946.75999999</v>
      </c>
      <c r="L80" s="32">
        <f t="shared" si="28"/>
        <v>9.8827352498086023E-4</v>
      </c>
      <c r="M80" s="37">
        <v>1022.46</v>
      </c>
      <c r="N80" s="37">
        <v>1025.3</v>
      </c>
      <c r="O80" s="34">
        <v>73</v>
      </c>
      <c r="P80" s="53">
        <v>1.26E-2</v>
      </c>
      <c r="Q80" s="53">
        <v>1.29E-2</v>
      </c>
      <c r="R80" s="59">
        <f t="shared" si="29"/>
        <v>2.3721429088773713E-2</v>
      </c>
      <c r="S80" s="59">
        <f t="shared" si="30"/>
        <v>1.3522864316640586E-2</v>
      </c>
      <c r="T80" s="59">
        <f t="shared" si="31"/>
        <v>0</v>
      </c>
      <c r="U80" s="60">
        <f t="shared" si="32"/>
        <v>1.2E-2</v>
      </c>
      <c r="V80" s="61">
        <f t="shared" si="33"/>
        <v>1.2500000000000001E-2</v>
      </c>
    </row>
    <row r="81" spans="1:22">
      <c r="A81" s="164">
        <v>70</v>
      </c>
      <c r="B81" s="165" t="s">
        <v>131</v>
      </c>
      <c r="C81" s="166" t="s">
        <v>76</v>
      </c>
      <c r="D81" s="31">
        <v>621468533.03999996</v>
      </c>
      <c r="E81" s="32">
        <f t="shared" si="34"/>
        <v>3.215127947921774E-3</v>
      </c>
      <c r="F81" s="64">
        <v>1.1377999999999999</v>
      </c>
      <c r="G81" s="64">
        <v>1.1377999999999999</v>
      </c>
      <c r="H81" s="34">
        <v>46</v>
      </c>
      <c r="I81" s="53">
        <v>1.6999999999999999E-3</v>
      </c>
      <c r="J81" s="53">
        <v>-8.9099999999999999E-2</v>
      </c>
      <c r="K81" s="31">
        <v>623473228.62</v>
      </c>
      <c r="L81" s="32">
        <f t="shared" si="28"/>
        <v>3.2352797182780735E-3</v>
      </c>
      <c r="M81" s="64">
        <v>1.1405000000000001</v>
      </c>
      <c r="N81" s="64">
        <v>1.1405000000000001</v>
      </c>
      <c r="O81" s="34">
        <v>47</v>
      </c>
      <c r="P81" s="53">
        <v>1.6999999999999999E-3</v>
      </c>
      <c r="Q81" s="53">
        <v>-4.3299999999999998E-2</v>
      </c>
      <c r="R81" s="59">
        <f t="shared" si="29"/>
        <v>3.2257394758086868E-3</v>
      </c>
      <c r="S81" s="59">
        <f t="shared" si="30"/>
        <v>2.3730005273335797E-3</v>
      </c>
      <c r="T81" s="59">
        <f t="shared" si="31"/>
        <v>2.1739130434782608E-2</v>
      </c>
      <c r="U81" s="60">
        <f t="shared" si="32"/>
        <v>0</v>
      </c>
      <c r="V81" s="61">
        <f t="shared" si="33"/>
        <v>4.58E-2</v>
      </c>
    </row>
    <row r="82" spans="1:22">
      <c r="A82" s="164">
        <v>71</v>
      </c>
      <c r="B82" s="165" t="s">
        <v>132</v>
      </c>
      <c r="C82" s="166" t="s">
        <v>31</v>
      </c>
      <c r="D82" s="31">
        <v>13336191508.709999</v>
      </c>
      <c r="E82" s="32">
        <f t="shared" si="34"/>
        <v>6.8993938967028615E-2</v>
      </c>
      <c r="F82" s="64">
        <v>1695.97</v>
      </c>
      <c r="G82" s="64">
        <v>1695.97</v>
      </c>
      <c r="H82" s="34">
        <v>2163</v>
      </c>
      <c r="I82" s="53">
        <v>4.0000000000000002E-4</v>
      </c>
      <c r="J82" s="53">
        <v>1.8E-3</v>
      </c>
      <c r="K82" s="31">
        <v>13209840595.09</v>
      </c>
      <c r="L82" s="32">
        <f t="shared" si="28"/>
        <v>6.8547497145268893E-2</v>
      </c>
      <c r="M82" s="64">
        <v>1697.27</v>
      </c>
      <c r="N82" s="64">
        <v>1697.27</v>
      </c>
      <c r="O82" s="34">
        <v>2160</v>
      </c>
      <c r="P82" s="53">
        <v>8.0000000000000004E-4</v>
      </c>
      <c r="Q82" s="53">
        <v>2.5000000000000001E-3</v>
      </c>
      <c r="R82" s="59">
        <f t="shared" si="29"/>
        <v>-9.4742875833387589E-3</v>
      </c>
      <c r="S82" s="59">
        <f t="shared" si="30"/>
        <v>7.6652299274159006E-4</v>
      </c>
      <c r="T82" s="59">
        <f t="shared" si="31"/>
        <v>-1.3869625520110957E-3</v>
      </c>
      <c r="U82" s="60">
        <f t="shared" si="32"/>
        <v>4.0000000000000002E-4</v>
      </c>
      <c r="V82" s="61">
        <f t="shared" si="33"/>
        <v>7.000000000000001E-4</v>
      </c>
    </row>
    <row r="83" spans="1:22">
      <c r="A83" s="164">
        <v>72</v>
      </c>
      <c r="B83" s="165" t="s">
        <v>133</v>
      </c>
      <c r="C83" s="166" t="s">
        <v>81</v>
      </c>
      <c r="D83" s="31">
        <v>23665809.84</v>
      </c>
      <c r="E83" s="32">
        <f t="shared" si="34"/>
        <v>1.2243356273339875E-4</v>
      </c>
      <c r="F83" s="63">
        <v>0.7218</v>
      </c>
      <c r="G83" s="63">
        <v>0.7218</v>
      </c>
      <c r="H83" s="34">
        <v>746</v>
      </c>
      <c r="I83" s="53">
        <v>2.2000000000000001E-3</v>
      </c>
      <c r="J83" s="53">
        <v>7.1000000000000004E-3</v>
      </c>
      <c r="K83" s="31">
        <v>23441894.920000002</v>
      </c>
      <c r="L83" s="32">
        <f t="shared" si="28"/>
        <v>1.216428929282962E-4</v>
      </c>
      <c r="M83" s="63">
        <v>0.71489999999999998</v>
      </c>
      <c r="N83" s="63">
        <v>0.71489999999999998</v>
      </c>
      <c r="O83" s="34">
        <v>746</v>
      </c>
      <c r="P83" s="53">
        <v>2.0999999999999999E-3</v>
      </c>
      <c r="Q83" s="53">
        <v>-2.5000000000000001E-3</v>
      </c>
      <c r="R83" s="59">
        <f t="shared" si="29"/>
        <v>-9.4615363477457085E-3</v>
      </c>
      <c r="S83" s="59">
        <f t="shared" si="30"/>
        <v>-9.5594347464671887E-3</v>
      </c>
      <c r="T83" s="59">
        <f t="shared" si="31"/>
        <v>0</v>
      </c>
      <c r="U83" s="60">
        <f t="shared" si="32"/>
        <v>-1.0000000000000026E-4</v>
      </c>
      <c r="V83" s="61">
        <f t="shared" si="33"/>
        <v>-9.6000000000000009E-3</v>
      </c>
    </row>
    <row r="84" spans="1:22">
      <c r="A84" s="164">
        <v>73</v>
      </c>
      <c r="B84" s="165" t="s">
        <v>134</v>
      </c>
      <c r="C84" s="166" t="s">
        <v>37</v>
      </c>
      <c r="D84" s="31">
        <v>10721408148.889999</v>
      </c>
      <c r="E84" s="32">
        <f t="shared" si="34"/>
        <v>5.546652348101079E-2</v>
      </c>
      <c r="F84" s="63">
        <v>1</v>
      </c>
      <c r="G84" s="63">
        <v>1</v>
      </c>
      <c r="H84" s="34">
        <v>5251</v>
      </c>
      <c r="I84" s="53">
        <v>0.06</v>
      </c>
      <c r="J84" s="53">
        <v>0.06</v>
      </c>
      <c r="K84" s="31">
        <v>10759386603.27</v>
      </c>
      <c r="L84" s="32">
        <f t="shared" si="28"/>
        <v>5.5831788216023505E-2</v>
      </c>
      <c r="M84" s="63">
        <v>1</v>
      </c>
      <c r="N84" s="63">
        <v>1</v>
      </c>
      <c r="O84" s="34">
        <v>5251</v>
      </c>
      <c r="P84" s="53">
        <v>0.06</v>
      </c>
      <c r="Q84" s="53">
        <v>0.06</v>
      </c>
      <c r="R84" s="59">
        <f t="shared" si="29"/>
        <v>3.5423009601526106E-3</v>
      </c>
      <c r="S84" s="59">
        <f t="shared" si="30"/>
        <v>0</v>
      </c>
      <c r="T84" s="59">
        <f t="shared" si="31"/>
        <v>0</v>
      </c>
      <c r="U84" s="60">
        <f t="shared" si="32"/>
        <v>0</v>
      </c>
      <c r="V84" s="61">
        <f t="shared" si="33"/>
        <v>0</v>
      </c>
    </row>
    <row r="85" spans="1:22">
      <c r="A85" s="167">
        <v>74</v>
      </c>
      <c r="B85" s="165" t="s">
        <v>135</v>
      </c>
      <c r="C85" s="166" t="s">
        <v>136</v>
      </c>
      <c r="D85" s="31">
        <v>1119983128.72</v>
      </c>
      <c r="E85" s="32">
        <f t="shared" si="34"/>
        <v>5.7941615172924215E-3</v>
      </c>
      <c r="F85" s="31">
        <v>240.47</v>
      </c>
      <c r="G85" s="31">
        <v>244.65</v>
      </c>
      <c r="H85" s="34">
        <v>508</v>
      </c>
      <c r="I85" s="53">
        <v>2.7000000000000001E-3</v>
      </c>
      <c r="J85" s="53">
        <v>0.17960000000000001</v>
      </c>
      <c r="K85" s="31">
        <v>1151064833.3</v>
      </c>
      <c r="L85" s="32">
        <f t="shared" si="28"/>
        <v>5.9730178276321275E-3</v>
      </c>
      <c r="M85" s="31">
        <v>242.94</v>
      </c>
      <c r="N85" s="31">
        <v>247.13</v>
      </c>
      <c r="O85" s="34">
        <v>508</v>
      </c>
      <c r="P85" s="53">
        <v>2.7000000000000001E-3</v>
      </c>
      <c r="Q85" s="53">
        <v>0.1875</v>
      </c>
      <c r="R85" s="59">
        <f t="shared" si="29"/>
        <v>2.775193999174113E-2</v>
      </c>
      <c r="S85" s="59">
        <f t="shared" si="30"/>
        <v>1.0136930308604086E-2</v>
      </c>
      <c r="T85" s="59">
        <f t="shared" si="31"/>
        <v>0</v>
      </c>
      <c r="U85" s="60">
        <f t="shared" si="32"/>
        <v>0</v>
      </c>
      <c r="V85" s="61">
        <f t="shared" si="33"/>
        <v>7.8999999999999904E-3</v>
      </c>
    </row>
    <row r="86" spans="1:22">
      <c r="A86" s="164">
        <v>75</v>
      </c>
      <c r="B86" s="165" t="s">
        <v>137</v>
      </c>
      <c r="C86" s="166" t="s">
        <v>41</v>
      </c>
      <c r="D86" s="31">
        <v>1092478150.21</v>
      </c>
      <c r="E86" s="32">
        <f t="shared" si="34"/>
        <v>5.6518662595069448E-3</v>
      </c>
      <c r="F86" s="63">
        <v>3.64</v>
      </c>
      <c r="G86" s="63">
        <v>3.64</v>
      </c>
      <c r="H86" s="49">
        <v>770</v>
      </c>
      <c r="I86" s="56">
        <v>3.8E-3</v>
      </c>
      <c r="J86" s="56">
        <v>8.3799999999999999E-2</v>
      </c>
      <c r="K86" s="31">
        <v>1094548526.25</v>
      </c>
      <c r="L86" s="32">
        <f t="shared" si="28"/>
        <v>5.6797477182554124E-3</v>
      </c>
      <c r="M86" s="63">
        <v>3.65</v>
      </c>
      <c r="N86" s="63">
        <v>3.65</v>
      </c>
      <c r="O86" s="49">
        <v>770</v>
      </c>
      <c r="P86" s="56">
        <v>1.9E-3</v>
      </c>
      <c r="Q86" s="56">
        <v>8.7300000000000003E-2</v>
      </c>
      <c r="R86" s="59">
        <f t="shared" si="29"/>
        <v>1.8951189454928566E-3</v>
      </c>
      <c r="S86" s="59">
        <f t="shared" si="30"/>
        <v>2.7472527472526885E-3</v>
      </c>
      <c r="T86" s="59">
        <f t="shared" si="31"/>
        <v>0</v>
      </c>
      <c r="U86" s="60">
        <f t="shared" si="32"/>
        <v>-1.9E-3</v>
      </c>
      <c r="V86" s="61">
        <f t="shared" si="33"/>
        <v>3.5000000000000031E-3</v>
      </c>
    </row>
    <row r="87" spans="1:22">
      <c r="A87" s="164">
        <v>76</v>
      </c>
      <c r="B87" s="165" t="s">
        <v>138</v>
      </c>
      <c r="C87" s="166" t="s">
        <v>43</v>
      </c>
      <c r="D87" s="31">
        <v>557157654.76999998</v>
      </c>
      <c r="E87" s="32">
        <f t="shared" si="34"/>
        <v>2.8824197075385657E-3</v>
      </c>
      <c r="F87" s="63">
        <v>105.38202</v>
      </c>
      <c r="G87" s="63">
        <v>105.38202</v>
      </c>
      <c r="H87" s="49">
        <v>59</v>
      </c>
      <c r="I87" s="56">
        <v>0.14729999999999999</v>
      </c>
      <c r="J87" s="56">
        <v>0.17100000000000001</v>
      </c>
      <c r="K87" s="31">
        <v>558685020.17999995</v>
      </c>
      <c r="L87" s="32">
        <f t="shared" si="28"/>
        <v>2.8990856892041192E-3</v>
      </c>
      <c r="M87" s="63">
        <v>105.67091000000001</v>
      </c>
      <c r="N87" s="63">
        <v>105.67091000000001</v>
      </c>
      <c r="O87" s="49">
        <v>59</v>
      </c>
      <c r="P87" s="56">
        <v>0.14729999999999999</v>
      </c>
      <c r="Q87" s="56">
        <v>0.17100000000000001</v>
      </c>
      <c r="R87" s="59">
        <f t="shared" si="29"/>
        <v>2.7413522849838215E-3</v>
      </c>
      <c r="S87" s="59">
        <f t="shared" si="30"/>
        <v>2.7413594842840287E-3</v>
      </c>
      <c r="T87" s="59">
        <f t="shared" si="31"/>
        <v>0</v>
      </c>
      <c r="U87" s="60">
        <f t="shared" si="32"/>
        <v>0</v>
      </c>
      <c r="V87" s="61">
        <f t="shared" si="33"/>
        <v>0</v>
      </c>
    </row>
    <row r="88" spans="1:22">
      <c r="A88" s="164">
        <v>77</v>
      </c>
      <c r="B88" s="166" t="s">
        <v>139</v>
      </c>
      <c r="C88" s="172" t="s">
        <v>47</v>
      </c>
      <c r="D88" s="31">
        <v>1398665829.72</v>
      </c>
      <c r="E88" s="32">
        <f t="shared" si="34"/>
        <v>7.2359087546054928E-3</v>
      </c>
      <c r="F88" s="63">
        <v>97.76</v>
      </c>
      <c r="G88" s="63">
        <v>97.76</v>
      </c>
      <c r="H88" s="34">
        <v>289</v>
      </c>
      <c r="I88" s="53">
        <v>1.6000000000000001E-3</v>
      </c>
      <c r="J88" s="53">
        <v>5.8999999999999999E-3</v>
      </c>
      <c r="K88" s="31">
        <v>1402943948.22</v>
      </c>
      <c r="L88" s="32">
        <f t="shared" si="28"/>
        <v>7.2800497169759771E-3</v>
      </c>
      <c r="M88" s="63">
        <v>98.03</v>
      </c>
      <c r="N88" s="63">
        <v>98.03</v>
      </c>
      <c r="O88" s="34">
        <v>289</v>
      </c>
      <c r="P88" s="53">
        <v>2.7000000000000001E-3</v>
      </c>
      <c r="Q88" s="53">
        <v>8.0999999999999996E-3</v>
      </c>
      <c r="R88" s="59">
        <f t="shared" si="29"/>
        <v>3.05871381790777E-3</v>
      </c>
      <c r="S88" s="59">
        <f t="shared" si="30"/>
        <v>2.7618657937806467E-3</v>
      </c>
      <c r="T88" s="59">
        <f t="shared" si="31"/>
        <v>0</v>
      </c>
      <c r="U88" s="60">
        <f t="shared" si="32"/>
        <v>1.1000000000000001E-3</v>
      </c>
      <c r="V88" s="61">
        <f t="shared" si="33"/>
        <v>2.1999999999999997E-3</v>
      </c>
    </row>
    <row r="89" spans="1:22">
      <c r="A89" s="164">
        <v>78</v>
      </c>
      <c r="B89" s="165" t="s">
        <v>140</v>
      </c>
      <c r="C89" s="166" t="s">
        <v>19</v>
      </c>
      <c r="D89" s="31">
        <v>1366612587.48</v>
      </c>
      <c r="E89" s="32">
        <f t="shared" si="34"/>
        <v>7.0700833435533494E-3</v>
      </c>
      <c r="F89" s="63">
        <v>345.67910000000001</v>
      </c>
      <c r="G89" s="63">
        <v>345.67910000000001</v>
      </c>
      <c r="H89" s="34">
        <v>196</v>
      </c>
      <c r="I89" s="53">
        <v>2.5999999999999999E-3</v>
      </c>
      <c r="J89" s="53">
        <v>8.6999999999999994E-3</v>
      </c>
      <c r="K89" s="31">
        <v>1369338653.6600001</v>
      </c>
      <c r="L89" s="32">
        <f t="shared" si="28"/>
        <v>7.1056676859184839E-3</v>
      </c>
      <c r="M89" s="63">
        <v>346.56459999999998</v>
      </c>
      <c r="N89" s="63">
        <v>346.56459999999998</v>
      </c>
      <c r="O89" s="34">
        <v>196</v>
      </c>
      <c r="P89" s="53">
        <v>2.5999999999999999E-3</v>
      </c>
      <c r="Q89" s="53">
        <v>1.12E-2</v>
      </c>
      <c r="R89" s="59">
        <f t="shared" si="29"/>
        <v>1.9947615037169135E-3</v>
      </c>
      <c r="S89" s="59">
        <f t="shared" si="30"/>
        <v>2.5616243504451935E-3</v>
      </c>
      <c r="T89" s="59">
        <f t="shared" si="31"/>
        <v>0</v>
      </c>
      <c r="U89" s="60">
        <f t="shared" si="32"/>
        <v>0</v>
      </c>
      <c r="V89" s="61">
        <f t="shared" si="33"/>
        <v>2.5000000000000005E-3</v>
      </c>
    </row>
    <row r="90" spans="1:22">
      <c r="A90" s="164">
        <v>79</v>
      </c>
      <c r="B90" s="165" t="s">
        <v>141</v>
      </c>
      <c r="C90" s="166" t="s">
        <v>90</v>
      </c>
      <c r="D90" s="47">
        <v>1378456073</v>
      </c>
      <c r="E90" s="32">
        <f>(D90/$K$65)</f>
        <v>7.1182872318796293E-4</v>
      </c>
      <c r="F90" s="63">
        <v>101.7</v>
      </c>
      <c r="G90" s="63">
        <v>101.7</v>
      </c>
      <c r="H90" s="34">
        <v>384</v>
      </c>
      <c r="I90" s="53">
        <v>2.7000000000000001E-3</v>
      </c>
      <c r="J90" s="53">
        <v>0.14410000000000001</v>
      </c>
      <c r="K90" s="47">
        <v>1384192675</v>
      </c>
      <c r="L90" s="32">
        <f>(K90/$K$65)</f>
        <v>7.1479107952058835E-4</v>
      </c>
      <c r="M90" s="63">
        <v>101.96</v>
      </c>
      <c r="N90" s="63">
        <v>101.96</v>
      </c>
      <c r="O90" s="34">
        <v>384</v>
      </c>
      <c r="P90" s="53">
        <v>2.5999999999999999E-3</v>
      </c>
      <c r="Q90" s="53">
        <v>0.14169999999999999</v>
      </c>
      <c r="R90" s="59">
        <f t="shared" si="29"/>
        <v>4.1616139334169407E-3</v>
      </c>
      <c r="S90" s="59">
        <f t="shared" si="30"/>
        <v>2.5565388397245908E-3</v>
      </c>
      <c r="T90" s="59">
        <f t="shared" si="31"/>
        <v>0</v>
      </c>
      <c r="U90" s="60">
        <f t="shared" si="32"/>
        <v>-1.0000000000000026E-4</v>
      </c>
      <c r="V90" s="61">
        <f t="shared" si="33"/>
        <v>-2.4000000000000132E-3</v>
      </c>
    </row>
    <row r="91" spans="1:22">
      <c r="A91" s="164">
        <v>80</v>
      </c>
      <c r="B91" s="165" t="s">
        <v>142</v>
      </c>
      <c r="C91" s="166" t="s">
        <v>45</v>
      </c>
      <c r="D91" s="31">
        <v>58881107.840000004</v>
      </c>
      <c r="E91" s="32">
        <f t="shared" ref="E91:E103" si="35">(D91/$D$104)</f>
        <v>3.0461766824289909E-4</v>
      </c>
      <c r="F91" s="31">
        <v>12.238588</v>
      </c>
      <c r="G91" s="31">
        <v>12.553825</v>
      </c>
      <c r="H91" s="34">
        <v>56</v>
      </c>
      <c r="I91" s="53">
        <v>0</v>
      </c>
      <c r="J91" s="53">
        <v>4.4000000000000003E-3</v>
      </c>
      <c r="K91" s="31">
        <v>59004527.909999996</v>
      </c>
      <c r="L91" s="32">
        <f t="shared" ref="L91:L103" si="36">(K91/$K$104)</f>
        <v>3.0618179525739443E-4</v>
      </c>
      <c r="M91" s="31">
        <v>12.264241</v>
      </c>
      <c r="N91" s="31">
        <v>12.586989000000001</v>
      </c>
      <c r="O91" s="34">
        <v>56</v>
      </c>
      <c r="P91" s="53">
        <v>0</v>
      </c>
      <c r="Q91" s="53">
        <v>4.4000000000000003E-3</v>
      </c>
      <c r="R91" s="59">
        <f t="shared" si="29"/>
        <v>2.096089467870869E-3</v>
      </c>
      <c r="S91" s="59">
        <f t="shared" si="30"/>
        <v>2.641744647547746E-3</v>
      </c>
      <c r="T91" s="59">
        <f t="shared" si="31"/>
        <v>0</v>
      </c>
      <c r="U91" s="60">
        <f t="shared" si="32"/>
        <v>0</v>
      </c>
      <c r="V91" s="61">
        <f t="shared" si="33"/>
        <v>0</v>
      </c>
    </row>
    <row r="92" spans="1:22">
      <c r="A92" s="164">
        <v>81</v>
      </c>
      <c r="B92" s="165" t="s">
        <v>143</v>
      </c>
      <c r="C92" s="166" t="s">
        <v>144</v>
      </c>
      <c r="D92" s="31">
        <v>435025194.45999998</v>
      </c>
      <c r="E92" s="32">
        <f t="shared" si="35"/>
        <v>2.250575188282988E-3</v>
      </c>
      <c r="F92" s="31">
        <v>132.62</v>
      </c>
      <c r="G92" s="31">
        <v>132.62</v>
      </c>
      <c r="H92" s="34">
        <v>113</v>
      </c>
      <c r="I92" s="53">
        <v>0.2208</v>
      </c>
      <c r="J92" s="53">
        <v>0.19420000000000001</v>
      </c>
      <c r="K92" s="31">
        <v>413133642.66000003</v>
      </c>
      <c r="L92" s="32">
        <f t="shared" si="36"/>
        <v>2.1438015839023035E-3</v>
      </c>
      <c r="M92" s="31">
        <v>133.06</v>
      </c>
      <c r="N92" s="31">
        <v>133.06</v>
      </c>
      <c r="O92" s="34">
        <v>116</v>
      </c>
      <c r="P92" s="53">
        <v>0.18390000000000001</v>
      </c>
      <c r="Q92" s="53">
        <v>0.19239999999999999</v>
      </c>
      <c r="R92" s="59">
        <f t="shared" si="29"/>
        <v>-5.0322491843659993E-2</v>
      </c>
      <c r="S92" s="59">
        <f t="shared" si="30"/>
        <v>3.3177499622982784E-3</v>
      </c>
      <c r="T92" s="59">
        <f t="shared" si="31"/>
        <v>2.6548672566371681E-2</v>
      </c>
      <c r="U92" s="60">
        <f t="shared" si="32"/>
        <v>-3.6899999999999988E-2</v>
      </c>
      <c r="V92" s="61">
        <f t="shared" si="33"/>
        <v>-1.8000000000000238E-3</v>
      </c>
    </row>
    <row r="93" spans="1:22">
      <c r="A93" s="164">
        <v>82</v>
      </c>
      <c r="B93" s="165" t="s">
        <v>145</v>
      </c>
      <c r="C93" s="166" t="s">
        <v>146</v>
      </c>
      <c r="D93" s="31">
        <v>7854806572.6099997</v>
      </c>
      <c r="E93" s="32">
        <f t="shared" si="35"/>
        <v>4.0636342460628812E-2</v>
      </c>
      <c r="F93" s="31">
        <v>1.01254</v>
      </c>
      <c r="G93" s="31">
        <v>1.01254</v>
      </c>
      <c r="H93" s="34">
        <v>4506</v>
      </c>
      <c r="I93" s="53">
        <v>0.1903</v>
      </c>
      <c r="J93" s="53">
        <v>0.1903</v>
      </c>
      <c r="K93" s="31">
        <v>7735854178.7939024</v>
      </c>
      <c r="L93" s="32">
        <f t="shared" si="36"/>
        <v>4.0142304399508819E-2</v>
      </c>
      <c r="M93" s="31">
        <v>1.0161101719502537</v>
      </c>
      <c r="N93" s="31">
        <v>1.0161101719502537</v>
      </c>
      <c r="O93" s="34">
        <v>4520</v>
      </c>
      <c r="P93" s="53">
        <v>0.19020000000000001</v>
      </c>
      <c r="Q93" s="53">
        <v>0.19020000000000001</v>
      </c>
      <c r="R93" s="59">
        <f t="shared" si="29"/>
        <v>-1.5143898543713176E-2</v>
      </c>
      <c r="S93" s="59">
        <f t="shared" si="30"/>
        <v>3.5259564562917659E-3</v>
      </c>
      <c r="T93" s="59">
        <f t="shared" si="31"/>
        <v>3.1069684864624943E-3</v>
      </c>
      <c r="U93" s="60">
        <f t="shared" si="32"/>
        <v>-9.9999999999988987E-5</v>
      </c>
      <c r="V93" s="61">
        <f t="shared" si="33"/>
        <v>-9.9999999999988987E-5</v>
      </c>
    </row>
    <row r="94" spans="1:22" ht="14.25" customHeight="1">
      <c r="A94" s="164">
        <v>83</v>
      </c>
      <c r="B94" s="165" t="s">
        <v>147</v>
      </c>
      <c r="C94" s="166" t="s">
        <v>49</v>
      </c>
      <c r="D94" s="31">
        <v>5601483646.9499998</v>
      </c>
      <c r="E94" s="32">
        <f t="shared" si="35"/>
        <v>2.897891955211282E-2</v>
      </c>
      <c r="F94" s="31">
        <v>5168.08</v>
      </c>
      <c r="G94" s="31">
        <v>5168.08</v>
      </c>
      <c r="H94" s="34">
        <v>274</v>
      </c>
      <c r="I94" s="53">
        <v>0</v>
      </c>
      <c r="J94" s="53">
        <v>1E-4</v>
      </c>
      <c r="K94" s="31">
        <v>5368308496.79</v>
      </c>
      <c r="L94" s="32">
        <f t="shared" si="36"/>
        <v>2.7856816947163788E-2</v>
      </c>
      <c r="M94" s="31">
        <v>5168.26</v>
      </c>
      <c r="N94" s="31">
        <v>5168.26</v>
      </c>
      <c r="O94" s="34">
        <v>273</v>
      </c>
      <c r="P94" s="53">
        <v>0</v>
      </c>
      <c r="Q94" s="53">
        <v>2.0000000000000001E-4</v>
      </c>
      <c r="R94" s="59">
        <f t="shared" si="29"/>
        <v>-4.162739103718769E-2</v>
      </c>
      <c r="S94" s="59">
        <f t="shared" si="30"/>
        <v>3.4829182210858003E-5</v>
      </c>
      <c r="T94" s="59">
        <f t="shared" si="31"/>
        <v>-3.6496350364963502E-3</v>
      </c>
      <c r="U94" s="60">
        <f t="shared" si="32"/>
        <v>0</v>
      </c>
      <c r="V94" s="61">
        <f t="shared" si="33"/>
        <v>1E-4</v>
      </c>
    </row>
    <row r="95" spans="1:22" ht="13.5" customHeight="1">
      <c r="A95" s="164">
        <v>84</v>
      </c>
      <c r="B95" s="165" t="s">
        <v>148</v>
      </c>
      <c r="C95" s="166" t="s">
        <v>49</v>
      </c>
      <c r="D95" s="31">
        <v>21178605593.380001</v>
      </c>
      <c r="E95" s="32">
        <f t="shared" si="35"/>
        <v>0.10956616967911037</v>
      </c>
      <c r="F95" s="63">
        <v>258.95999999999998</v>
      </c>
      <c r="G95" s="63">
        <v>258.95999999999998</v>
      </c>
      <c r="H95" s="34">
        <v>6329</v>
      </c>
      <c r="I95" s="53">
        <v>0</v>
      </c>
      <c r="J95" s="53">
        <v>4.0000000000000002E-4</v>
      </c>
      <c r="K95" s="31">
        <v>21122559487.369999</v>
      </c>
      <c r="L95" s="32">
        <f t="shared" si="36"/>
        <v>0.10960757442443632</v>
      </c>
      <c r="M95" s="63">
        <v>258.97000000000003</v>
      </c>
      <c r="N95" s="63">
        <v>258.97000000000003</v>
      </c>
      <c r="O95" s="34">
        <v>6323</v>
      </c>
      <c r="P95" s="53">
        <v>0</v>
      </c>
      <c r="Q95" s="53">
        <v>5.0000000000000001E-4</v>
      </c>
      <c r="R95" s="59">
        <f t="shared" si="29"/>
        <v>-2.6463548680240308E-3</v>
      </c>
      <c r="S95" s="59">
        <f t="shared" si="30"/>
        <v>3.8616002471608548E-5</v>
      </c>
      <c r="T95" s="59">
        <f t="shared" si="31"/>
        <v>-9.4801706430715758E-4</v>
      </c>
      <c r="U95" s="60">
        <f t="shared" si="32"/>
        <v>0</v>
      </c>
      <c r="V95" s="61">
        <f t="shared" si="33"/>
        <v>9.9999999999999991E-5</v>
      </c>
    </row>
    <row r="96" spans="1:22" ht="13.5" customHeight="1">
      <c r="A96" s="164">
        <v>85</v>
      </c>
      <c r="B96" s="165" t="s">
        <v>149</v>
      </c>
      <c r="C96" s="166" t="s">
        <v>49</v>
      </c>
      <c r="D96" s="31">
        <v>400958373.36000001</v>
      </c>
      <c r="E96" s="32">
        <f t="shared" si="35"/>
        <v>2.0743326550051022E-3</v>
      </c>
      <c r="F96" s="37">
        <v>6935.34</v>
      </c>
      <c r="G96" s="37">
        <v>6966.26</v>
      </c>
      <c r="H96" s="34">
        <v>15</v>
      </c>
      <c r="I96" s="53">
        <v>2.5999999999999999E-3</v>
      </c>
      <c r="J96" s="53">
        <v>2.1000000000000001E-2</v>
      </c>
      <c r="K96" s="31">
        <v>405566934.62</v>
      </c>
      <c r="L96" s="32">
        <f t="shared" si="36"/>
        <v>2.1045369997434475E-3</v>
      </c>
      <c r="M96" s="37">
        <v>7014.55</v>
      </c>
      <c r="N96" s="37">
        <v>7046.68</v>
      </c>
      <c r="O96" s="34">
        <v>15</v>
      </c>
      <c r="P96" s="53">
        <v>1.15E-2</v>
      </c>
      <c r="Q96" s="53">
        <v>3.2800000000000003E-2</v>
      </c>
      <c r="R96" s="59">
        <f t="shared" si="29"/>
        <v>1.149386461587173E-2</v>
      </c>
      <c r="S96" s="59">
        <f t="shared" si="30"/>
        <v>1.1544214542667094E-2</v>
      </c>
      <c r="T96" s="59">
        <f t="shared" si="31"/>
        <v>0</v>
      </c>
      <c r="U96" s="60">
        <f t="shared" si="32"/>
        <v>8.8999999999999999E-3</v>
      </c>
      <c r="V96" s="61">
        <f t="shared" si="33"/>
        <v>1.1800000000000001E-2</v>
      </c>
    </row>
    <row r="97" spans="1:28" ht="15" customHeight="1">
      <c r="A97" s="164">
        <v>86</v>
      </c>
      <c r="B97" s="165" t="s">
        <v>150</v>
      </c>
      <c r="C97" s="166" t="s">
        <v>49</v>
      </c>
      <c r="D97" s="31">
        <v>7786735837.0699997</v>
      </c>
      <c r="E97" s="32">
        <f t="shared" si="35"/>
        <v>4.0284182837679469E-2</v>
      </c>
      <c r="F97" s="63">
        <v>139.38</v>
      </c>
      <c r="G97" s="63">
        <v>139.38</v>
      </c>
      <c r="H97" s="34">
        <v>4468</v>
      </c>
      <c r="I97" s="53">
        <v>3.2000000000000002E-3</v>
      </c>
      <c r="J97" s="53">
        <v>1.09E-2</v>
      </c>
      <c r="K97" s="31">
        <v>7727988668.5900002</v>
      </c>
      <c r="L97" s="32">
        <f t="shared" si="36"/>
        <v>4.0101489293954212E-2</v>
      </c>
      <c r="M97" s="63">
        <v>139.81</v>
      </c>
      <c r="N97" s="63">
        <v>139.81</v>
      </c>
      <c r="O97" s="34">
        <v>4467</v>
      </c>
      <c r="P97" s="53">
        <v>3.0999999999999999E-3</v>
      </c>
      <c r="Q97" s="53">
        <v>1.4E-2</v>
      </c>
      <c r="R97" s="59">
        <f t="shared" si="29"/>
        <v>-7.5445179737990168E-3</v>
      </c>
      <c r="S97" s="59">
        <f t="shared" si="30"/>
        <v>3.085091117807482E-3</v>
      </c>
      <c r="T97" s="59">
        <f t="shared" si="31"/>
        <v>-2.2381378692927484E-4</v>
      </c>
      <c r="U97" s="60">
        <f t="shared" si="32"/>
        <v>-1.0000000000000026E-4</v>
      </c>
      <c r="V97" s="61">
        <f t="shared" si="33"/>
        <v>3.1000000000000003E-3</v>
      </c>
    </row>
    <row r="98" spans="1:28" ht="15" customHeight="1">
      <c r="A98" s="164">
        <v>87</v>
      </c>
      <c r="B98" s="165" t="s">
        <v>151</v>
      </c>
      <c r="C98" s="166" t="s">
        <v>49</v>
      </c>
      <c r="D98" s="31">
        <v>7733726361.8599997</v>
      </c>
      <c r="E98" s="32">
        <f t="shared" si="35"/>
        <v>4.0009941687578689E-2</v>
      </c>
      <c r="F98" s="63">
        <v>358.62</v>
      </c>
      <c r="G98" s="63">
        <v>359.25</v>
      </c>
      <c r="H98" s="34">
        <v>10159</v>
      </c>
      <c r="I98" s="53">
        <v>7.3000000000000001E-3</v>
      </c>
      <c r="J98" s="53">
        <v>1.41E-2</v>
      </c>
      <c r="K98" s="31">
        <v>7760836087.75</v>
      </c>
      <c r="L98" s="32">
        <f t="shared" si="36"/>
        <v>4.0271938615798149E-2</v>
      </c>
      <c r="M98" s="63">
        <v>359.79</v>
      </c>
      <c r="N98" s="63">
        <v>360.44</v>
      </c>
      <c r="O98" s="34">
        <v>10155</v>
      </c>
      <c r="P98" s="53">
        <v>3.3E-3</v>
      </c>
      <c r="Q98" s="53">
        <v>1.7500000000000002E-2</v>
      </c>
      <c r="R98" s="59">
        <f t="shared" si="29"/>
        <v>3.5053898498007266E-3</v>
      </c>
      <c r="S98" s="59">
        <f t="shared" si="30"/>
        <v>3.3124565066109889E-3</v>
      </c>
      <c r="T98" s="59">
        <f t="shared" si="31"/>
        <v>-3.9373954129343438E-4</v>
      </c>
      <c r="U98" s="60">
        <f t="shared" si="32"/>
        <v>-4.0000000000000001E-3</v>
      </c>
      <c r="V98" s="61">
        <f t="shared" si="33"/>
        <v>3.400000000000002E-3</v>
      </c>
    </row>
    <row r="99" spans="1:28">
      <c r="A99" s="164">
        <v>88</v>
      </c>
      <c r="B99" s="165" t="s">
        <v>152</v>
      </c>
      <c r="C99" s="166" t="s">
        <v>52</v>
      </c>
      <c r="D99" s="31">
        <v>87940177178.229996</v>
      </c>
      <c r="E99" s="32">
        <f t="shared" si="35"/>
        <v>0.45495291613215388</v>
      </c>
      <c r="F99" s="31">
        <v>1.9733000000000001</v>
      </c>
      <c r="G99" s="31">
        <v>1.9733000000000001</v>
      </c>
      <c r="H99" s="34">
        <v>6391</v>
      </c>
      <c r="I99" s="53">
        <v>7.9699999999999993E-2</v>
      </c>
      <c r="J99" s="53">
        <v>7.8600000000000003E-2</v>
      </c>
      <c r="K99" s="31">
        <v>87773078900.320007</v>
      </c>
      <c r="L99" s="32">
        <f t="shared" si="36"/>
        <v>0.45546536553873951</v>
      </c>
      <c r="M99" s="31">
        <v>1.9762999999999999</v>
      </c>
      <c r="N99" s="31">
        <v>1.9762999999999999</v>
      </c>
      <c r="O99" s="34">
        <v>6400</v>
      </c>
      <c r="P99" s="53">
        <v>8.2400000000000001E-2</v>
      </c>
      <c r="Q99" s="53">
        <v>7.9500000000000001E-2</v>
      </c>
      <c r="R99" s="59">
        <f t="shared" si="29"/>
        <v>-1.9001357885750812E-3</v>
      </c>
      <c r="S99" s="59">
        <f t="shared" si="30"/>
        <v>1.5202959509450623E-3</v>
      </c>
      <c r="T99" s="59">
        <f t="shared" si="31"/>
        <v>1.4082303238929744E-3</v>
      </c>
      <c r="U99" s="60">
        <f t="shared" si="32"/>
        <v>2.7000000000000079E-3</v>
      </c>
      <c r="V99" s="61">
        <f t="shared" si="33"/>
        <v>8.9999999999999802E-4</v>
      </c>
    </row>
    <row r="100" spans="1:28">
      <c r="A100" s="164">
        <v>89</v>
      </c>
      <c r="B100" s="165" t="s">
        <v>153</v>
      </c>
      <c r="C100" s="166" t="s">
        <v>52</v>
      </c>
      <c r="D100" s="31">
        <v>10602801285.450001</v>
      </c>
      <c r="E100" s="32">
        <f t="shared" si="35"/>
        <v>5.4852918413034267E-2</v>
      </c>
      <c r="F100" s="31">
        <v>110.23439999999999</v>
      </c>
      <c r="G100" s="31">
        <v>110.23439999999999</v>
      </c>
      <c r="H100" s="34">
        <v>268</v>
      </c>
      <c r="I100" s="53">
        <v>0.22370000000000001</v>
      </c>
      <c r="J100" s="53">
        <v>0.23769999999999999</v>
      </c>
      <c r="K100" s="31">
        <v>10581450352.450001</v>
      </c>
      <c r="L100" s="32">
        <f t="shared" si="36"/>
        <v>5.490845499657062E-2</v>
      </c>
      <c r="M100" s="31">
        <v>110.6674</v>
      </c>
      <c r="N100" s="31">
        <v>110.6674</v>
      </c>
      <c r="O100" s="34">
        <v>289</v>
      </c>
      <c r="P100" s="53">
        <v>0.2268</v>
      </c>
      <c r="Q100" s="53">
        <v>0.23519999999999999</v>
      </c>
      <c r="R100" s="59">
        <f t="shared" ref="R100:R102" si="37">((K100-D100)/D100)</f>
        <v>-2.0137067955144487E-3</v>
      </c>
      <c r="S100" s="59">
        <f t="shared" ref="S100:S102" si="38">((N100-G100)/G100)</f>
        <v>3.9279934394345776E-3</v>
      </c>
      <c r="T100" s="59">
        <f t="shared" ref="T100:T102" si="39">((O100-H100)/H100)</f>
        <v>7.8358208955223885E-2</v>
      </c>
      <c r="U100" s="60">
        <f t="shared" ref="U100:U102" si="40">P100-I100</f>
        <v>3.0999999999999917E-3</v>
      </c>
      <c r="V100" s="61">
        <f t="shared" ref="V100:V102" si="41">Q100-J100</f>
        <v>-2.5000000000000022E-3</v>
      </c>
    </row>
    <row r="101" spans="1:28">
      <c r="A101" s="164">
        <v>90</v>
      </c>
      <c r="B101" s="165" t="s">
        <v>154</v>
      </c>
      <c r="C101" s="165" t="s">
        <v>155</v>
      </c>
      <c r="D101" s="31">
        <v>95153505.819999993</v>
      </c>
      <c r="E101" s="32">
        <f t="shared" si="35"/>
        <v>4.9227061329737247E-4</v>
      </c>
      <c r="F101" s="31">
        <v>111.14029610958937</v>
      </c>
      <c r="G101" s="31">
        <v>111.14029610958937</v>
      </c>
      <c r="H101" s="65">
        <v>55</v>
      </c>
      <c r="I101" s="66">
        <v>2.0248601350133901E-3</v>
      </c>
      <c r="J101" s="66">
        <v>6.6745780436958668E-3</v>
      </c>
      <c r="K101" s="31">
        <v>95153505.819999993</v>
      </c>
      <c r="L101" s="67">
        <f t="shared" si="36"/>
        <v>4.9376331391789497E-4</v>
      </c>
      <c r="M101" s="31">
        <v>111.36527265283495</v>
      </c>
      <c r="N101" s="31">
        <v>111.36527265283495</v>
      </c>
      <c r="O101" s="65">
        <v>55</v>
      </c>
      <c r="P101" s="66">
        <v>2.0242571877236814E-3</v>
      </c>
      <c r="Q101" s="66">
        <v>8.7123462939995289E-3</v>
      </c>
      <c r="R101" s="59">
        <f t="shared" si="37"/>
        <v>0</v>
      </c>
      <c r="S101" s="59">
        <f t="shared" si="38"/>
        <v>2.0242571877236814E-3</v>
      </c>
      <c r="T101" s="59">
        <f t="shared" si="39"/>
        <v>0</v>
      </c>
      <c r="U101" s="60">
        <f t="shared" si="40"/>
        <v>-6.0294728970863506E-7</v>
      </c>
      <c r="V101" s="61">
        <f t="shared" si="41"/>
        <v>2.037768250303662E-3</v>
      </c>
    </row>
    <row r="102" spans="1:28">
      <c r="A102" s="164">
        <v>91</v>
      </c>
      <c r="B102" s="165" t="s">
        <v>156</v>
      </c>
      <c r="C102" s="166" t="s">
        <v>111</v>
      </c>
      <c r="D102" s="31">
        <v>255492929.05000001</v>
      </c>
      <c r="E102" s="32">
        <f t="shared" si="35"/>
        <v>1.3217764263410885E-3</v>
      </c>
      <c r="F102" s="31">
        <v>1.0754999999999999</v>
      </c>
      <c r="G102" s="31">
        <v>1.0754999999999999</v>
      </c>
      <c r="H102" s="34">
        <v>395</v>
      </c>
      <c r="I102" s="53">
        <v>-6.1999999999999998E-3</v>
      </c>
      <c r="J102" s="53">
        <v>-9.8900000000000008E-4</v>
      </c>
      <c r="K102" s="31">
        <v>256138358.72999999</v>
      </c>
      <c r="L102" s="32">
        <f t="shared" si="36"/>
        <v>1.3291336324198022E-3</v>
      </c>
      <c r="M102" s="31">
        <v>1.0782</v>
      </c>
      <c r="N102" s="31">
        <v>1.0782</v>
      </c>
      <c r="O102" s="34">
        <v>401</v>
      </c>
      <c r="P102" s="53">
        <v>1.519E-3</v>
      </c>
      <c r="Q102" s="53">
        <v>1.539E-3</v>
      </c>
      <c r="R102" s="59">
        <f t="shared" si="37"/>
        <v>2.5262134744780613E-3</v>
      </c>
      <c r="S102" s="59">
        <f t="shared" si="38"/>
        <v>2.5104602510461617E-3</v>
      </c>
      <c r="T102" s="59">
        <f t="shared" si="39"/>
        <v>1.5189873417721518E-2</v>
      </c>
      <c r="U102" s="60">
        <f t="shared" si="40"/>
        <v>7.7190000000000002E-3</v>
      </c>
      <c r="V102" s="61">
        <f t="shared" si="41"/>
        <v>2.5279999999999999E-3</v>
      </c>
    </row>
    <row r="103" spans="1:28">
      <c r="A103" s="164">
        <v>92</v>
      </c>
      <c r="B103" s="165" t="s">
        <v>157</v>
      </c>
      <c r="C103" s="166" t="s">
        <v>113</v>
      </c>
      <c r="D103" s="31">
        <v>2116313652.05</v>
      </c>
      <c r="E103" s="32">
        <f t="shared" si="35"/>
        <v>1.0948614141395968E-2</v>
      </c>
      <c r="F103" s="63">
        <v>28.279299999999999</v>
      </c>
      <c r="G103" s="63">
        <v>28.279299999999999</v>
      </c>
      <c r="H103" s="34">
        <v>1300</v>
      </c>
      <c r="I103" s="53">
        <v>0.1273</v>
      </c>
      <c r="J103" s="53">
        <v>0.1273</v>
      </c>
      <c r="K103" s="31">
        <v>2109316569.22</v>
      </c>
      <c r="L103" s="32">
        <f t="shared" si="36"/>
        <v>1.0945504638475255E-2</v>
      </c>
      <c r="M103" s="63">
        <v>28.337</v>
      </c>
      <c r="N103" s="63">
        <v>28.337</v>
      </c>
      <c r="O103" s="34">
        <v>1299</v>
      </c>
      <c r="P103" s="53">
        <v>0.1229</v>
      </c>
      <c r="Q103" s="53">
        <v>0.1229</v>
      </c>
      <c r="R103" s="59">
        <f t="shared" si="29"/>
        <v>-3.306259836873467E-3</v>
      </c>
      <c r="S103" s="59">
        <f t="shared" si="30"/>
        <v>2.0403616779764893E-3</v>
      </c>
      <c r="T103" s="59">
        <f t="shared" si="31"/>
        <v>-7.6923076923076923E-4</v>
      </c>
      <c r="U103" s="60">
        <f t="shared" si="32"/>
        <v>-4.4000000000000011E-3</v>
      </c>
      <c r="V103" s="61">
        <f t="shared" si="33"/>
        <v>-4.4000000000000011E-3</v>
      </c>
    </row>
    <row r="104" spans="1:28">
      <c r="A104" s="38"/>
      <c r="B104" s="39"/>
      <c r="C104" s="40" t="s">
        <v>53</v>
      </c>
      <c r="D104" s="51">
        <f>SUM(D68:D103)</f>
        <v>193295117054.89386</v>
      </c>
      <c r="E104" s="42">
        <f>(D104/$D$210)</f>
        <v>4.6923240618529753E-2</v>
      </c>
      <c r="F104" s="43"/>
      <c r="G104" s="48"/>
      <c r="H104" s="45">
        <f>SUM(H68:H103)</f>
        <v>50809</v>
      </c>
      <c r="I104" s="56"/>
      <c r="J104" s="56"/>
      <c r="K104" s="51">
        <f>SUM(K68:K103)</f>
        <v>192710764728.50818</v>
      </c>
      <c r="L104" s="42">
        <f>(K104/$K$210)</f>
        <v>4.6867504263423551E-2</v>
      </c>
      <c r="M104" s="43"/>
      <c r="N104" s="48"/>
      <c r="O104" s="45">
        <f>SUM(O68:O103)</f>
        <v>50870</v>
      </c>
      <c r="P104" s="56"/>
      <c r="Q104" s="56"/>
      <c r="R104" s="59">
        <f t="shared" si="29"/>
        <v>-3.0231096123329955E-3</v>
      </c>
      <c r="S104" s="59" t="e">
        <f t="shared" si="30"/>
        <v>#DIV/0!</v>
      </c>
      <c r="T104" s="59">
        <f t="shared" si="31"/>
        <v>1.2005747013324412E-3</v>
      </c>
      <c r="U104" s="60">
        <f t="shared" si="32"/>
        <v>0</v>
      </c>
      <c r="V104" s="61">
        <f t="shared" si="33"/>
        <v>0</v>
      </c>
    </row>
    <row r="105" spans="1:28" ht="3.75" customHeight="1">
      <c r="A105" s="38"/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</row>
    <row r="106" spans="1:28" ht="15" customHeight="1">
      <c r="A106" s="182" t="s">
        <v>158</v>
      </c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</row>
    <row r="107" spans="1:28">
      <c r="A107" s="184" t="s">
        <v>159</v>
      </c>
      <c r="B107" s="184"/>
      <c r="C107" s="184"/>
      <c r="D107" s="184"/>
      <c r="E107" s="184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Z107" s="68"/>
      <c r="AB107" s="71"/>
    </row>
    <row r="108" spans="1:28" ht="16.5" customHeight="1">
      <c r="A108" s="164">
        <v>93</v>
      </c>
      <c r="B108" s="165" t="s">
        <v>160</v>
      </c>
      <c r="C108" s="166" t="s">
        <v>19</v>
      </c>
      <c r="D108" s="31">
        <f>1901698.63*1533.263</f>
        <v>2915804146.5296898</v>
      </c>
      <c r="E108" s="32">
        <f t="shared" ref="E108:E113" si="42">(D108/$D$140)</f>
        <v>1.6307397394376211E-3</v>
      </c>
      <c r="F108" s="31">
        <f>110.4948*1533.263</f>
        <v>169417.5885324</v>
      </c>
      <c r="G108" s="31">
        <f>110.4948*1533.263</f>
        <v>169417.5885324</v>
      </c>
      <c r="H108" s="34">
        <v>298</v>
      </c>
      <c r="I108" s="53">
        <v>1.1000000000000001E-3</v>
      </c>
      <c r="J108" s="53">
        <v>3.8999999999999998E-3</v>
      </c>
      <c r="K108" s="31">
        <f>1918574.58*1478.22</f>
        <v>2836075315.6476002</v>
      </c>
      <c r="L108" s="32">
        <f t="shared" ref="L108:L123" si="43">(K108/$K$140)</f>
        <v>1.6394876968309515E-3</v>
      </c>
      <c r="M108" s="31">
        <f>110.597*1478.22</f>
        <v>163486.69733999998</v>
      </c>
      <c r="N108" s="31">
        <f>110.597*1478.22</f>
        <v>163486.69733999998</v>
      </c>
      <c r="O108" s="34">
        <v>298</v>
      </c>
      <c r="P108" s="53">
        <v>8.9999999999999998E-4</v>
      </c>
      <c r="Q108" s="53">
        <v>4.7999999999999996E-3</v>
      </c>
      <c r="R108" s="60">
        <f>((K108-D108)/D108)</f>
        <v>-2.7343685266714737E-2</v>
      </c>
      <c r="S108" s="60">
        <f>((N108-G108)/G108)</f>
        <v>-3.5007529287703024E-2</v>
      </c>
      <c r="T108" s="60">
        <f>((O108-H108)/H108)</f>
        <v>0</v>
      </c>
      <c r="U108" s="60">
        <f>P108-I108</f>
        <v>-2.0000000000000009E-4</v>
      </c>
      <c r="V108" s="61">
        <f>Q108-J108</f>
        <v>8.9999999999999976E-4</v>
      </c>
      <c r="X108" s="68"/>
      <c r="Y108" s="72"/>
      <c r="Z108" s="68"/>
      <c r="AA108" s="73"/>
    </row>
    <row r="109" spans="1:28" ht="16.5" customHeight="1">
      <c r="A109" s="164">
        <v>94</v>
      </c>
      <c r="B109" s="165" t="s">
        <v>161</v>
      </c>
      <c r="C109" s="166" t="s">
        <v>57</v>
      </c>
      <c r="D109" s="31">
        <f>1541380.13*1533.263</f>
        <v>2363341122.2641897</v>
      </c>
      <c r="E109" s="32">
        <f t="shared" si="42"/>
        <v>1.3217603420004182E-3</v>
      </c>
      <c r="F109" s="31">
        <f>100*1533.263</f>
        <v>153326.29999999999</v>
      </c>
      <c r="G109" s="31">
        <f>100*1533.263</f>
        <v>153326.29999999999</v>
      </c>
      <c r="H109" s="34">
        <v>37</v>
      </c>
      <c r="I109" s="53">
        <v>3.774E-3</v>
      </c>
      <c r="J109" s="53">
        <v>6.9917999999999994E-2</v>
      </c>
      <c r="K109" s="31">
        <f>1561523.87*1478.22</f>
        <v>2308275815.1114001</v>
      </c>
      <c r="L109" s="32">
        <f t="shared" si="43"/>
        <v>1.3343756348386802E-3</v>
      </c>
      <c r="M109" s="31">
        <f>100*1478.22</f>
        <v>147822</v>
      </c>
      <c r="N109" s="31">
        <f>100*1478.22</f>
        <v>147822</v>
      </c>
      <c r="O109" s="34">
        <v>39</v>
      </c>
      <c r="P109" s="53">
        <v>-1.6750000000000001E-3</v>
      </c>
      <c r="Q109" s="53">
        <v>6.8242999999999998E-2</v>
      </c>
      <c r="R109" s="60">
        <f>((K109-D109)/D109)</f>
        <v>-2.3299771088498004E-2</v>
      </c>
      <c r="S109" s="60">
        <f>((N109-G109)/G109)</f>
        <v>-3.5899255378887961E-2</v>
      </c>
      <c r="T109" s="60">
        <f>((O109-H109)/H109)</f>
        <v>5.4054054054054057E-2</v>
      </c>
      <c r="U109" s="60">
        <f>P109-I109</f>
        <v>-5.4489999999999999E-3</v>
      </c>
      <c r="V109" s="61">
        <f>Q109-J109</f>
        <v>-1.6749999999999959E-3</v>
      </c>
      <c r="X109" s="68"/>
      <c r="Y109" s="72"/>
      <c r="Z109" s="68"/>
      <c r="AA109" s="73"/>
    </row>
    <row r="110" spans="1:28">
      <c r="A110" s="164">
        <v>95</v>
      </c>
      <c r="B110" s="165" t="s">
        <v>162</v>
      </c>
      <c r="C110" s="166" t="s">
        <v>23</v>
      </c>
      <c r="D110" s="31">
        <f>10316622.64*1558</f>
        <v>16073298073.120001</v>
      </c>
      <c r="E110" s="32">
        <f t="shared" si="42"/>
        <v>8.9894123865826101E-3</v>
      </c>
      <c r="F110" s="31">
        <f>1.141*1558</f>
        <v>1777.6780000000001</v>
      </c>
      <c r="G110" s="31">
        <f>1.141*1558</f>
        <v>1777.6780000000001</v>
      </c>
      <c r="H110" s="34">
        <v>312</v>
      </c>
      <c r="I110" s="53">
        <v>6.4100000000000004E-2</v>
      </c>
      <c r="J110" s="53">
        <v>6.83E-2</v>
      </c>
      <c r="K110" s="31">
        <f>10164596.18*1503</f>
        <v>15277388058.539999</v>
      </c>
      <c r="L110" s="32">
        <f t="shared" si="43"/>
        <v>8.8316024696153302E-3</v>
      </c>
      <c r="M110" s="31">
        <f>1.1424*1503</f>
        <v>1717.0272000000002</v>
      </c>
      <c r="N110" s="31">
        <f>1.1424*1503</f>
        <v>1717.0272000000002</v>
      </c>
      <c r="O110" s="34">
        <v>310</v>
      </c>
      <c r="P110" s="53">
        <v>6.4000000000000001E-2</v>
      </c>
      <c r="Q110" s="53">
        <v>6.7400000000000002E-2</v>
      </c>
      <c r="R110" s="60">
        <f t="shared" ref="R110:R121" si="44">((K110-D110)/D110)</f>
        <v>-4.9517529691745901E-2</v>
      </c>
      <c r="S110" s="60">
        <f t="shared" ref="S110:S121" si="45">((N110-G110)/G110)</f>
        <v>-3.4117989872181509E-2</v>
      </c>
      <c r="T110" s="60">
        <f t="shared" ref="T110:T121" si="46">((O110-H110)/H110)</f>
        <v>-6.41025641025641E-3</v>
      </c>
      <c r="U110" s="60">
        <f t="shared" ref="U110:U121" si="47">P110-I110</f>
        <v>-1.0000000000000286E-4</v>
      </c>
      <c r="V110" s="61">
        <f t="shared" ref="V110:V121" si="48">Q110-J110</f>
        <v>-8.9999999999999802E-4</v>
      </c>
    </row>
    <row r="111" spans="1:28">
      <c r="A111" s="164">
        <v>96</v>
      </c>
      <c r="B111" s="165" t="s">
        <v>295</v>
      </c>
      <c r="C111" s="166" t="s">
        <v>23</v>
      </c>
      <c r="D111" s="31">
        <f>653987.04*1558</f>
        <v>1018911808.3200001</v>
      </c>
      <c r="E111" s="32">
        <f t="shared" si="42"/>
        <v>5.6985308110877036E-4</v>
      </c>
      <c r="F111" s="31">
        <f>1.0016*1558</f>
        <v>1560.4928</v>
      </c>
      <c r="G111" s="31">
        <f>1.0016*1558</f>
        <v>1560.4928</v>
      </c>
      <c r="H111" s="34">
        <v>8</v>
      </c>
      <c r="I111" s="53">
        <v>4.6899999999999997E-2</v>
      </c>
      <c r="J111" s="53">
        <v>2.4299999999999999E-2</v>
      </c>
      <c r="K111" s="31">
        <f>729392.95*1503</f>
        <v>1096277603.8499999</v>
      </c>
      <c r="L111" s="32">
        <f t="shared" si="43"/>
        <v>6.3373974376028895E-4</v>
      </c>
      <c r="M111" s="31">
        <f>1.0026*1503</f>
        <v>1506.9078</v>
      </c>
      <c r="N111" s="31">
        <f>1.0026*1503</f>
        <v>1506.9078</v>
      </c>
      <c r="O111" s="34">
        <v>12</v>
      </c>
      <c r="P111" s="53">
        <v>5.21E-2</v>
      </c>
      <c r="Q111" s="53">
        <v>3.0599999999999999E-2</v>
      </c>
      <c r="R111" s="60">
        <f t="shared" si="44"/>
        <v>7.5929825229488657E-2</v>
      </c>
      <c r="S111" s="60">
        <f t="shared" ref="S111" si="49">((N111-G111)/G111)</f>
        <v>-3.4338511526615205E-2</v>
      </c>
      <c r="T111" s="60">
        <f t="shared" ref="T111" si="50">((O111-H111)/H111)</f>
        <v>0.5</v>
      </c>
      <c r="U111" s="60">
        <f t="shared" ref="U111" si="51">P111-I111</f>
        <v>5.2000000000000032E-3</v>
      </c>
      <c r="V111" s="61">
        <f t="shared" ref="V111" si="52">Q111-J111</f>
        <v>6.3E-3</v>
      </c>
    </row>
    <row r="112" spans="1:28">
      <c r="A112" s="164">
        <v>97</v>
      </c>
      <c r="B112" s="165" t="s">
        <v>163</v>
      </c>
      <c r="C112" s="166" t="s">
        <v>27</v>
      </c>
      <c r="D112" s="31">
        <f>3529248.97*1533.263</f>
        <v>5411266863.48911</v>
      </c>
      <c r="E112" s="32">
        <f t="shared" si="42"/>
        <v>3.0263925392575446E-3</v>
      </c>
      <c r="F112" s="31">
        <f>1.081*1533.263</f>
        <v>1657.4573029999999</v>
      </c>
      <c r="G112" s="31">
        <f>1.081*1533.263</f>
        <v>1657.4573029999999</v>
      </c>
      <c r="H112" s="34">
        <v>305</v>
      </c>
      <c r="I112" s="53">
        <v>1.6999999999999999E-3</v>
      </c>
      <c r="J112" s="53">
        <v>5.4999999999999997E-3</v>
      </c>
      <c r="K112" s="31">
        <f>3734642.66*1478.22</f>
        <v>5520623472.8652</v>
      </c>
      <c r="L112" s="32">
        <f t="shared" si="43"/>
        <v>3.1913800781880569E-3</v>
      </c>
      <c r="M112" s="31">
        <f>1.0825*1478.22</f>
        <v>1600.1731500000001</v>
      </c>
      <c r="N112" s="31">
        <f>1.0825*1478.22</f>
        <v>1600.1731500000001</v>
      </c>
      <c r="O112" s="34">
        <v>310</v>
      </c>
      <c r="P112" s="53">
        <v>1.4E-3</v>
      </c>
      <c r="Q112" s="53">
        <v>6.8999999999999999E-3</v>
      </c>
      <c r="R112" s="60">
        <f t="shared" si="44"/>
        <v>2.020905864279967E-2</v>
      </c>
      <c r="S112" s="60">
        <f t="shared" ref="S112:T115" si="53">((N112-G112)/G112)</f>
        <v>-3.4561465261467333E-2</v>
      </c>
      <c r="T112" s="60">
        <f t="shared" si="53"/>
        <v>1.6393442622950821E-2</v>
      </c>
      <c r="U112" s="60">
        <f t="shared" si="47"/>
        <v>-2.9999999999999992E-4</v>
      </c>
      <c r="V112" s="61">
        <f t="shared" si="48"/>
        <v>1.4000000000000002E-3</v>
      </c>
    </row>
    <row r="113" spans="1:24">
      <c r="A113" s="164">
        <v>98</v>
      </c>
      <c r="B113" s="165" t="s">
        <v>164</v>
      </c>
      <c r="C113" s="166" t="s">
        <v>63</v>
      </c>
      <c r="D113" s="31">
        <f>419907.84*1533.263</f>
        <v>643829154.48192</v>
      </c>
      <c r="E113" s="32">
        <f t="shared" si="42"/>
        <v>3.6007829568106406E-4</v>
      </c>
      <c r="F113" s="31">
        <f>1.05*1533.263</f>
        <v>1609.92615</v>
      </c>
      <c r="G113" s="31">
        <f>1.06*1533.263</f>
        <v>1625.2587799999999</v>
      </c>
      <c r="H113" s="34">
        <v>18</v>
      </c>
      <c r="I113" s="53">
        <v>0.129</v>
      </c>
      <c r="J113" s="53">
        <v>0.16020000000000001</v>
      </c>
      <c r="K113" s="31">
        <f>427207.21*1478.22</f>
        <v>631506241.96619999</v>
      </c>
      <c r="L113" s="32">
        <f t="shared" si="43"/>
        <v>3.6506319435988598E-4</v>
      </c>
      <c r="M113" s="31">
        <f>1.06*1478.22</f>
        <v>1566.9132000000002</v>
      </c>
      <c r="N113" s="31">
        <f>1.07*1478.22</f>
        <v>1581.6954000000001</v>
      </c>
      <c r="O113" s="34">
        <v>18</v>
      </c>
      <c r="P113" s="53">
        <v>0.18360000000000001</v>
      </c>
      <c r="Q113" s="53">
        <v>0.14299999999999999</v>
      </c>
      <c r="R113" s="60">
        <f t="shared" si="44"/>
        <v>-1.9140034945506746E-2</v>
      </c>
      <c r="S113" s="60">
        <f t="shared" si="53"/>
        <v>-2.6803965335292529E-2</v>
      </c>
      <c r="T113" s="60">
        <f t="shared" si="53"/>
        <v>0</v>
      </c>
      <c r="U113" s="60">
        <f t="shared" si="47"/>
        <v>5.460000000000001E-2</v>
      </c>
      <c r="V113" s="61">
        <f t="shared" si="48"/>
        <v>-1.7200000000000021E-2</v>
      </c>
    </row>
    <row r="114" spans="1:24">
      <c r="A114" s="164">
        <v>99</v>
      </c>
      <c r="B114" s="165" t="s">
        <v>165</v>
      </c>
      <c r="C114" s="166" t="s">
        <v>29</v>
      </c>
      <c r="D114" s="31">
        <f>227569.8*1533.263</f>
        <v>348924354.25739998</v>
      </c>
      <c r="E114" s="32">
        <v>0</v>
      </c>
      <c r="F114" s="31">
        <f>1.213*1533.263</f>
        <v>1859.848019</v>
      </c>
      <c r="G114" s="31">
        <f>1.213*1533.263</f>
        <v>1859.848019</v>
      </c>
      <c r="H114" s="34">
        <v>38</v>
      </c>
      <c r="I114" s="53">
        <v>4.1199999999999999E-4</v>
      </c>
      <c r="J114" s="53">
        <v>9.7999999999999997E-3</v>
      </c>
      <c r="K114" s="31">
        <f>245472.61*1478.22</f>
        <v>362862521.55419999</v>
      </c>
      <c r="L114" s="32">
        <f t="shared" si="43"/>
        <v>2.0976475358283042E-4</v>
      </c>
      <c r="M114" s="31">
        <f>1.2166*1478.22</f>
        <v>1798.4024519999998</v>
      </c>
      <c r="N114" s="31">
        <f>1.2166*1478.22</f>
        <v>1798.4024519999998</v>
      </c>
      <c r="O114" s="34">
        <v>38</v>
      </c>
      <c r="P114" s="53">
        <v>9.859999999999999E-4</v>
      </c>
      <c r="Q114" s="53">
        <v>1.2800000000000001E-2</v>
      </c>
      <c r="R114" s="60">
        <f t="shared" si="44"/>
        <v>3.9946100427595527E-2</v>
      </c>
      <c r="S114" s="60">
        <f t="shared" si="53"/>
        <v>-3.3037950613318483E-2</v>
      </c>
      <c r="T114" s="60">
        <f t="shared" si="53"/>
        <v>0</v>
      </c>
      <c r="U114" s="60">
        <f t="shared" si="47"/>
        <v>5.7399999999999986E-4</v>
      </c>
      <c r="V114" s="61">
        <f t="shared" si="48"/>
        <v>3.0000000000000009E-3</v>
      </c>
    </row>
    <row r="115" spans="1:24">
      <c r="A115" s="164">
        <v>100</v>
      </c>
      <c r="B115" s="165" t="s">
        <v>166</v>
      </c>
      <c r="C115" s="166" t="s">
        <v>73</v>
      </c>
      <c r="D115" s="31">
        <f>417249.77*1601.528</f>
        <v>668237189.64856005</v>
      </c>
      <c r="E115" s="32">
        <f t="shared" ref="E115:E123" si="54">(D115/$D$140)</f>
        <v>3.7372912780406637E-4</v>
      </c>
      <c r="F115" s="31">
        <f>105.36*1601.528</f>
        <v>168736.99007999999</v>
      </c>
      <c r="G115" s="31">
        <f>105.5*1601.528</f>
        <v>168961.204</v>
      </c>
      <c r="H115" s="34">
        <v>45</v>
      </c>
      <c r="I115" s="53">
        <v>2.2000000000000001E-3</v>
      </c>
      <c r="J115" s="53">
        <v>1.9E-3</v>
      </c>
      <c r="K115" s="31">
        <f>433270.22*1478.22</f>
        <v>640468704.60839999</v>
      </c>
      <c r="L115" s="32">
        <f t="shared" si="43"/>
        <v>3.7024424408523102E-4</v>
      </c>
      <c r="M115" s="31">
        <f>105.59*1478.22</f>
        <v>156085.24980000002</v>
      </c>
      <c r="N115" s="31">
        <f>105.59*1478.22</f>
        <v>156085.24980000002</v>
      </c>
      <c r="O115" s="34">
        <v>45</v>
      </c>
      <c r="P115" s="53">
        <v>3.0999999999999999E-3</v>
      </c>
      <c r="Q115" s="53">
        <v>4.8999999999999998E-3</v>
      </c>
      <c r="R115" s="60">
        <f t="shared" si="44"/>
        <v>-4.1554833329111911E-2</v>
      </c>
      <c r="S115" s="60">
        <f t="shared" si="53"/>
        <v>-7.620657224956788E-2</v>
      </c>
      <c r="T115" s="60">
        <f t="shared" si="53"/>
        <v>0</v>
      </c>
      <c r="U115" s="60">
        <f t="shared" si="47"/>
        <v>8.9999999999999976E-4</v>
      </c>
      <c r="V115" s="61">
        <f t="shared" si="48"/>
        <v>3.0000000000000001E-3</v>
      </c>
    </row>
    <row r="116" spans="1:24">
      <c r="A116" s="164">
        <v>101</v>
      </c>
      <c r="B116" s="165" t="s">
        <v>167</v>
      </c>
      <c r="C116" s="166" t="s">
        <v>76</v>
      </c>
      <c r="D116" s="31">
        <v>5083660634.1091995</v>
      </c>
      <c r="E116" s="32">
        <f t="shared" si="54"/>
        <v>2.8431701860782421E-3</v>
      </c>
      <c r="F116" s="31">
        <v>171245.66959799998</v>
      </c>
      <c r="G116" s="31">
        <v>171245.66959799998</v>
      </c>
      <c r="H116" s="34">
        <v>58</v>
      </c>
      <c r="I116" s="53" t="s">
        <v>298</v>
      </c>
      <c r="J116" s="53">
        <v>6.9199999999999998E-2</v>
      </c>
      <c r="K116" s="31">
        <v>4922693963.4449997</v>
      </c>
      <c r="L116" s="32">
        <f t="shared" si="43"/>
        <v>2.8457270312263121E-3</v>
      </c>
      <c r="M116" s="31">
        <v>165267.656796</v>
      </c>
      <c r="N116" s="31">
        <v>165267.656796</v>
      </c>
      <c r="O116" s="34">
        <v>58</v>
      </c>
      <c r="P116" s="53" t="s">
        <v>303</v>
      </c>
      <c r="Q116" s="53">
        <v>6.6000000000000003E-2</v>
      </c>
      <c r="R116" s="60">
        <f t="shared" si="44"/>
        <v>-3.1663535835610657E-2</v>
      </c>
      <c r="S116" s="60">
        <f t="shared" si="45"/>
        <v>-3.4908986697493705E-2</v>
      </c>
      <c r="T116" s="60">
        <f t="shared" si="46"/>
        <v>0</v>
      </c>
      <c r="U116" s="60">
        <f t="shared" si="47"/>
        <v>-3.7000000000000002E-3</v>
      </c>
      <c r="V116" s="61">
        <f t="shared" si="48"/>
        <v>-3.1999999999999945E-3</v>
      </c>
      <c r="X116" s="69"/>
    </row>
    <row r="117" spans="1:24">
      <c r="A117" s="164">
        <v>102</v>
      </c>
      <c r="B117" s="165" t="s">
        <v>168</v>
      </c>
      <c r="C117" s="166" t="s">
        <v>31</v>
      </c>
      <c r="D117" s="31">
        <v>50680353438.75</v>
      </c>
      <c r="E117" s="32">
        <f t="shared" si="54"/>
        <v>2.8344313337943936E-2</v>
      </c>
      <c r="F117" s="31">
        <v>194523.65</v>
      </c>
      <c r="G117" s="31">
        <v>194523.65</v>
      </c>
      <c r="H117" s="34">
        <v>2303</v>
      </c>
      <c r="I117" s="53">
        <v>1.6999999999999999E-3</v>
      </c>
      <c r="J117" s="53">
        <v>5.1000000000000004E-3</v>
      </c>
      <c r="K117" s="31">
        <v>49022398749.290001</v>
      </c>
      <c r="L117" s="32">
        <f t="shared" si="43"/>
        <v>2.8339028648204156E-2</v>
      </c>
      <c r="M117" s="31">
        <v>187636.26</v>
      </c>
      <c r="N117" s="31">
        <v>187636.26</v>
      </c>
      <c r="O117" s="34">
        <v>2313</v>
      </c>
      <c r="P117" s="53">
        <v>1.5E-3</v>
      </c>
      <c r="Q117" s="53">
        <v>6.6E-3</v>
      </c>
      <c r="R117" s="60">
        <f t="shared" si="44"/>
        <v>-3.271395278376913E-2</v>
      </c>
      <c r="S117" s="60">
        <f t="shared" si="45"/>
        <v>-3.540644029659111E-2</v>
      </c>
      <c r="T117" s="60">
        <f t="shared" si="46"/>
        <v>4.3421623968736434E-3</v>
      </c>
      <c r="U117" s="60">
        <f t="shared" si="47"/>
        <v>-1.9999999999999987E-4</v>
      </c>
      <c r="V117" s="61">
        <f t="shared" si="48"/>
        <v>1.4999999999999996E-3</v>
      </c>
    </row>
    <row r="118" spans="1:24">
      <c r="A118" s="164">
        <v>103</v>
      </c>
      <c r="B118" s="171" t="s">
        <v>169</v>
      </c>
      <c r="C118" s="171" t="s">
        <v>31</v>
      </c>
      <c r="D118" s="31">
        <v>112491412121.47</v>
      </c>
      <c r="E118" s="32">
        <f t="shared" si="54"/>
        <v>6.2913764736313424E-2</v>
      </c>
      <c r="F118" s="31">
        <v>182809.97</v>
      </c>
      <c r="G118" s="31">
        <v>182809.97</v>
      </c>
      <c r="H118" s="34">
        <v>676</v>
      </c>
      <c r="I118" s="53">
        <v>1.6999999999999999E-3</v>
      </c>
      <c r="J118" s="53">
        <v>5.5999999999999999E-3</v>
      </c>
      <c r="K118" s="31">
        <v>109353221422.38</v>
      </c>
      <c r="L118" s="32">
        <f t="shared" si="43"/>
        <v>6.3215267994349664E-2</v>
      </c>
      <c r="M118" s="31">
        <v>176368.94</v>
      </c>
      <c r="N118" s="31">
        <v>176368.94</v>
      </c>
      <c r="O118" s="34">
        <v>683</v>
      </c>
      <c r="P118" s="53">
        <v>1.6999999999999999E-3</v>
      </c>
      <c r="Q118" s="53">
        <v>7.1999999999999998E-3</v>
      </c>
      <c r="R118" s="60">
        <f t="shared" si="44"/>
        <v>-2.7897158013283081E-2</v>
      </c>
      <c r="S118" s="60">
        <f t="shared" si="45"/>
        <v>-3.5233472222548905E-2</v>
      </c>
      <c r="T118" s="60">
        <f t="shared" si="46"/>
        <v>1.0355029585798817E-2</v>
      </c>
      <c r="U118" s="60">
        <f t="shared" si="47"/>
        <v>0</v>
      </c>
      <c r="V118" s="61">
        <f t="shared" si="48"/>
        <v>1.5999999999999999E-3</v>
      </c>
    </row>
    <row r="119" spans="1:24">
      <c r="A119" s="164">
        <v>104</v>
      </c>
      <c r="B119" s="165" t="s">
        <v>170</v>
      </c>
      <c r="C119" s="166" t="s">
        <v>35</v>
      </c>
      <c r="D119" s="31">
        <f>138287.95*1533.263</f>
        <v>212031797.08085001</v>
      </c>
      <c r="E119" s="32">
        <f t="shared" si="54"/>
        <v>1.185843287642074E-4</v>
      </c>
      <c r="F119" s="31">
        <f>114.27*1533.263</f>
        <v>175205.96300999998</v>
      </c>
      <c r="G119" s="31">
        <f>114.27*1533.263</f>
        <v>175205.96300999998</v>
      </c>
      <c r="H119" s="34">
        <v>7</v>
      </c>
      <c r="I119" s="53">
        <v>2.3E-3</v>
      </c>
      <c r="J119" s="53">
        <v>6.7000000000000002E-3</v>
      </c>
      <c r="K119" s="31">
        <f>138575.38*1478.22</f>
        <v>204844898.2236</v>
      </c>
      <c r="L119" s="32">
        <f t="shared" si="43"/>
        <v>1.1841740892536681E-4</v>
      </c>
      <c r="M119" s="31">
        <f>114.51*1478.22</f>
        <v>169270.97220000002</v>
      </c>
      <c r="N119" s="31">
        <f>114.51*1478.22</f>
        <v>169270.97220000002</v>
      </c>
      <c r="O119" s="34">
        <v>7</v>
      </c>
      <c r="P119" s="53">
        <v>2.0999999999999999E-3</v>
      </c>
      <c r="Q119" s="53">
        <v>8.8000000000000005E-3</v>
      </c>
      <c r="R119" s="60">
        <f t="shared" si="44"/>
        <v>-3.3895382467137997E-2</v>
      </c>
      <c r="S119" s="60">
        <f t="shared" si="45"/>
        <v>-3.3874365392810385E-2</v>
      </c>
      <c r="T119" s="60">
        <f t="shared" si="46"/>
        <v>0</v>
      </c>
      <c r="U119" s="60">
        <f t="shared" si="47"/>
        <v>-2.0000000000000009E-4</v>
      </c>
      <c r="V119" s="61">
        <f t="shared" si="48"/>
        <v>2.1000000000000003E-3</v>
      </c>
    </row>
    <row r="120" spans="1:24">
      <c r="A120" s="164">
        <v>105</v>
      </c>
      <c r="B120" s="165" t="s">
        <v>171</v>
      </c>
      <c r="C120" s="166" t="s">
        <v>41</v>
      </c>
      <c r="D120" s="31">
        <f>10198154.81*1533.263</f>
        <v>15636453438.44503</v>
      </c>
      <c r="E120" s="32">
        <f t="shared" si="54"/>
        <v>8.7450955978255734E-3</v>
      </c>
      <c r="F120" s="31">
        <f>1.39*1533.263</f>
        <v>2131.2355699999998</v>
      </c>
      <c r="G120" s="31">
        <f>1.39*1533.263</f>
        <v>2131.2355699999998</v>
      </c>
      <c r="H120" s="49">
        <v>112</v>
      </c>
      <c r="I120" s="56">
        <v>8.9999999999999998E-4</v>
      </c>
      <c r="J120" s="56">
        <v>4.9299999999999997E-2</v>
      </c>
      <c r="K120" s="31">
        <f>10360267.16*1478.22</f>
        <v>15314754121.255201</v>
      </c>
      <c r="L120" s="32">
        <f t="shared" si="43"/>
        <v>8.8532031653946672E-3</v>
      </c>
      <c r="M120" s="31">
        <f>1.39*1478.22</f>
        <v>2054.7257999999997</v>
      </c>
      <c r="N120" s="31">
        <f>1.39*1478.22</f>
        <v>2054.7257999999997</v>
      </c>
      <c r="O120" s="49">
        <v>113</v>
      </c>
      <c r="P120" s="56">
        <v>6.9999999999999999E-4</v>
      </c>
      <c r="Q120" s="56">
        <v>4.6800000000000001E-2</v>
      </c>
      <c r="R120" s="60">
        <f t="shared" si="44"/>
        <v>-2.0573675383375189E-2</v>
      </c>
      <c r="S120" s="60">
        <f t="shared" si="45"/>
        <v>-3.5899255378888092E-2</v>
      </c>
      <c r="T120" s="60">
        <f t="shared" si="46"/>
        <v>8.9285714285714281E-3</v>
      </c>
      <c r="U120" s="60">
        <f t="shared" si="47"/>
        <v>-1.9999999999999998E-4</v>
      </c>
      <c r="V120" s="61">
        <f t="shared" si="48"/>
        <v>-2.4999999999999953E-3</v>
      </c>
    </row>
    <row r="121" spans="1:24">
      <c r="A121" s="164">
        <v>106</v>
      </c>
      <c r="B121" s="165" t="s">
        <v>172</v>
      </c>
      <c r="C121" s="166" t="s">
        <v>90</v>
      </c>
      <c r="D121" s="31">
        <f>20268255*1533.263</f>
        <v>31076565466.064999</v>
      </c>
      <c r="E121" s="32">
        <f t="shared" si="54"/>
        <v>1.7380382125823619E-2</v>
      </c>
      <c r="F121" s="31">
        <f>103.79*1533.263</f>
        <v>159137.36676999999</v>
      </c>
      <c r="G121" s="31">
        <f>103.79*1533.263</f>
        <v>159137.36676999999</v>
      </c>
      <c r="H121" s="34">
        <v>512</v>
      </c>
      <c r="I121" s="56">
        <v>1.6999999999999999E-3</v>
      </c>
      <c r="J121" s="53">
        <v>9.6699999999999994E-2</v>
      </c>
      <c r="K121" s="31">
        <f>20524338*1478.22</f>
        <v>30339486918.360001</v>
      </c>
      <c r="L121" s="32">
        <f t="shared" si="43"/>
        <v>1.7538749854905288E-2</v>
      </c>
      <c r="M121" s="31">
        <f>104*1478.22</f>
        <v>153734.88</v>
      </c>
      <c r="N121" s="31">
        <f>104.3*1478.22</f>
        <v>154178.34599999999</v>
      </c>
      <c r="O121" s="34">
        <v>512</v>
      </c>
      <c r="P121" s="56">
        <v>2E-3</v>
      </c>
      <c r="Q121" s="53">
        <v>9.9000000000000005E-2</v>
      </c>
      <c r="R121" s="60">
        <f t="shared" si="44"/>
        <v>-2.3718146991174856E-2</v>
      </c>
      <c r="S121" s="60">
        <f t="shared" si="45"/>
        <v>-3.1161887812101587E-2</v>
      </c>
      <c r="T121" s="60">
        <f t="shared" si="46"/>
        <v>0</v>
      </c>
      <c r="U121" s="60">
        <f t="shared" si="47"/>
        <v>3.0000000000000014E-4</v>
      </c>
      <c r="V121" s="61">
        <f t="shared" si="48"/>
        <v>2.3000000000000104E-3</v>
      </c>
    </row>
    <row r="122" spans="1:24">
      <c r="A122" s="164">
        <v>107</v>
      </c>
      <c r="B122" s="165" t="s">
        <v>173</v>
      </c>
      <c r="C122" s="166" t="s">
        <v>45</v>
      </c>
      <c r="D122" s="31">
        <f>1704422.15*1533.263</f>
        <v>2613327418.9754496</v>
      </c>
      <c r="E122" s="32">
        <f t="shared" si="54"/>
        <v>1.4615717174822332E-3</v>
      </c>
      <c r="F122" s="31">
        <f>136.885545*1533.263</f>
        <v>209881.54138333499</v>
      </c>
      <c r="G122" s="31">
        <f>140.88886*1533.263</f>
        <v>216019.67615017999</v>
      </c>
      <c r="H122" s="34">
        <v>50</v>
      </c>
      <c r="I122" s="53">
        <v>-7.6E-3</v>
      </c>
      <c r="J122" s="53">
        <v>4.02E-2</v>
      </c>
      <c r="K122" s="31">
        <f>1715060.64*1478.22</f>
        <v>2535236939.2607999</v>
      </c>
      <c r="L122" s="32">
        <f t="shared" si="43"/>
        <v>1.4655780640015659E-3</v>
      </c>
      <c r="M122" s="31">
        <f>137.046535*1478.22</f>
        <v>202584.92896770002</v>
      </c>
      <c r="N122" s="31">
        <f>141.016378*1478.22</f>
        <v>208453.23028716</v>
      </c>
      <c r="O122" s="34">
        <v>51</v>
      </c>
      <c r="P122" s="53">
        <v>5.0000000000000001E-4</v>
      </c>
      <c r="Q122" s="53">
        <v>4.1200000000000001E-2</v>
      </c>
      <c r="R122" s="60">
        <f t="shared" ref="R122:R123" si="55">((K122-D122)/D122)</f>
        <v>-2.9881628741822527E-2</v>
      </c>
      <c r="S122" s="60">
        <f t="shared" ref="S122:S123" si="56">((N122-G122)/G122)</f>
        <v>-3.5026651265599035E-2</v>
      </c>
      <c r="T122" s="60">
        <f t="shared" ref="T122:T123" si="57">((O122-H122)/H122)</f>
        <v>0.02</v>
      </c>
      <c r="U122" s="60">
        <f t="shared" ref="U122:U123" si="58">P122-I122</f>
        <v>8.0999999999999996E-3</v>
      </c>
      <c r="V122" s="61">
        <f t="shared" ref="V122:V123" si="59">Q122-J122</f>
        <v>1.0000000000000009E-3</v>
      </c>
    </row>
    <row r="123" spans="1:24">
      <c r="A123" s="164">
        <v>108</v>
      </c>
      <c r="B123" s="165" t="s">
        <v>174</v>
      </c>
      <c r="C123" s="166" t="s">
        <v>52</v>
      </c>
      <c r="D123" s="35">
        <f>125035472.39*1531.2</f>
        <v>191454315323.56799</v>
      </c>
      <c r="E123" s="32">
        <f t="shared" si="54"/>
        <v>0.10707583383354119</v>
      </c>
      <c r="F123" s="31">
        <f>125.0192*1531.2</f>
        <v>191429.39903999999</v>
      </c>
      <c r="G123" s="31">
        <f>125.0192*1531.2</f>
        <v>191429.39903999999</v>
      </c>
      <c r="H123" s="34">
        <v>3479</v>
      </c>
      <c r="I123" s="53">
        <v>5.7700000000000001E-2</v>
      </c>
      <c r="J123" s="53">
        <v>5.9700000000000003E-2</v>
      </c>
      <c r="K123" s="35">
        <f>124966016.96*1474.78</f>
        <v>184297382492.2688</v>
      </c>
      <c r="L123" s="32">
        <f t="shared" si="43"/>
        <v>0.10653923380917966</v>
      </c>
      <c r="M123" s="31">
        <f>125.1358*1474.78</f>
        <v>184547.77512400001</v>
      </c>
      <c r="N123" s="31">
        <f>125.1358*1474.78</f>
        <v>184547.77512400001</v>
      </c>
      <c r="O123" s="34">
        <v>3487</v>
      </c>
      <c r="P123" s="53">
        <v>4.9799999999999997E-2</v>
      </c>
      <c r="Q123" s="53">
        <v>5.74E-2</v>
      </c>
      <c r="R123" s="60">
        <f t="shared" si="55"/>
        <v>-3.7381935315501227E-2</v>
      </c>
      <c r="S123" s="60">
        <f t="shared" si="56"/>
        <v>-3.5948626232494403E-2</v>
      </c>
      <c r="T123" s="60">
        <f t="shared" si="57"/>
        <v>2.2995113538373095E-3</v>
      </c>
      <c r="U123" s="60">
        <f t="shared" si="58"/>
        <v>-7.9000000000000042E-3</v>
      </c>
      <c r="V123" s="61">
        <f t="shared" si="59"/>
        <v>-2.3000000000000034E-3</v>
      </c>
    </row>
    <row r="124" spans="1:24" ht="6" customHeight="1">
      <c r="A124" s="38"/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</row>
    <row r="125" spans="1:24">
      <c r="A125" s="184" t="s">
        <v>175</v>
      </c>
      <c r="B125" s="184"/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</row>
    <row r="126" spans="1:24">
      <c r="A126" s="164">
        <v>109</v>
      </c>
      <c r="B126" s="165" t="s">
        <v>176</v>
      </c>
      <c r="C126" s="166" t="s">
        <v>119</v>
      </c>
      <c r="D126" s="35">
        <f>1259582.86*1533.263</f>
        <v>1931271794.6721799</v>
      </c>
      <c r="E126" s="32">
        <f t="shared" ref="E126:E137" si="60">(D126/$D$140)</f>
        <v>1.0801142686401861E-3</v>
      </c>
      <c r="F126" s="31">
        <f>112.21*1533.263</f>
        <v>172047.44122999997</v>
      </c>
      <c r="G126" s="31">
        <f>112.21*1533.263</f>
        <v>172047.44122999997</v>
      </c>
      <c r="H126" s="34">
        <v>22</v>
      </c>
      <c r="I126" s="53">
        <v>1.704E-2</v>
      </c>
      <c r="J126" s="53">
        <v>3.3000000000000002E-2</v>
      </c>
      <c r="K126" s="35">
        <f>1265968.88*1478.22</f>
        <v>1871380517.7935998</v>
      </c>
      <c r="L126" s="32">
        <f t="shared" ref="L126:L139" si="61">(K126/$K$140)</f>
        <v>1.0818137720405214E-3</v>
      </c>
      <c r="M126" s="31">
        <f>112.78*1478.22</f>
        <v>166713.65160000001</v>
      </c>
      <c r="N126" s="31">
        <f>112.78*1478.22</f>
        <v>166713.65160000001</v>
      </c>
      <c r="O126" s="34">
        <v>22</v>
      </c>
      <c r="P126" s="53">
        <v>2.9399999999999999E-3</v>
      </c>
      <c r="Q126" s="53">
        <v>3.6400000000000002E-2</v>
      </c>
      <c r="R126" s="60">
        <f>((K126-D126)/D126)</f>
        <v>-3.1011314432180286E-2</v>
      </c>
      <c r="S126" s="60">
        <f>((N126-G126)/G126)</f>
        <v>-3.1001853860003245E-2</v>
      </c>
      <c r="T126" s="60">
        <f>((O126-H126)/H126)</f>
        <v>0</v>
      </c>
      <c r="U126" s="60">
        <f>P126-I126</f>
        <v>-1.41E-2</v>
      </c>
      <c r="V126" s="61">
        <f>Q126-J126</f>
        <v>3.4000000000000002E-3</v>
      </c>
    </row>
    <row r="127" spans="1:24">
      <c r="A127" s="164">
        <v>110</v>
      </c>
      <c r="B127" s="166" t="s">
        <v>177</v>
      </c>
      <c r="C127" s="166" t="s">
        <v>25</v>
      </c>
      <c r="D127" s="31">
        <f>11125981.32*1533.263</f>
        <v>17059055496.64716</v>
      </c>
      <c r="E127" s="32">
        <f t="shared" si="60"/>
        <v>9.5407230107562527E-3</v>
      </c>
      <c r="F127" s="35">
        <f>134.23*1533.263</f>
        <v>205809.89248999997</v>
      </c>
      <c r="G127" s="35">
        <f>134.23*1533.263</f>
        <v>205809.89248999997</v>
      </c>
      <c r="H127" s="34">
        <v>514</v>
      </c>
      <c r="I127" s="53">
        <v>5.0000000000000001E-4</v>
      </c>
      <c r="J127" s="53">
        <v>3.5999999999999999E-3</v>
      </c>
      <c r="K127" s="31">
        <f>11055067.32*1478.22</f>
        <v>16341821613.770401</v>
      </c>
      <c r="L127" s="32">
        <f t="shared" si="61"/>
        <v>9.4469337015702145E-3</v>
      </c>
      <c r="M127" s="35">
        <f>134.37*1478.22</f>
        <v>198628.42140000002</v>
      </c>
      <c r="N127" s="35">
        <f>134.37*1478.22</f>
        <v>198628.42140000002</v>
      </c>
      <c r="O127" s="34">
        <v>522</v>
      </c>
      <c r="P127" s="53">
        <v>5.0000000000000001E-4</v>
      </c>
      <c r="Q127" s="53">
        <v>4.7000000000000002E-3</v>
      </c>
      <c r="R127" s="60">
        <f t="shared" ref="R127:R140" si="62">((K127-D127)/D127)</f>
        <v>-4.2044173138291625E-2</v>
      </c>
      <c r="S127" s="60">
        <f t="shared" ref="S127:S140" si="63">((N127-G127)/G127)</f>
        <v>-3.4893711877085239E-2</v>
      </c>
      <c r="T127" s="60">
        <f t="shared" ref="T127:T140" si="64">((O127-H127)/H127)</f>
        <v>1.556420233463035E-2</v>
      </c>
      <c r="U127" s="60">
        <f t="shared" ref="U127:U140" si="65">P127-I127</f>
        <v>0</v>
      </c>
      <c r="V127" s="61">
        <f t="shared" ref="V127:V140" si="66">Q127-J127</f>
        <v>1.1000000000000003E-3</v>
      </c>
    </row>
    <row r="128" spans="1:24">
      <c r="A128" s="164">
        <v>111</v>
      </c>
      <c r="B128" s="165" t="s">
        <v>178</v>
      </c>
      <c r="C128" s="166" t="s">
        <v>67</v>
      </c>
      <c r="D128" s="35">
        <v>16211213399.1</v>
      </c>
      <c r="E128" s="32">
        <f t="shared" si="60"/>
        <v>9.0665451401733318E-3</v>
      </c>
      <c r="F128" s="35">
        <v>181935</v>
      </c>
      <c r="G128" s="35">
        <v>181935</v>
      </c>
      <c r="H128" s="34">
        <v>656</v>
      </c>
      <c r="I128" s="53">
        <v>1.4E-3</v>
      </c>
      <c r="J128" s="53">
        <v>6.3700000000000007E-2</v>
      </c>
      <c r="K128" s="35">
        <v>15898965321.9</v>
      </c>
      <c r="L128" s="32">
        <f t="shared" si="61"/>
        <v>9.1909258875393987E-3</v>
      </c>
      <c r="M128" s="35">
        <v>178261.32</v>
      </c>
      <c r="N128" s="35">
        <v>178261.32</v>
      </c>
      <c r="O128" s="34">
        <v>656</v>
      </c>
      <c r="P128" s="53">
        <v>1.1000000000000001E-3</v>
      </c>
      <c r="Q128" s="53">
        <v>6.3700000000000007E-2</v>
      </c>
      <c r="R128" s="60">
        <f t="shared" si="62"/>
        <v>-1.9261240322537232E-2</v>
      </c>
      <c r="S128" s="60">
        <f t="shared" si="63"/>
        <v>-2.0192266468793761E-2</v>
      </c>
      <c r="T128" s="60">
        <f t="shared" si="64"/>
        <v>0</v>
      </c>
      <c r="U128" s="60">
        <f t="shared" si="65"/>
        <v>-2.9999999999999992E-4</v>
      </c>
      <c r="V128" s="61">
        <f t="shared" si="66"/>
        <v>0</v>
      </c>
    </row>
    <row r="129" spans="1:24">
      <c r="A129" s="164">
        <v>112</v>
      </c>
      <c r="B129" s="165" t="s">
        <v>179</v>
      </c>
      <c r="C129" s="166" t="s">
        <v>65</v>
      </c>
      <c r="D129" s="35">
        <v>6619718102.8115854</v>
      </c>
      <c r="E129" s="32">
        <f t="shared" si="60"/>
        <v>3.7022505050544724E-3</v>
      </c>
      <c r="F129" s="35">
        <v>1961.5556471548043</v>
      </c>
      <c r="G129" s="35">
        <v>1961.5556471548043</v>
      </c>
      <c r="H129" s="34">
        <v>228</v>
      </c>
      <c r="I129" s="53">
        <v>5.4590414338424327E-2</v>
      </c>
      <c r="J129" s="53">
        <v>5.6074708309119176E-2</v>
      </c>
      <c r="K129" s="35">
        <v>6493937682.5253172</v>
      </c>
      <c r="L129" s="32">
        <f t="shared" si="61"/>
        <v>3.7540367407542011E-3</v>
      </c>
      <c r="M129" s="35">
        <v>1897.7857588476481</v>
      </c>
      <c r="N129" s="35">
        <v>1897.7857588476481</v>
      </c>
      <c r="O129" s="34">
        <v>229</v>
      </c>
      <c r="P129" s="53">
        <v>4.7183923725064109E-2</v>
      </c>
      <c r="Q129" s="53">
        <v>5.4106395798943781E-2</v>
      </c>
      <c r="R129" s="60">
        <f t="shared" si="62"/>
        <v>-1.9000872594989456E-2</v>
      </c>
      <c r="S129" s="60">
        <f t="shared" si="63"/>
        <v>-3.2509854308570382E-2</v>
      </c>
      <c r="T129" s="60">
        <f t="shared" si="64"/>
        <v>4.3859649122807015E-3</v>
      </c>
      <c r="U129" s="60">
        <f t="shared" si="65"/>
        <v>-7.4064906133602185E-3</v>
      </c>
      <c r="V129" s="61">
        <f t="shared" si="66"/>
        <v>-1.9683125101753948E-3</v>
      </c>
    </row>
    <row r="130" spans="1:24">
      <c r="A130" s="164">
        <v>113</v>
      </c>
      <c r="B130" s="165" t="s">
        <v>180</v>
      </c>
      <c r="C130" s="166" t="s">
        <v>37</v>
      </c>
      <c r="D130" s="35">
        <v>77229543455.599991</v>
      </c>
      <c r="E130" s="32">
        <f t="shared" si="60"/>
        <v>4.3192642318436732E-2</v>
      </c>
      <c r="F130" s="35">
        <f>100*1535</f>
        <v>153500</v>
      </c>
      <c r="G130" s="35">
        <f>100*1535</f>
        <v>153500</v>
      </c>
      <c r="H130" s="34">
        <v>1906</v>
      </c>
      <c r="I130" s="53">
        <v>4.2500000000000003E-2</v>
      </c>
      <c r="J130" s="53">
        <v>4.5616700000000003E-2</v>
      </c>
      <c r="K130" s="35">
        <v>74514557532.75</v>
      </c>
      <c r="L130" s="32">
        <f t="shared" si="61"/>
        <v>4.307561919661148E-2</v>
      </c>
      <c r="M130" s="35">
        <f>100*1478.22</f>
        <v>147822</v>
      </c>
      <c r="N130" s="35">
        <f>100*1478.22</f>
        <v>147822</v>
      </c>
      <c r="O130" s="34">
        <v>1928</v>
      </c>
      <c r="P130" s="53">
        <v>3.9800000000000002E-2</v>
      </c>
      <c r="Q130" s="53">
        <v>4.4323300000000003E-2</v>
      </c>
      <c r="R130" s="60">
        <f t="shared" si="62"/>
        <v>-3.5154758158202272E-2</v>
      </c>
      <c r="S130" s="60">
        <f t="shared" si="63"/>
        <v>-3.6990228013029314E-2</v>
      </c>
      <c r="T130" s="60">
        <f t="shared" si="64"/>
        <v>1.1542497376705142E-2</v>
      </c>
      <c r="U130" s="60">
        <f t="shared" si="65"/>
        <v>-2.700000000000001E-3</v>
      </c>
      <c r="V130" s="61">
        <f t="shared" si="66"/>
        <v>-1.2934000000000001E-3</v>
      </c>
    </row>
    <row r="131" spans="1:24" ht="15.6">
      <c r="A131" s="167">
        <v>114</v>
      </c>
      <c r="B131" s="165" t="s">
        <v>181</v>
      </c>
      <c r="C131" s="166" t="s">
        <v>136</v>
      </c>
      <c r="D131" s="35">
        <f>1076314.65*1533.263</f>
        <v>1650273429.2029498</v>
      </c>
      <c r="E131" s="32">
        <f t="shared" si="60"/>
        <v>9.2295858250362962E-4</v>
      </c>
      <c r="F131" s="35">
        <f>1.1013*1533.263</f>
        <v>1688.5825418999998</v>
      </c>
      <c r="G131" s="35">
        <f>1.14*1533.263</f>
        <v>1747.9198199999998</v>
      </c>
      <c r="H131" s="34">
        <v>47</v>
      </c>
      <c r="I131" s="53">
        <v>1.9E-3</v>
      </c>
      <c r="J131" s="53">
        <v>9.9599999999999994E-2</v>
      </c>
      <c r="K131" s="35">
        <f>1108788.72*1478.22</f>
        <v>1639033661.6784</v>
      </c>
      <c r="L131" s="32">
        <f t="shared" si="61"/>
        <v>9.4749794132315598E-4</v>
      </c>
      <c r="M131" s="35">
        <f>1.1*1478.22</f>
        <v>1626.0420000000001</v>
      </c>
      <c r="N131" s="35">
        <f>1.13*1478.22</f>
        <v>1670.3885999999998</v>
      </c>
      <c r="O131" s="34">
        <v>47</v>
      </c>
      <c r="P131" s="53">
        <v>1.9E-3</v>
      </c>
      <c r="Q131" s="53">
        <v>9.9599999999999994E-2</v>
      </c>
      <c r="R131" s="60">
        <f t="shared" si="62"/>
        <v>-6.810851659884213E-3</v>
      </c>
      <c r="S131" s="60">
        <f t="shared" si="63"/>
        <v>-4.4356279454511871E-2</v>
      </c>
      <c r="T131" s="60">
        <f t="shared" si="64"/>
        <v>0</v>
      </c>
      <c r="U131" s="60">
        <f t="shared" si="65"/>
        <v>0</v>
      </c>
      <c r="V131" s="61">
        <f t="shared" si="66"/>
        <v>0</v>
      </c>
      <c r="X131" s="70"/>
    </row>
    <row r="132" spans="1:24" ht="15.6">
      <c r="A132" s="164">
        <v>115</v>
      </c>
      <c r="B132" s="165" t="s">
        <v>182</v>
      </c>
      <c r="C132" s="166" t="s">
        <v>43</v>
      </c>
      <c r="D132" s="31">
        <f>2686774.57*1601.528</f>
        <v>4302944703.5429602</v>
      </c>
      <c r="E132" s="32">
        <f t="shared" si="60"/>
        <v>2.406534380240031E-3</v>
      </c>
      <c r="F132" s="35">
        <f>10.40382*1601.528</f>
        <v>16662.00903696</v>
      </c>
      <c r="G132" s="35">
        <f>10.40382*1601.528</f>
        <v>16662.00903696</v>
      </c>
      <c r="H132" s="34">
        <v>68</v>
      </c>
      <c r="I132" s="53">
        <v>7.6899999999999996E-2</v>
      </c>
      <c r="J132" s="53">
        <v>9.6600000000000005E-2</v>
      </c>
      <c r="K132" s="31">
        <f>2720871.02*1478.22</f>
        <v>4022045959.1844001</v>
      </c>
      <c r="L132" s="32">
        <f t="shared" si="61"/>
        <v>2.3250774864086239E-3</v>
      </c>
      <c r="M132" s="35">
        <f>10.41637*1478.22</f>
        <v>15397.686461400001</v>
      </c>
      <c r="N132" s="35">
        <f>10.41637*1478.22</f>
        <v>15397.686461400001</v>
      </c>
      <c r="O132" s="34">
        <v>68</v>
      </c>
      <c r="P132" s="53">
        <v>7.5899999999999995E-2</v>
      </c>
      <c r="Q132" s="53">
        <v>9.6100000000000005E-2</v>
      </c>
      <c r="R132" s="60">
        <f t="shared" si="62"/>
        <v>-6.5280584276919379E-2</v>
      </c>
      <c r="S132" s="60">
        <f t="shared" si="63"/>
        <v>-7.588055994660993E-2</v>
      </c>
      <c r="T132" s="60">
        <f t="shared" si="64"/>
        <v>0</v>
      </c>
      <c r="U132" s="60">
        <f t="shared" si="65"/>
        <v>-1.0000000000000009E-3</v>
      </c>
      <c r="V132" s="61">
        <f t="shared" si="66"/>
        <v>-5.0000000000000044E-4</v>
      </c>
      <c r="X132" s="70"/>
    </row>
    <row r="133" spans="1:24" ht="15.6">
      <c r="A133" s="164">
        <v>116</v>
      </c>
      <c r="B133" s="166" t="s">
        <v>183</v>
      </c>
      <c r="C133" s="172" t="s">
        <v>47</v>
      </c>
      <c r="D133" s="35">
        <v>25806864490.150002</v>
      </c>
      <c r="E133" s="32">
        <f t="shared" si="60"/>
        <v>1.4433164012218299E-2</v>
      </c>
      <c r="F133" s="35">
        <f>1.06*1533.263</f>
        <v>1625.2587799999999</v>
      </c>
      <c r="G133" s="35">
        <f>1.06*1533.263</f>
        <v>1625.2587799999999</v>
      </c>
      <c r="H133" s="34">
        <v>460</v>
      </c>
      <c r="I133" s="53">
        <v>-5.1999999999999998E-3</v>
      </c>
      <c r="J133" s="53">
        <v>1.6899999999999998E-2</v>
      </c>
      <c r="K133" s="35">
        <v>24606564714.509998</v>
      </c>
      <c r="L133" s="32">
        <f t="shared" si="61"/>
        <v>1.4224643431763686E-2</v>
      </c>
      <c r="M133" s="35">
        <f>1.0532*1478.22</f>
        <v>1556.8613039999998</v>
      </c>
      <c r="N133" s="35">
        <f>1.0532*1478.22</f>
        <v>1556.8613039999998</v>
      </c>
      <c r="O133" s="34">
        <v>460</v>
      </c>
      <c r="P133" s="53">
        <v>-6.1000000000000004E-3</v>
      </c>
      <c r="Q133" s="53">
        <v>1.0999999999999999E-2</v>
      </c>
      <c r="R133" s="60">
        <f t="shared" si="62"/>
        <v>-4.6510872178917174E-2</v>
      </c>
      <c r="S133" s="60">
        <f t="shared" si="63"/>
        <v>-4.2084052608532964E-2</v>
      </c>
      <c r="T133" s="60">
        <f t="shared" si="64"/>
        <v>0</v>
      </c>
      <c r="U133" s="60">
        <f t="shared" si="65"/>
        <v>-9.0000000000000063E-4</v>
      </c>
      <c r="V133" s="61">
        <f t="shared" si="66"/>
        <v>-5.899999999999999E-3</v>
      </c>
      <c r="X133" s="70"/>
    </row>
    <row r="134" spans="1:24">
      <c r="A134" s="164">
        <v>117</v>
      </c>
      <c r="B134" s="165" t="s">
        <v>184</v>
      </c>
      <c r="C134" s="166" t="s">
        <v>92</v>
      </c>
      <c r="D134" s="31">
        <f>341173.64*1549.22</f>
        <v>528553026.56080002</v>
      </c>
      <c r="E134" s="32">
        <f t="shared" si="60"/>
        <v>2.9560710579226436E-4</v>
      </c>
      <c r="F134" s="35">
        <f>1.12*1549.22</f>
        <v>1735.1264000000001</v>
      </c>
      <c r="G134" s="35">
        <f>1.12*1549.22</f>
        <v>1735.1264000000001</v>
      </c>
      <c r="H134" s="34">
        <v>3</v>
      </c>
      <c r="I134" s="53">
        <v>2.8400000000000002E-4</v>
      </c>
      <c r="J134" s="53">
        <v>1.1575999999999999E-2</v>
      </c>
      <c r="K134" s="31">
        <f>343406.72*1497.5</f>
        <v>514251563.19999993</v>
      </c>
      <c r="L134" s="32">
        <f t="shared" si="61"/>
        <v>2.9728022605421032E-4</v>
      </c>
      <c r="M134" s="35">
        <f>1.13*1497.5</f>
        <v>1692.1749999999997</v>
      </c>
      <c r="N134" s="35">
        <f>1.13*1497.5</f>
        <v>1692.1749999999997</v>
      </c>
      <c r="O134" s="34">
        <v>3</v>
      </c>
      <c r="P134" s="53">
        <v>6.5449999999999996E-3</v>
      </c>
      <c r="Q134" s="53">
        <v>1.8197000000000001E-2</v>
      </c>
      <c r="R134" s="60">
        <f t="shared" si="62"/>
        <v>-2.7057764580135226E-2</v>
      </c>
      <c r="S134" s="60">
        <f t="shared" si="63"/>
        <v>-2.4754046736883476E-2</v>
      </c>
      <c r="T134" s="60">
        <f t="shared" si="64"/>
        <v>0</v>
      </c>
      <c r="U134" s="60">
        <f t="shared" si="65"/>
        <v>6.2609999999999992E-3</v>
      </c>
      <c r="V134" s="61">
        <f t="shared" si="66"/>
        <v>6.6210000000000019E-3</v>
      </c>
    </row>
    <row r="135" spans="1:24">
      <c r="A135" s="164">
        <v>118</v>
      </c>
      <c r="B135" s="165" t="s">
        <v>185</v>
      </c>
      <c r="C135" s="166" t="s">
        <v>49</v>
      </c>
      <c r="D135" s="31">
        <v>996568139933.40002</v>
      </c>
      <c r="E135" s="32">
        <f t="shared" si="60"/>
        <v>0.55735680010642297</v>
      </c>
      <c r="F135" s="35">
        <v>2450.25</v>
      </c>
      <c r="G135" s="35">
        <v>2450.25</v>
      </c>
      <c r="H135" s="34">
        <v>9576</v>
      </c>
      <c r="I135" s="53">
        <v>1.2999999999999999E-3</v>
      </c>
      <c r="J135" s="53">
        <v>4.4000000000000003E-3</v>
      </c>
      <c r="K135" s="31">
        <v>961018124100.13</v>
      </c>
      <c r="L135" s="32">
        <f t="shared" si="61"/>
        <v>0.55554850119837185</v>
      </c>
      <c r="M135" s="35">
        <v>2371.59</v>
      </c>
      <c r="N135" s="35">
        <v>2371.59</v>
      </c>
      <c r="O135" s="34">
        <v>9663</v>
      </c>
      <c r="P135" s="53">
        <v>1.2999999999999999E-3</v>
      </c>
      <c r="Q135" s="53">
        <v>5.7999999999999996E-3</v>
      </c>
      <c r="R135" s="60">
        <f t="shared" si="62"/>
        <v>-3.5672438650954465E-2</v>
      </c>
      <c r="S135" s="60">
        <f t="shared" si="63"/>
        <v>-3.2102846648301132E-2</v>
      </c>
      <c r="T135" s="60">
        <f t="shared" si="64"/>
        <v>9.0852130325814531E-3</v>
      </c>
      <c r="U135" s="60">
        <f t="shared" si="65"/>
        <v>0</v>
      </c>
      <c r="V135" s="61">
        <f t="shared" si="66"/>
        <v>1.3999999999999993E-3</v>
      </c>
    </row>
    <row r="136" spans="1:24">
      <c r="A136" s="164">
        <v>119</v>
      </c>
      <c r="B136" s="165" t="s">
        <v>294</v>
      </c>
      <c r="C136" s="165" t="s">
        <v>102</v>
      </c>
      <c r="D136" s="31">
        <f>244881.82*1533.263</f>
        <v>375468233.97865999</v>
      </c>
      <c r="E136" s="32">
        <f t="shared" si="60"/>
        <v>2.0999043120718369E-4</v>
      </c>
      <c r="F136" s="35">
        <f>100.41*1533.263</f>
        <v>153954.93782999998</v>
      </c>
      <c r="G136" s="35">
        <f>100.41*1533.263</f>
        <v>153954.93782999998</v>
      </c>
      <c r="H136" s="34">
        <v>7</v>
      </c>
      <c r="I136" s="53">
        <v>0</v>
      </c>
      <c r="J136" s="53">
        <v>0</v>
      </c>
      <c r="K136" s="31">
        <f>247952.77*1478.22</f>
        <v>366528743.66939998</v>
      </c>
      <c r="L136" s="32">
        <f t="shared" si="61"/>
        <v>2.1188413525741315E-4</v>
      </c>
      <c r="M136" s="35">
        <f>100.93*1478.22</f>
        <v>149196.74460000001</v>
      </c>
      <c r="N136" s="35">
        <f>100.93*1478.22</f>
        <v>149196.74460000001</v>
      </c>
      <c r="O136" s="34">
        <v>13</v>
      </c>
      <c r="P136" s="53">
        <v>0</v>
      </c>
      <c r="Q136" s="53">
        <v>0</v>
      </c>
      <c r="R136" s="60">
        <f t="shared" ref="R136" si="67">((K136-D136)/D136)</f>
        <v>-2.3808912446553584E-2</v>
      </c>
      <c r="S136" s="60">
        <f t="shared" ref="S136" si="68">((N136-G136)/G136)</f>
        <v>-3.090640220487156E-2</v>
      </c>
      <c r="T136" s="60">
        <f t="shared" ref="T136" si="69">((O136-H136)/H136)</f>
        <v>0.8571428571428571</v>
      </c>
      <c r="U136" s="60">
        <f t="shared" ref="U136" si="70">P136-I136</f>
        <v>0</v>
      </c>
      <c r="V136" s="61">
        <f t="shared" ref="V136" si="71">Q136-J136</f>
        <v>0</v>
      </c>
    </row>
    <row r="137" spans="1:24" ht="16.5" customHeight="1">
      <c r="A137" s="164">
        <v>120</v>
      </c>
      <c r="B137" s="165" t="s">
        <v>186</v>
      </c>
      <c r="C137" s="166" t="s">
        <v>52</v>
      </c>
      <c r="D137" s="31">
        <f>129669458.65*1531.2</f>
        <v>198549875084.88</v>
      </c>
      <c r="E137" s="32">
        <f t="shared" si="60"/>
        <v>0.11104421123299633</v>
      </c>
      <c r="F137" s="35">
        <f>1.1759*1531.2</f>
        <v>1800.53808</v>
      </c>
      <c r="G137" s="35">
        <f>1.1759*1531.2</f>
        <v>1800.53808</v>
      </c>
      <c r="H137" s="34">
        <v>534</v>
      </c>
      <c r="I137" s="53">
        <v>0.1149</v>
      </c>
      <c r="J137" s="53">
        <v>9.7900000000000001E-2</v>
      </c>
      <c r="K137" s="31">
        <f>132467535.06*1474.78</f>
        <v>195360471355.7868</v>
      </c>
      <c r="L137" s="32">
        <f t="shared" si="61"/>
        <v>0.11293462041284735</v>
      </c>
      <c r="M137" s="35">
        <f>1.178*1474.78</f>
        <v>1737.2908399999999</v>
      </c>
      <c r="N137" s="35">
        <f>1.178*1474.78</f>
        <v>1737.2908399999999</v>
      </c>
      <c r="O137" s="34">
        <v>545</v>
      </c>
      <c r="P137" s="53">
        <v>9.7500000000000003E-2</v>
      </c>
      <c r="Q137" s="53">
        <v>9.7799999999999998E-2</v>
      </c>
      <c r="R137" s="60">
        <f t="shared" si="62"/>
        <v>-1.6063488973386317E-2</v>
      </c>
      <c r="S137" s="60">
        <f t="shared" si="63"/>
        <v>-3.5126854967710619E-2</v>
      </c>
      <c r="T137" s="60">
        <f t="shared" si="64"/>
        <v>2.0599250936329586E-2</v>
      </c>
      <c r="U137" s="60">
        <f t="shared" si="65"/>
        <v>-1.7399999999999999E-2</v>
      </c>
      <c r="V137" s="61">
        <f t="shared" si="66"/>
        <v>-1.0000000000000286E-4</v>
      </c>
    </row>
    <row r="138" spans="1:24" ht="16.5" customHeight="1">
      <c r="A138" s="164">
        <v>121</v>
      </c>
      <c r="B138" s="165" t="s">
        <v>187</v>
      </c>
      <c r="C138" s="166" t="s">
        <v>97</v>
      </c>
      <c r="D138" s="35">
        <v>773502939.40641987</v>
      </c>
      <c r="E138" s="32">
        <v>0</v>
      </c>
      <c r="F138" s="35">
        <v>160127.3792</v>
      </c>
      <c r="G138" s="35">
        <v>160127.3792</v>
      </c>
      <c r="H138" s="34">
        <v>22</v>
      </c>
      <c r="I138" s="53">
        <v>1.1000000000000001E-3</v>
      </c>
      <c r="J138" s="53">
        <v>6.59E-2</v>
      </c>
      <c r="K138" s="35">
        <v>809401850.26221359</v>
      </c>
      <c r="L138" s="32">
        <f t="shared" si="61"/>
        <v>4.6790166959797191E-4</v>
      </c>
      <c r="M138" s="35">
        <v>155126.02499999999</v>
      </c>
      <c r="N138" s="35">
        <v>155126.02499999999</v>
      </c>
      <c r="O138" s="34">
        <v>22</v>
      </c>
      <c r="P138" s="53">
        <v>1.6999999999999999E-3</v>
      </c>
      <c r="Q138" s="53">
        <v>7.1400000000000005E-2</v>
      </c>
      <c r="R138" s="60">
        <f t="shared" si="62"/>
        <v>4.641082667810191E-2</v>
      </c>
      <c r="S138" s="60">
        <f t="shared" si="63"/>
        <v>-3.1233598057914144E-2</v>
      </c>
      <c r="T138" s="60">
        <f t="shared" si="64"/>
        <v>0</v>
      </c>
      <c r="U138" s="60">
        <f t="shared" si="65"/>
        <v>5.9999999999999984E-4</v>
      </c>
      <c r="V138" s="61">
        <f t="shared" si="66"/>
        <v>5.5000000000000049E-3</v>
      </c>
    </row>
    <row r="139" spans="1:24">
      <c r="A139" s="164">
        <v>122</v>
      </c>
      <c r="B139" s="165" t="s">
        <v>188</v>
      </c>
      <c r="C139" s="166" t="s">
        <v>111</v>
      </c>
      <c r="D139" s="35">
        <f>1126543.51*1533.263</f>
        <v>1727287481.7731299</v>
      </c>
      <c r="E139" s="32">
        <f>(D139/$D$140)</f>
        <v>9.6603070590766706E-4</v>
      </c>
      <c r="F139" s="35">
        <f>1.2597*1533.263</f>
        <v>1931.4514010999999</v>
      </c>
      <c r="G139" s="35">
        <f>1.2597*1533.263</f>
        <v>1931.4514010999999</v>
      </c>
      <c r="H139" s="34">
        <v>72</v>
      </c>
      <c r="I139" s="53">
        <v>-6.0099999999999997E-4</v>
      </c>
      <c r="J139" s="53">
        <v>1.2985E-2</v>
      </c>
      <c r="K139" s="35">
        <f>1173037.13*1478.22</f>
        <v>1734006946.3085999</v>
      </c>
      <c r="L139" s="32">
        <f t="shared" si="61"/>
        <v>1.0024004084120042E-3</v>
      </c>
      <c r="M139" s="35">
        <f>1.2655*1478.22</f>
        <v>1870.6874100000002</v>
      </c>
      <c r="N139" s="35">
        <f>1.2655*1478.22</f>
        <v>1870.6874100000002</v>
      </c>
      <c r="O139" s="34">
        <v>78</v>
      </c>
      <c r="P139" s="53">
        <v>4.2240000000000003E-3</v>
      </c>
      <c r="Q139" s="53">
        <v>1.7632999999999999E-2</v>
      </c>
      <c r="R139" s="60">
        <f t="shared" si="62"/>
        <v>3.8901830797570588E-3</v>
      </c>
      <c r="S139" s="60">
        <f t="shared" si="63"/>
        <v>-3.1460274416116998E-2</v>
      </c>
      <c r="T139" s="60">
        <f t="shared" si="64"/>
        <v>8.3333333333333329E-2</v>
      </c>
      <c r="U139" s="60">
        <f t="shared" si="65"/>
        <v>4.8250000000000003E-3</v>
      </c>
      <c r="V139" s="61">
        <f t="shared" si="66"/>
        <v>4.6479999999999994E-3</v>
      </c>
    </row>
    <row r="140" spans="1:24">
      <c r="A140" s="38"/>
      <c r="B140" s="39"/>
      <c r="C140" s="74" t="s">
        <v>53</v>
      </c>
      <c r="D140" s="51">
        <f>SUM(D108:D139)</f>
        <v>1788025443922.3008</v>
      </c>
      <c r="E140" s="42">
        <f>(D140/$D$210)</f>
        <v>0.43405104803238698</v>
      </c>
      <c r="F140" s="43"/>
      <c r="G140" s="48"/>
      <c r="H140" s="45">
        <f>SUM(H108:H139)</f>
        <v>22373</v>
      </c>
      <c r="I140" s="83"/>
      <c r="J140" s="83"/>
      <c r="K140" s="51">
        <f>SUM(K108:K139)</f>
        <v>1729854588802.0955</v>
      </c>
      <c r="L140" s="42">
        <f>(K140/$K$210)</f>
        <v>0.42070284672474001</v>
      </c>
      <c r="M140" s="43"/>
      <c r="N140" s="48"/>
      <c r="O140" s="45">
        <f>SUM(O108:O139)</f>
        <v>22550</v>
      </c>
      <c r="P140" s="83"/>
      <c r="Q140" s="83"/>
      <c r="R140" s="60">
        <f t="shared" si="62"/>
        <v>-3.2533572336979087E-2</v>
      </c>
      <c r="S140" s="60" t="e">
        <f t="shared" si="63"/>
        <v>#DIV/0!</v>
      </c>
      <c r="T140" s="60">
        <f t="shared" si="64"/>
        <v>7.9113216823850172E-3</v>
      </c>
      <c r="U140" s="60">
        <f t="shared" si="65"/>
        <v>0</v>
      </c>
      <c r="V140" s="61">
        <f t="shared" si="66"/>
        <v>0</v>
      </c>
    </row>
    <row r="141" spans="1:24" ht="6" customHeight="1">
      <c r="A141" s="38"/>
      <c r="B141" s="183"/>
      <c r="C141" s="18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</row>
    <row r="142" spans="1:24">
      <c r="A142" s="185" t="s">
        <v>189</v>
      </c>
      <c r="B142" s="185"/>
      <c r="C142" s="185"/>
      <c r="D142" s="185"/>
      <c r="E142" s="185"/>
      <c r="F142" s="185"/>
      <c r="G142" s="185"/>
      <c r="H142" s="185"/>
      <c r="I142" s="185"/>
      <c r="J142" s="185"/>
      <c r="K142" s="185"/>
      <c r="L142" s="185"/>
      <c r="M142" s="185"/>
      <c r="N142" s="185"/>
      <c r="O142" s="185"/>
      <c r="P142" s="185"/>
      <c r="Q142" s="185"/>
      <c r="R142" s="185"/>
      <c r="S142" s="185"/>
      <c r="T142" s="185"/>
      <c r="U142" s="185"/>
      <c r="V142" s="185"/>
    </row>
    <row r="143" spans="1:24">
      <c r="A143" s="164">
        <v>123</v>
      </c>
      <c r="B143" s="165" t="s">
        <v>190</v>
      </c>
      <c r="C143" s="166" t="s">
        <v>191</v>
      </c>
      <c r="D143" s="75">
        <v>2254764240.4400001</v>
      </c>
      <c r="E143" s="32">
        <f>(D143/$D$148)</f>
        <v>2.23502557374958E-2</v>
      </c>
      <c r="F143" s="63">
        <v>106.67656292990249</v>
      </c>
      <c r="G143" s="63">
        <v>106.67656292990249</v>
      </c>
      <c r="H143" s="34">
        <v>7</v>
      </c>
      <c r="I143" s="53">
        <v>3.9527081247381357E-3</v>
      </c>
      <c r="J143" s="53">
        <v>1.1972718772959245E-2</v>
      </c>
      <c r="K143" s="75">
        <v>2270358677.04</v>
      </c>
      <c r="L143" s="32">
        <f>(K143/$K$148)</f>
        <v>2.2491282068453515E-2</v>
      </c>
      <c r="M143" s="63">
        <v>106.99</v>
      </c>
      <c r="N143" s="63">
        <v>106.99</v>
      </c>
      <c r="O143" s="34">
        <v>8</v>
      </c>
      <c r="P143" s="53">
        <v>6.91621603727266E-3</v>
      </c>
      <c r="Q143" s="53">
        <v>1.4999999999999999E-2</v>
      </c>
      <c r="R143" s="60">
        <f t="shared" ref="R143:R148" si="72">((K143-D143)/D143)</f>
        <v>6.9162160372726019E-3</v>
      </c>
      <c r="S143" s="60">
        <f t="shared" ref="S143:T148" si="73">((N143-G143)/G143)</f>
        <v>2.9381999334143092E-3</v>
      </c>
      <c r="T143" s="60">
        <f t="shared" si="73"/>
        <v>0.14285714285714285</v>
      </c>
      <c r="U143" s="60">
        <f t="shared" ref="U143:V148" si="74">P143-I143</f>
        <v>2.9635079125345243E-3</v>
      </c>
      <c r="V143" s="61">
        <f t="shared" si="74"/>
        <v>3.027281227040754E-3</v>
      </c>
    </row>
    <row r="144" spans="1:24">
      <c r="A144" s="164">
        <v>124</v>
      </c>
      <c r="B144" s="165" t="s">
        <v>192</v>
      </c>
      <c r="C144" s="166" t="s">
        <v>47</v>
      </c>
      <c r="D144" s="31">
        <v>54160728474</v>
      </c>
      <c r="E144" s="32">
        <f>(D144/$D$148)</f>
        <v>0.53686594394753651</v>
      </c>
      <c r="F144" s="63">
        <v>102.07</v>
      </c>
      <c r="G144" s="63">
        <v>102.07</v>
      </c>
      <c r="H144" s="34">
        <v>645</v>
      </c>
      <c r="I144" s="53">
        <v>8.3900000000000002E-2</v>
      </c>
      <c r="J144" s="53">
        <v>8.3900000000000002E-2</v>
      </c>
      <c r="K144" s="31">
        <v>54160728474</v>
      </c>
      <c r="L144" s="32">
        <f>(K144/$K$148)</f>
        <v>0.53654263243102285</v>
      </c>
      <c r="M144" s="63">
        <v>102.07</v>
      </c>
      <c r="N144" s="63">
        <v>102.07</v>
      </c>
      <c r="O144" s="34">
        <v>645</v>
      </c>
      <c r="P144" s="53">
        <v>8.3900000000000002E-2</v>
      </c>
      <c r="Q144" s="53">
        <v>8.3900000000000002E-2</v>
      </c>
      <c r="R144" s="60">
        <f t="shared" si="72"/>
        <v>0</v>
      </c>
      <c r="S144" s="60">
        <f t="shared" si="73"/>
        <v>0</v>
      </c>
      <c r="T144" s="60">
        <f t="shared" si="73"/>
        <v>0</v>
      </c>
      <c r="U144" s="60">
        <f t="shared" si="74"/>
        <v>0</v>
      </c>
      <c r="V144" s="61">
        <f t="shared" si="74"/>
        <v>0</v>
      </c>
    </row>
    <row r="145" spans="1:22" ht="15.75" customHeight="1">
      <c r="A145" s="164">
        <v>125</v>
      </c>
      <c r="B145" s="165" t="s">
        <v>193</v>
      </c>
      <c r="C145" s="166" t="s">
        <v>146</v>
      </c>
      <c r="D145" s="31">
        <v>2798328487.5909557</v>
      </c>
      <c r="E145" s="32">
        <f>(D145/$D$148)</f>
        <v>2.7738313484594223E-2</v>
      </c>
      <c r="F145" s="63">
        <v>179.45</v>
      </c>
      <c r="G145" s="63">
        <v>179.45</v>
      </c>
      <c r="H145" s="34">
        <v>3040</v>
      </c>
      <c r="I145" s="53">
        <v>7.8761618845949719E-2</v>
      </c>
      <c r="J145" s="53">
        <v>3.983667191998521E-2</v>
      </c>
      <c r="K145" s="31">
        <v>2810715091.2799997</v>
      </c>
      <c r="L145" s="32">
        <f>(K145/$K$148)</f>
        <v>2.7844316658571643E-2</v>
      </c>
      <c r="M145" s="63">
        <v>197.35</v>
      </c>
      <c r="N145" s="63">
        <v>197.35</v>
      </c>
      <c r="O145" s="34">
        <v>3040</v>
      </c>
      <c r="P145" s="53">
        <v>0.2927868822676768</v>
      </c>
      <c r="Q145" s="53">
        <v>5.2085314848667859E-2</v>
      </c>
      <c r="R145" s="60">
        <f t="shared" si="72"/>
        <v>4.4264294717263385E-3</v>
      </c>
      <c r="S145" s="60">
        <f t="shared" si="73"/>
        <v>9.9749233769852369E-2</v>
      </c>
      <c r="T145" s="60">
        <f t="shared" si="73"/>
        <v>0</v>
      </c>
      <c r="U145" s="60">
        <f t="shared" si="74"/>
        <v>0.21402526342172706</v>
      </c>
      <c r="V145" s="61">
        <f t="shared" si="74"/>
        <v>1.2248642928682649E-2</v>
      </c>
    </row>
    <row r="146" spans="1:22">
      <c r="A146" s="164">
        <v>126</v>
      </c>
      <c r="B146" s="165" t="s">
        <v>194</v>
      </c>
      <c r="C146" s="166" t="s">
        <v>146</v>
      </c>
      <c r="D146" s="31">
        <v>10763730639.280001</v>
      </c>
      <c r="E146" s="32">
        <f>(D146/$D$148)</f>
        <v>0.10669502742800345</v>
      </c>
      <c r="F146" s="63">
        <v>36.6</v>
      </c>
      <c r="G146" s="63">
        <v>36.6</v>
      </c>
      <c r="H146" s="34">
        <v>5264</v>
      </c>
      <c r="I146" s="53">
        <v>6.0530679933665253E-2</v>
      </c>
      <c r="J146" s="53">
        <v>7.3409065690189193E-2</v>
      </c>
      <c r="K146" s="31">
        <v>10761815723.65</v>
      </c>
      <c r="L146" s="32">
        <f>(K146/$K$148)</f>
        <v>0.10661180343755255</v>
      </c>
      <c r="M146" s="63">
        <v>36.6</v>
      </c>
      <c r="N146" s="63">
        <v>36.6</v>
      </c>
      <c r="O146" s="34">
        <v>5264</v>
      </c>
      <c r="P146" s="53">
        <v>8.6372133746640337E-3</v>
      </c>
      <c r="Q146" s="53">
        <v>5.8792577638416436E-2</v>
      </c>
      <c r="R146" s="60">
        <f t="shared" si="72"/>
        <v>-1.7790445470764393E-4</v>
      </c>
      <c r="S146" s="60">
        <f t="shared" si="73"/>
        <v>0</v>
      </c>
      <c r="T146" s="60">
        <f t="shared" si="73"/>
        <v>0</v>
      </c>
      <c r="U146" s="60">
        <f t="shared" si="74"/>
        <v>-5.189346655900122E-2</v>
      </c>
      <c r="V146" s="61">
        <f t="shared" si="74"/>
        <v>-1.4616488051772757E-2</v>
      </c>
    </row>
    <row r="147" spans="1:22">
      <c r="A147" s="164">
        <v>127</v>
      </c>
      <c r="B147" s="165" t="s">
        <v>195</v>
      </c>
      <c r="C147" s="166" t="s">
        <v>49</v>
      </c>
      <c r="D147" s="31">
        <v>30905599873.919998</v>
      </c>
      <c r="E147" s="32">
        <f>(D147/$D$148)</f>
        <v>0.30635045940237005</v>
      </c>
      <c r="F147" s="63">
        <v>5.4</v>
      </c>
      <c r="G147" s="63">
        <v>5.4</v>
      </c>
      <c r="H147" s="34">
        <v>208048</v>
      </c>
      <c r="I147" s="53">
        <v>-6.9000000000000006E-2</v>
      </c>
      <c r="J147" s="53">
        <v>0.08</v>
      </c>
      <c r="K147" s="31">
        <v>30940324230.389999</v>
      </c>
      <c r="L147" s="32">
        <f>(K147/$K$148)</f>
        <v>0.30650996540439945</v>
      </c>
      <c r="M147" s="63">
        <v>6</v>
      </c>
      <c r="N147" s="63">
        <v>6</v>
      </c>
      <c r="O147" s="34">
        <v>208048</v>
      </c>
      <c r="P147" s="53">
        <v>0.1111</v>
      </c>
      <c r="Q147" s="53">
        <v>0.2</v>
      </c>
      <c r="R147" s="60">
        <f t="shared" si="72"/>
        <v>1.1235619632577888E-3</v>
      </c>
      <c r="S147" s="60">
        <f t="shared" si="73"/>
        <v>0.11111111111111104</v>
      </c>
      <c r="T147" s="60">
        <f t="shared" si="73"/>
        <v>0</v>
      </c>
      <c r="U147" s="60">
        <f t="shared" si="74"/>
        <v>0.18010000000000001</v>
      </c>
      <c r="V147" s="61">
        <f t="shared" si="74"/>
        <v>0.12000000000000001</v>
      </c>
    </row>
    <row r="148" spans="1:22">
      <c r="A148" s="38"/>
      <c r="B148" s="76"/>
      <c r="C148" s="40" t="s">
        <v>53</v>
      </c>
      <c r="D148" s="41">
        <f>SUM(D143:D147)</f>
        <v>100883151715.23096</v>
      </c>
      <c r="E148" s="42">
        <f>(D148/$D$210)</f>
        <v>2.4489829202178365E-2</v>
      </c>
      <c r="F148" s="43"/>
      <c r="G148" s="77"/>
      <c r="H148" s="45">
        <f>SUM(H143:H147)</f>
        <v>217004</v>
      </c>
      <c r="I148" s="84"/>
      <c r="J148" s="84"/>
      <c r="K148" s="41">
        <f>SUM(K143:K147)</f>
        <v>100943942196.36</v>
      </c>
      <c r="L148" s="42">
        <f>(K148/$K$210)</f>
        <v>2.4549695746990185E-2</v>
      </c>
      <c r="M148" s="43"/>
      <c r="N148" s="77"/>
      <c r="O148" s="45">
        <f>SUM(O143:O147)</f>
        <v>217005</v>
      </c>
      <c r="P148" s="84"/>
      <c r="Q148" s="84"/>
      <c r="R148" s="60">
        <f t="shared" si="72"/>
        <v>6.0258308840945604E-4</v>
      </c>
      <c r="S148" s="60" t="e">
        <f t="shared" si="73"/>
        <v>#DIV/0!</v>
      </c>
      <c r="T148" s="60">
        <f t="shared" si="73"/>
        <v>4.6082099869126837E-6</v>
      </c>
      <c r="U148" s="60">
        <f t="shared" si="74"/>
        <v>0</v>
      </c>
      <c r="V148" s="61">
        <f t="shared" si="74"/>
        <v>0</v>
      </c>
    </row>
    <row r="149" spans="1:22" ht="5.25" customHeight="1">
      <c r="A149" s="38"/>
      <c r="B149" s="183"/>
      <c r="C149" s="183"/>
      <c r="D149" s="183"/>
      <c r="E149" s="183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</row>
    <row r="150" spans="1:22" ht="15" customHeight="1">
      <c r="A150" s="185" t="s">
        <v>196</v>
      </c>
      <c r="B150" s="185"/>
      <c r="C150" s="185"/>
      <c r="D150" s="185"/>
      <c r="E150" s="185"/>
      <c r="F150" s="185"/>
      <c r="G150" s="185"/>
      <c r="H150" s="185"/>
      <c r="I150" s="185"/>
      <c r="J150" s="185"/>
      <c r="K150" s="185"/>
      <c r="L150" s="185"/>
      <c r="M150" s="185"/>
      <c r="N150" s="185"/>
      <c r="O150" s="185"/>
      <c r="P150" s="185"/>
      <c r="Q150" s="185"/>
      <c r="R150" s="185"/>
      <c r="S150" s="185"/>
      <c r="T150" s="185"/>
      <c r="U150" s="185"/>
      <c r="V150" s="185"/>
    </row>
    <row r="151" spans="1:22">
      <c r="A151" s="167">
        <v>128</v>
      </c>
      <c r="B151" s="165" t="s">
        <v>197</v>
      </c>
      <c r="C151" s="166" t="s">
        <v>57</v>
      </c>
      <c r="D151" s="35">
        <v>261548358.53</v>
      </c>
      <c r="E151" s="32">
        <f t="shared" ref="E151:E178" si="75">(D151/$D$179)</f>
        <v>4.7418773551823126E-3</v>
      </c>
      <c r="F151" s="35">
        <v>5.85</v>
      </c>
      <c r="G151" s="35">
        <v>5.93</v>
      </c>
      <c r="H151" s="36">
        <v>11835</v>
      </c>
      <c r="I151" s="54">
        <v>1.0467000000000001E-2</v>
      </c>
      <c r="J151" s="54">
        <v>2.41E-2</v>
      </c>
      <c r="K151" s="35">
        <v>262860824.18000001</v>
      </c>
      <c r="L151" s="57">
        <f t="shared" ref="L151:L177" si="76">(K151/$K$179)</f>
        <v>4.7037517575113721E-3</v>
      </c>
      <c r="M151" s="35">
        <v>5.87</v>
      </c>
      <c r="N151" s="35">
        <v>5.96</v>
      </c>
      <c r="O151" s="36">
        <v>11835</v>
      </c>
      <c r="P151" s="54">
        <v>3.8679999999999999E-3</v>
      </c>
      <c r="Q151" s="54">
        <v>2.8000000000000001E-2</v>
      </c>
      <c r="R151" s="60">
        <f>((K151-D151)/D151)</f>
        <v>5.0180611240558184E-3</v>
      </c>
      <c r="S151" s="60">
        <f>((N151-G151)/G151)</f>
        <v>5.0590219224283728E-3</v>
      </c>
      <c r="T151" s="60">
        <f>((O151-H151)/H151)</f>
        <v>0</v>
      </c>
      <c r="U151" s="60">
        <f>P151-I151</f>
        <v>-6.5990000000000007E-3</v>
      </c>
      <c r="V151" s="61">
        <f>Q151-J151</f>
        <v>3.9000000000000007E-3</v>
      </c>
    </row>
    <row r="152" spans="1:22">
      <c r="A152" s="167">
        <v>129</v>
      </c>
      <c r="B152" s="165" t="s">
        <v>198</v>
      </c>
      <c r="C152" s="165" t="s">
        <v>199</v>
      </c>
      <c r="D152" s="35">
        <v>681656603.90536368</v>
      </c>
      <c r="E152" s="32">
        <f t="shared" si="75"/>
        <v>1.2358448862903377E-2</v>
      </c>
      <c r="F152" s="35">
        <v>1595.7204588629577</v>
      </c>
      <c r="G152" s="35">
        <v>1615.2467434593123</v>
      </c>
      <c r="H152" s="36">
        <v>172</v>
      </c>
      <c r="I152" s="54">
        <v>3.8834359281041023E-2</v>
      </c>
      <c r="J152" s="54">
        <v>0.42677588434867103</v>
      </c>
      <c r="K152" s="35">
        <v>686625059.29701447</v>
      </c>
      <c r="L152" s="57">
        <f t="shared" si="76"/>
        <v>1.2286782709043251E-2</v>
      </c>
      <c r="M152" s="35">
        <v>1602.7547019847786</v>
      </c>
      <c r="N152" s="35">
        <v>1622.4079115089526</v>
      </c>
      <c r="O152" s="36">
        <v>173</v>
      </c>
      <c r="P152" s="54">
        <v>4.4235669314690914E-3</v>
      </c>
      <c r="Q152" s="54">
        <v>0.43308732296929336</v>
      </c>
      <c r="R152" s="60">
        <f>((K152-D152)/D152)</f>
        <v>7.2887952132868663E-3</v>
      </c>
      <c r="S152" s="60">
        <f>((N152-G152)/G152)</f>
        <v>4.4334824252940507E-3</v>
      </c>
      <c r="T152" s="60">
        <f>((O152-H152)/H152)</f>
        <v>5.8139534883720929E-3</v>
      </c>
      <c r="U152" s="60">
        <f>P152-I152</f>
        <v>-3.441079234957193E-2</v>
      </c>
      <c r="V152" s="61">
        <f>Q152-J152</f>
        <v>6.3114386206223339E-3</v>
      </c>
    </row>
    <row r="153" spans="1:22">
      <c r="A153" s="164">
        <v>130</v>
      </c>
      <c r="B153" s="165" t="s">
        <v>200</v>
      </c>
      <c r="C153" s="166" t="s">
        <v>23</v>
      </c>
      <c r="D153" s="35">
        <v>6805302681.0100002</v>
      </c>
      <c r="E153" s="32">
        <f t="shared" si="75"/>
        <v>0.12338028370589599</v>
      </c>
      <c r="F153" s="35">
        <v>798.72209999999995</v>
      </c>
      <c r="G153" s="35">
        <v>822.80420000000004</v>
      </c>
      <c r="H153" s="36">
        <v>21365</v>
      </c>
      <c r="I153" s="54">
        <v>0.58679999999999999</v>
      </c>
      <c r="J153" s="54">
        <v>7.3400000000000007E-2</v>
      </c>
      <c r="K153" s="35">
        <v>6899945873.7399998</v>
      </c>
      <c r="L153" s="57">
        <f t="shared" si="76"/>
        <v>0.12347078584868593</v>
      </c>
      <c r="M153" s="35">
        <v>807.8152</v>
      </c>
      <c r="N153" s="35">
        <v>832.17150000000004</v>
      </c>
      <c r="O153" s="36">
        <v>21372</v>
      </c>
      <c r="P153" s="54">
        <v>0.59360000000000002</v>
      </c>
      <c r="Q153" s="54">
        <v>0.1915</v>
      </c>
      <c r="R153" s="60">
        <f t="shared" ref="R153:R178" si="77">((K153-D153)/D153)</f>
        <v>1.3907271603671447E-2</v>
      </c>
      <c r="S153" s="60">
        <f t="shared" ref="S153:T178" si="78">((N153-G153)/G153)</f>
        <v>1.1384604016362581E-2</v>
      </c>
      <c r="T153" s="60">
        <f t="shared" si="78"/>
        <v>3.276386613620407E-4</v>
      </c>
      <c r="U153" s="60">
        <f t="shared" ref="U153:V178" si="79">P153-I153</f>
        <v>6.8000000000000282E-3</v>
      </c>
      <c r="V153" s="61">
        <f t="shared" si="79"/>
        <v>0.1181</v>
      </c>
    </row>
    <row r="154" spans="1:22">
      <c r="A154" s="167">
        <v>131</v>
      </c>
      <c r="B154" s="165" t="s">
        <v>201</v>
      </c>
      <c r="C154" s="166" t="s">
        <v>113</v>
      </c>
      <c r="D154" s="35">
        <v>3738515843.2600002</v>
      </c>
      <c r="E154" s="32">
        <f t="shared" si="75"/>
        <v>6.777937249838073E-2</v>
      </c>
      <c r="F154" s="35">
        <v>22.034600000000001</v>
      </c>
      <c r="G154" s="35">
        <v>22.295100000000001</v>
      </c>
      <c r="H154" s="34">
        <v>6170</v>
      </c>
      <c r="I154" s="53">
        <v>1.5100000000000001E-2</v>
      </c>
      <c r="J154" s="53">
        <v>3.5999999999999997E-2</v>
      </c>
      <c r="K154" s="35">
        <v>3802609581.4699998</v>
      </c>
      <c r="L154" s="57">
        <f t="shared" si="76"/>
        <v>6.8045634254425377E-2</v>
      </c>
      <c r="M154" s="35">
        <v>22.5214</v>
      </c>
      <c r="N154" s="35">
        <v>22.792200000000001</v>
      </c>
      <c r="O154" s="34">
        <v>6170</v>
      </c>
      <c r="P154" s="53">
        <v>2.5100000000000001E-2</v>
      </c>
      <c r="Q154" s="53">
        <v>5.8999999999999997E-2</v>
      </c>
      <c r="R154" s="60">
        <f t="shared" si="77"/>
        <v>1.7144166534843297E-2</v>
      </c>
      <c r="S154" s="60">
        <f t="shared" si="78"/>
        <v>2.2296379024987538E-2</v>
      </c>
      <c r="T154" s="60">
        <f t="shared" si="78"/>
        <v>0</v>
      </c>
      <c r="U154" s="60">
        <f t="shared" si="79"/>
        <v>0.01</v>
      </c>
      <c r="V154" s="61">
        <f t="shared" si="79"/>
        <v>2.3E-2</v>
      </c>
    </row>
    <row r="155" spans="1:22">
      <c r="A155" s="164">
        <v>132</v>
      </c>
      <c r="B155" s="165" t="s">
        <v>202</v>
      </c>
      <c r="C155" s="166" t="s">
        <v>122</v>
      </c>
      <c r="D155" s="31">
        <v>1952119130.9450278</v>
      </c>
      <c r="E155" s="32">
        <f t="shared" si="75"/>
        <v>3.5391961752972136E-2</v>
      </c>
      <c r="F155" s="35">
        <v>4.5949999999999998</v>
      </c>
      <c r="G155" s="35">
        <v>4.6951999999999998</v>
      </c>
      <c r="H155" s="34">
        <v>2744</v>
      </c>
      <c r="I155" s="53">
        <v>0.40060000000000001</v>
      </c>
      <c r="J155" s="53">
        <v>9.9099999999999994E-2</v>
      </c>
      <c r="K155" s="31">
        <v>1977745113.8182273</v>
      </c>
      <c r="L155" s="57">
        <f t="shared" si="76"/>
        <v>3.5390675213974425E-2</v>
      </c>
      <c r="M155" s="35">
        <v>4.6558999999999999</v>
      </c>
      <c r="N155" s="35">
        <v>4.7584999999999997</v>
      </c>
      <c r="O155" s="34">
        <v>2743</v>
      </c>
      <c r="P155" s="53">
        <v>0.70299999999999996</v>
      </c>
      <c r="Q155" s="53">
        <v>0.23649999999999999</v>
      </c>
      <c r="R155" s="60">
        <f t="shared" si="77"/>
        <v>1.312726383701482E-2</v>
      </c>
      <c r="S155" s="60">
        <f t="shared" si="78"/>
        <v>1.348185380814447E-2</v>
      </c>
      <c r="T155" s="60">
        <f t="shared" si="78"/>
        <v>-3.6443148688046647E-4</v>
      </c>
      <c r="U155" s="60">
        <f t="shared" si="79"/>
        <v>0.30239999999999995</v>
      </c>
      <c r="V155" s="61">
        <f t="shared" si="79"/>
        <v>0.13739999999999999</v>
      </c>
    </row>
    <row r="156" spans="1:22">
      <c r="A156" s="167">
        <v>133</v>
      </c>
      <c r="B156" s="165" t="s">
        <v>203</v>
      </c>
      <c r="C156" s="166" t="s">
        <v>65</v>
      </c>
      <c r="D156" s="35">
        <v>3538008240.5659599</v>
      </c>
      <c r="E156" s="32">
        <f t="shared" si="75"/>
        <v>6.4144165356953733E-2</v>
      </c>
      <c r="F156" s="35">
        <v>7919.8678477283602</v>
      </c>
      <c r="G156" s="35">
        <v>7985.2248592669703</v>
      </c>
      <c r="H156" s="34">
        <v>961</v>
      </c>
      <c r="I156" s="53">
        <v>0.87726156914060593</v>
      </c>
      <c r="J156" s="53">
        <v>0.55407881035727091</v>
      </c>
      <c r="K156" s="35">
        <v>3707581676.7797098</v>
      </c>
      <c r="L156" s="57">
        <f t="shared" si="76"/>
        <v>6.634516148487532E-2</v>
      </c>
      <c r="M156" s="35">
        <v>8059.5232521396001</v>
      </c>
      <c r="N156" s="35">
        <v>8125.0285430251197</v>
      </c>
      <c r="O156" s="34">
        <v>970</v>
      </c>
      <c r="P156" s="53">
        <v>0.91946380185269327</v>
      </c>
      <c r="Q156" s="53">
        <v>0.64414926215279189</v>
      </c>
      <c r="R156" s="60">
        <f t="shared" si="77"/>
        <v>4.7929067623263634E-2</v>
      </c>
      <c r="S156" s="60">
        <f t="shared" si="78"/>
        <v>1.7507795487550385E-2</v>
      </c>
      <c r="T156" s="60">
        <f t="shared" si="78"/>
        <v>9.3652445369406864E-3</v>
      </c>
      <c r="U156" s="60">
        <f t="shared" si="79"/>
        <v>4.220223271208734E-2</v>
      </c>
      <c r="V156" s="61">
        <f t="shared" si="79"/>
        <v>9.0070451795520978E-2</v>
      </c>
    </row>
    <row r="157" spans="1:22">
      <c r="A157" s="164">
        <v>134</v>
      </c>
      <c r="B157" s="165" t="s">
        <v>204</v>
      </c>
      <c r="C157" s="166" t="s">
        <v>67</v>
      </c>
      <c r="D157" s="35">
        <v>856913210.60000002</v>
      </c>
      <c r="E157" s="32">
        <f t="shared" si="75"/>
        <v>1.5535854904761854E-2</v>
      </c>
      <c r="F157" s="35">
        <v>213.14</v>
      </c>
      <c r="G157" s="35">
        <v>215.03</v>
      </c>
      <c r="H157" s="34">
        <v>681</v>
      </c>
      <c r="I157" s="53">
        <v>3.1300000000000001E-2</v>
      </c>
      <c r="J157" s="53">
        <v>4.3799999999999999E-2</v>
      </c>
      <c r="K157" s="35">
        <v>865472003.55999994</v>
      </c>
      <c r="L157" s="57">
        <f t="shared" si="76"/>
        <v>1.5487151691476669E-2</v>
      </c>
      <c r="M157" s="35">
        <v>214.98</v>
      </c>
      <c r="N157" s="35">
        <v>216.89340000000001</v>
      </c>
      <c r="O157" s="34">
        <v>681</v>
      </c>
      <c r="P157" s="53">
        <v>8.6E-3</v>
      </c>
      <c r="Q157" s="53">
        <v>5.28E-2</v>
      </c>
      <c r="R157" s="60">
        <f t="shared" si="77"/>
        <v>9.9879344303808286E-3</v>
      </c>
      <c r="S157" s="60">
        <f t="shared" si="78"/>
        <v>8.6657675673162474E-3</v>
      </c>
      <c r="T157" s="60">
        <f t="shared" si="78"/>
        <v>0</v>
      </c>
      <c r="U157" s="60">
        <f t="shared" si="79"/>
        <v>-2.2700000000000001E-2</v>
      </c>
      <c r="V157" s="61">
        <f t="shared" si="79"/>
        <v>9.0000000000000011E-3</v>
      </c>
    </row>
    <row r="158" spans="1:22">
      <c r="A158" s="167">
        <v>135</v>
      </c>
      <c r="B158" s="165" t="s">
        <v>205</v>
      </c>
      <c r="C158" s="166" t="s">
        <v>69</v>
      </c>
      <c r="D158" s="35">
        <v>3734808.11</v>
      </c>
      <c r="E158" s="32">
        <f t="shared" si="75"/>
        <v>6.7712151214777697E-5</v>
      </c>
      <c r="F158" s="35">
        <v>102.747</v>
      </c>
      <c r="G158" s="35">
        <v>102.99</v>
      </c>
      <c r="H158" s="34">
        <v>0</v>
      </c>
      <c r="I158" s="53">
        <v>0</v>
      </c>
      <c r="J158" s="53">
        <v>0</v>
      </c>
      <c r="K158" s="35">
        <v>3734808.11</v>
      </c>
      <c r="L158" s="57">
        <f t="shared" si="76"/>
        <v>6.6832363727774055E-5</v>
      </c>
      <c r="M158" s="35">
        <v>102.747</v>
      </c>
      <c r="N158" s="35">
        <v>102.99</v>
      </c>
      <c r="O158" s="34">
        <v>0</v>
      </c>
      <c r="P158" s="53">
        <v>0</v>
      </c>
      <c r="Q158" s="53">
        <v>0</v>
      </c>
      <c r="R158" s="60">
        <f t="shared" si="77"/>
        <v>0</v>
      </c>
      <c r="S158" s="60">
        <f t="shared" si="78"/>
        <v>0</v>
      </c>
      <c r="T158" s="60" t="e">
        <f t="shared" si="78"/>
        <v>#DIV/0!</v>
      </c>
      <c r="U158" s="60">
        <f t="shared" si="79"/>
        <v>0</v>
      </c>
      <c r="V158" s="61">
        <f t="shared" si="79"/>
        <v>0</v>
      </c>
    </row>
    <row r="159" spans="1:22">
      <c r="A159" s="164">
        <v>136</v>
      </c>
      <c r="B159" s="165" t="s">
        <v>206</v>
      </c>
      <c r="C159" s="166" t="s">
        <v>127</v>
      </c>
      <c r="D159" s="35">
        <v>215467415.37</v>
      </c>
      <c r="E159" s="32">
        <f t="shared" si="75"/>
        <v>3.9064288664058715E-3</v>
      </c>
      <c r="F159" s="35">
        <v>1.5612999999999999</v>
      </c>
      <c r="G159" s="35">
        <v>1.5759000000000001</v>
      </c>
      <c r="H159" s="34">
        <v>365</v>
      </c>
      <c r="I159" s="53">
        <v>1.1464174454828724E-2</v>
      </c>
      <c r="J159" s="53">
        <v>0.1089555297492999</v>
      </c>
      <c r="K159" s="35">
        <v>225160108.40000001</v>
      </c>
      <c r="L159" s="57">
        <f t="shared" si="76"/>
        <v>4.029117914059E-3</v>
      </c>
      <c r="M159" s="35">
        <v>1.5719000000000001</v>
      </c>
      <c r="N159" s="35">
        <v>1.5862000000000001</v>
      </c>
      <c r="O159" s="34">
        <v>366</v>
      </c>
      <c r="P159" s="53">
        <v>1.1464174454828724E-2</v>
      </c>
      <c r="Q159" s="53">
        <v>0.1089555297492999</v>
      </c>
      <c r="R159" s="60">
        <f t="shared" si="77"/>
        <v>4.49844957454738E-2</v>
      </c>
      <c r="S159" s="60">
        <f t="shared" si="78"/>
        <v>6.5359477124182852E-3</v>
      </c>
      <c r="T159" s="60">
        <f t="shared" si="78"/>
        <v>2.7397260273972603E-3</v>
      </c>
      <c r="U159" s="60">
        <f t="shared" si="79"/>
        <v>0</v>
      </c>
      <c r="V159" s="61">
        <f t="shared" si="79"/>
        <v>0</v>
      </c>
    </row>
    <row r="160" spans="1:22">
      <c r="A160" s="167">
        <v>137</v>
      </c>
      <c r="B160" s="165" t="s">
        <v>207</v>
      </c>
      <c r="C160" s="166" t="s">
        <v>29</v>
      </c>
      <c r="D160" s="47">
        <v>136674692.91</v>
      </c>
      <c r="E160" s="32">
        <f t="shared" si="75"/>
        <v>2.4779151166497882E-3</v>
      </c>
      <c r="F160" s="35">
        <v>160.35990000000001</v>
      </c>
      <c r="G160" s="35">
        <v>161.08330000000001</v>
      </c>
      <c r="H160" s="34">
        <v>99</v>
      </c>
      <c r="I160" s="53">
        <v>3.8440000000000002E-3</v>
      </c>
      <c r="J160" s="53">
        <v>3.2000000000000002E-3</v>
      </c>
      <c r="K160" s="47">
        <v>137426899.47999999</v>
      </c>
      <c r="L160" s="57">
        <f t="shared" si="76"/>
        <v>2.4591797654706289E-3</v>
      </c>
      <c r="M160" s="35">
        <v>161.74010000000001</v>
      </c>
      <c r="N160" s="35">
        <v>162.47200000000001</v>
      </c>
      <c r="O160" s="34">
        <v>102</v>
      </c>
      <c r="P160" s="53">
        <v>7.6900000000000004E-4</v>
      </c>
      <c r="Q160" s="53">
        <v>1.1900000000000001E-2</v>
      </c>
      <c r="R160" s="60">
        <f t="shared" si="77"/>
        <v>5.5036272918156061E-3</v>
      </c>
      <c r="S160" s="60">
        <f t="shared" si="78"/>
        <v>8.6210054052778904E-3</v>
      </c>
      <c r="T160" s="60">
        <f t="shared" si="78"/>
        <v>3.0303030303030304E-2</v>
      </c>
      <c r="U160" s="60">
        <f t="shared" si="79"/>
        <v>-3.075E-3</v>
      </c>
      <c r="V160" s="61">
        <f t="shared" si="79"/>
        <v>8.7000000000000011E-3</v>
      </c>
    </row>
    <row r="161" spans="1:22">
      <c r="A161" s="164">
        <v>138</v>
      </c>
      <c r="B161" s="165" t="s">
        <v>208</v>
      </c>
      <c r="C161" s="166" t="s">
        <v>73</v>
      </c>
      <c r="D161" s="47">
        <v>224482271.94</v>
      </c>
      <c r="E161" s="32">
        <f t="shared" si="75"/>
        <v>4.0698684095548162E-3</v>
      </c>
      <c r="F161" s="35">
        <v>120.48</v>
      </c>
      <c r="G161" s="35">
        <v>120.6</v>
      </c>
      <c r="H161" s="34">
        <v>33</v>
      </c>
      <c r="I161" s="53">
        <v>1.95E-2</v>
      </c>
      <c r="J161" s="53">
        <v>1.38E-2</v>
      </c>
      <c r="K161" s="47">
        <v>242717561.77000001</v>
      </c>
      <c r="L161" s="57">
        <f t="shared" si="76"/>
        <v>4.3432990112391903E-3</v>
      </c>
      <c r="M161" s="35">
        <v>123.33</v>
      </c>
      <c r="N161" s="35">
        <v>123.67</v>
      </c>
      <c r="O161" s="34">
        <v>33</v>
      </c>
      <c r="P161" s="53">
        <v>2.52E-2</v>
      </c>
      <c r="Q161" s="53">
        <v>3.9E-2</v>
      </c>
      <c r="R161" s="60">
        <f t="shared" si="77"/>
        <v>8.1232650010215388E-2</v>
      </c>
      <c r="S161" s="60">
        <f t="shared" si="78"/>
        <v>2.545605306799343E-2</v>
      </c>
      <c r="T161" s="60">
        <f t="shared" si="78"/>
        <v>0</v>
      </c>
      <c r="U161" s="60">
        <f t="shared" si="79"/>
        <v>5.7000000000000002E-3</v>
      </c>
      <c r="V161" s="61">
        <f t="shared" si="79"/>
        <v>2.52E-2</v>
      </c>
    </row>
    <row r="162" spans="1:22" ht="15.75" customHeight="1">
      <c r="A162" s="167">
        <v>139</v>
      </c>
      <c r="B162" s="165" t="s">
        <v>209</v>
      </c>
      <c r="C162" s="166" t="s">
        <v>76</v>
      </c>
      <c r="D162" s="31">
        <v>323162790.20999998</v>
      </c>
      <c r="E162" s="32">
        <f t="shared" si="75"/>
        <v>5.858948324306011E-3</v>
      </c>
      <c r="F162" s="35">
        <v>1.2964</v>
      </c>
      <c r="G162" s="35">
        <v>1.3069999999999999</v>
      </c>
      <c r="H162" s="34">
        <v>99</v>
      </c>
      <c r="I162" s="53">
        <v>1.72E-2</v>
      </c>
      <c r="J162" s="53">
        <v>0.29580000000000001</v>
      </c>
      <c r="K162" s="31">
        <v>324523790.25</v>
      </c>
      <c r="L162" s="57">
        <f t="shared" si="76"/>
        <v>5.8071770622517621E-3</v>
      </c>
      <c r="M162" s="35">
        <v>1.3008999999999999</v>
      </c>
      <c r="N162" s="35">
        <v>1.3115000000000001</v>
      </c>
      <c r="O162" s="34">
        <v>99</v>
      </c>
      <c r="P162" s="53">
        <v>2.8999999999999998E-3</v>
      </c>
      <c r="Q162" s="53">
        <v>0.27300000000000002</v>
      </c>
      <c r="R162" s="60">
        <f t="shared" si="77"/>
        <v>4.2114998422795105E-3</v>
      </c>
      <c r="S162" s="60">
        <f t="shared" si="78"/>
        <v>3.4429992348891897E-3</v>
      </c>
      <c r="T162" s="60">
        <f t="shared" si="78"/>
        <v>0</v>
      </c>
      <c r="U162" s="60">
        <f t="shared" si="79"/>
        <v>-1.43E-2</v>
      </c>
      <c r="V162" s="61">
        <f t="shared" si="79"/>
        <v>-2.2799999999999987E-2</v>
      </c>
    </row>
    <row r="163" spans="1:22">
      <c r="A163" s="164">
        <v>140</v>
      </c>
      <c r="B163" s="165" t="s">
        <v>210</v>
      </c>
      <c r="C163" s="166" t="s">
        <v>31</v>
      </c>
      <c r="D163" s="35">
        <v>9950821537.7099991</v>
      </c>
      <c r="E163" s="32">
        <f t="shared" si="75"/>
        <v>0.18040860810722781</v>
      </c>
      <c r="F163" s="35">
        <v>330.22</v>
      </c>
      <c r="G163" s="35">
        <v>332.61</v>
      </c>
      <c r="H163" s="34">
        <v>5472</v>
      </c>
      <c r="I163" s="53">
        <v>8.3999999999999995E-3</v>
      </c>
      <c r="J163" s="53">
        <v>1.8800000000000001E-2</v>
      </c>
      <c r="K163" s="35">
        <v>9985894336.2800007</v>
      </c>
      <c r="L163" s="57">
        <f t="shared" si="76"/>
        <v>0.17869215841168984</v>
      </c>
      <c r="M163" s="35">
        <v>333.64</v>
      </c>
      <c r="N163" s="35">
        <v>336.09</v>
      </c>
      <c r="O163" s="34">
        <v>5471</v>
      </c>
      <c r="P163" s="53">
        <v>1.04E-2</v>
      </c>
      <c r="Q163" s="53">
        <v>2.9399999999999999E-2</v>
      </c>
      <c r="R163" s="60">
        <f t="shared" si="77"/>
        <v>3.5246133635387224E-3</v>
      </c>
      <c r="S163" s="60">
        <f t="shared" si="78"/>
        <v>1.0462704067827068E-2</v>
      </c>
      <c r="T163" s="60">
        <f t="shared" si="78"/>
        <v>-1.827485380116959E-4</v>
      </c>
      <c r="U163" s="60">
        <f t="shared" si="79"/>
        <v>2E-3</v>
      </c>
      <c r="V163" s="61">
        <f t="shared" si="79"/>
        <v>1.0599999999999998E-2</v>
      </c>
    </row>
    <row r="164" spans="1:22">
      <c r="A164" s="167">
        <v>141</v>
      </c>
      <c r="B164" s="165" t="s">
        <v>211</v>
      </c>
      <c r="C164" s="166" t="s">
        <v>81</v>
      </c>
      <c r="D164" s="35">
        <v>3380680093.8899999</v>
      </c>
      <c r="E164" s="32">
        <f t="shared" si="75"/>
        <v>6.1291802680129806E-2</v>
      </c>
      <c r="F164" s="35">
        <v>2.3694000000000002</v>
      </c>
      <c r="G164" s="35">
        <v>2.4121000000000001</v>
      </c>
      <c r="H164" s="34">
        <v>10305</v>
      </c>
      <c r="I164" s="53">
        <v>4.99E-2</v>
      </c>
      <c r="J164" s="53">
        <v>2.2200000000000001E-2</v>
      </c>
      <c r="K164" s="35">
        <v>3419430918.9200001</v>
      </c>
      <c r="L164" s="57">
        <f t="shared" si="76"/>
        <v>6.1188860092535824E-2</v>
      </c>
      <c r="M164" s="35">
        <v>2.3961999999999999</v>
      </c>
      <c r="N164" s="35">
        <v>2.4399000000000002</v>
      </c>
      <c r="O164" s="34">
        <v>10305</v>
      </c>
      <c r="P164" s="53">
        <v>7.1999999999999998E-3</v>
      </c>
      <c r="Q164" s="53">
        <v>3.39E-2</v>
      </c>
      <c r="R164" s="60">
        <f t="shared" si="77"/>
        <v>1.1462434762767317E-2</v>
      </c>
      <c r="S164" s="60">
        <f t="shared" si="78"/>
        <v>1.1525226980639295E-2</v>
      </c>
      <c r="T164" s="60">
        <f t="shared" si="78"/>
        <v>0</v>
      </c>
      <c r="U164" s="60">
        <f t="shared" si="79"/>
        <v>-4.2700000000000002E-2</v>
      </c>
      <c r="V164" s="61">
        <f t="shared" si="79"/>
        <v>1.1699999999999999E-2</v>
      </c>
    </row>
    <row r="165" spans="1:22">
      <c r="A165" s="164">
        <v>142</v>
      </c>
      <c r="B165" s="165" t="s">
        <v>212</v>
      </c>
      <c r="C165" s="166" t="s">
        <v>83</v>
      </c>
      <c r="D165" s="35">
        <v>266717325.14199844</v>
      </c>
      <c r="E165" s="32">
        <f t="shared" si="75"/>
        <v>4.8355908308274579E-3</v>
      </c>
      <c r="F165" s="35">
        <v>347.04</v>
      </c>
      <c r="G165" s="35">
        <v>350.7</v>
      </c>
      <c r="H165" s="34">
        <v>40</v>
      </c>
      <c r="I165" s="53">
        <v>2.7766341259962024E-2</v>
      </c>
      <c r="J165" s="53">
        <v>0</v>
      </c>
      <c r="K165" s="35">
        <v>264868670.40370494</v>
      </c>
      <c r="L165" s="57">
        <f t="shared" si="76"/>
        <v>4.7396810757467031E-3</v>
      </c>
      <c r="M165" s="35">
        <v>347.04</v>
      </c>
      <c r="N165" s="35">
        <v>355.96911337012432</v>
      </c>
      <c r="O165" s="34">
        <v>40</v>
      </c>
      <c r="P165" s="53">
        <v>-1.7999999999999999E-2</v>
      </c>
      <c r="Q165" s="53">
        <v>-1.7999999999999999E-2</v>
      </c>
      <c r="R165" s="60">
        <f t="shared" si="77"/>
        <v>-6.9311385651805255E-3</v>
      </c>
      <c r="S165" s="60">
        <f t="shared" si="78"/>
        <v>1.5024560507910836E-2</v>
      </c>
      <c r="T165" s="60">
        <f t="shared" si="78"/>
        <v>0</v>
      </c>
      <c r="U165" s="60">
        <f t="shared" si="79"/>
        <v>-4.5766341259962026E-2</v>
      </c>
      <c r="V165" s="61">
        <f t="shared" si="79"/>
        <v>-1.7999999999999999E-2</v>
      </c>
    </row>
    <row r="166" spans="1:22">
      <c r="A166" s="167">
        <v>143</v>
      </c>
      <c r="B166" s="165" t="s">
        <v>213</v>
      </c>
      <c r="C166" s="165" t="s">
        <v>85</v>
      </c>
      <c r="D166" s="35">
        <v>61312207.986219436</v>
      </c>
      <c r="E166" s="32">
        <f t="shared" si="75"/>
        <v>1.1115916470671879E-3</v>
      </c>
      <c r="F166" s="35">
        <v>1.1935262124794563</v>
      </c>
      <c r="G166" s="35">
        <v>1.207575049459741</v>
      </c>
      <c r="H166" s="34">
        <v>28</v>
      </c>
      <c r="I166" s="53">
        <v>2.5230221859882869E-4</v>
      </c>
      <c r="J166" s="53">
        <v>3.4651516008771489E-3</v>
      </c>
      <c r="K166" s="35">
        <v>61373361.714418493</v>
      </c>
      <c r="L166" s="57">
        <f t="shared" si="76"/>
        <v>1.098242992005889E-3</v>
      </c>
      <c r="M166" s="35">
        <v>1.1949660208107973</v>
      </c>
      <c r="N166" s="35">
        <v>1.2090176253258966</v>
      </c>
      <c r="O166" s="34">
        <v>27</v>
      </c>
      <c r="P166" s="53">
        <v>9.9741520013114232E-4</v>
      </c>
      <c r="Q166" s="53">
        <v>4.4660229958857645E-3</v>
      </c>
      <c r="R166" s="60">
        <f t="shared" si="77"/>
        <v>9.9741520013114232E-4</v>
      </c>
      <c r="S166" s="60">
        <f t="shared" si="78"/>
        <v>1.1946055583054564E-3</v>
      </c>
      <c r="T166" s="60">
        <f t="shared" si="78"/>
        <v>-3.5714285714285712E-2</v>
      </c>
      <c r="U166" s="60">
        <f t="shared" si="79"/>
        <v>7.4511298153231357E-4</v>
      </c>
      <c r="V166" s="61">
        <f t="shared" si="79"/>
        <v>1.0008713950086156E-3</v>
      </c>
    </row>
    <row r="167" spans="1:22" ht="13.5" customHeight="1">
      <c r="A167" s="164">
        <v>144</v>
      </c>
      <c r="B167" s="165" t="s">
        <v>214</v>
      </c>
      <c r="C167" s="166" t="s">
        <v>37</v>
      </c>
      <c r="D167" s="31">
        <v>3126333194.2199998</v>
      </c>
      <c r="E167" s="32">
        <f t="shared" si="75"/>
        <v>5.6680487928683326E-2</v>
      </c>
      <c r="F167" s="35">
        <v>4.4148180000000004</v>
      </c>
      <c r="G167" s="35">
        <v>4.5505779999999998</v>
      </c>
      <c r="H167" s="34">
        <v>2368</v>
      </c>
      <c r="I167" s="53">
        <v>9.3015025609652913E-3</v>
      </c>
      <c r="J167" s="53">
        <v>4.1406029222845753E-2</v>
      </c>
      <c r="K167" s="31">
        <v>3198719622.46</v>
      </c>
      <c r="L167" s="57">
        <f t="shared" si="76"/>
        <v>5.7239351253153097E-2</v>
      </c>
      <c r="M167" s="35">
        <v>4.5181290000000001</v>
      </c>
      <c r="N167" s="35">
        <v>4.6563160000000003</v>
      </c>
      <c r="O167" s="34">
        <v>2370</v>
      </c>
      <c r="P167" s="53">
        <v>2.3400964660377888E-2</v>
      </c>
      <c r="Q167" s="53">
        <v>6.5989178366357093E-2</v>
      </c>
      <c r="R167" s="60">
        <f t="shared" si="77"/>
        <v>2.3153779121761267E-2</v>
      </c>
      <c r="S167" s="60">
        <f t="shared" si="78"/>
        <v>2.3236169119615256E-2</v>
      </c>
      <c r="T167" s="60">
        <f t="shared" si="78"/>
        <v>8.4459459459459464E-4</v>
      </c>
      <c r="U167" s="60">
        <f t="shared" si="79"/>
        <v>1.4099462099412596E-2</v>
      </c>
      <c r="V167" s="61">
        <f t="shared" si="79"/>
        <v>2.458314914351134E-2</v>
      </c>
    </row>
    <row r="168" spans="1:22" ht="13.5" customHeight="1">
      <c r="A168" s="167">
        <v>145</v>
      </c>
      <c r="B168" s="165" t="s">
        <v>215</v>
      </c>
      <c r="C168" s="166" t="s">
        <v>216</v>
      </c>
      <c r="D168" s="31">
        <v>74869367.680000007</v>
      </c>
      <c r="E168" s="32">
        <f t="shared" si="75"/>
        <v>1.3573832433664043E-3</v>
      </c>
      <c r="F168" s="35">
        <v>2.1880000000000002</v>
      </c>
      <c r="G168" s="35">
        <v>2.1983999999999999</v>
      </c>
      <c r="H168" s="34">
        <v>78</v>
      </c>
      <c r="I168" s="53">
        <v>1.14E-2</v>
      </c>
      <c r="J168" s="53">
        <v>3.6400000000000002E-2</v>
      </c>
      <c r="K168" s="31">
        <v>74883856.859999999</v>
      </c>
      <c r="L168" s="57">
        <f t="shared" si="76"/>
        <v>1.3400059686081405E-3</v>
      </c>
      <c r="M168" s="35">
        <v>2.2200000000000002</v>
      </c>
      <c r="N168" s="35">
        <v>2.23</v>
      </c>
      <c r="O168" s="34">
        <v>78</v>
      </c>
      <c r="P168" s="53">
        <v>1.6E-2</v>
      </c>
      <c r="Q168" s="53">
        <v>5.2999999999999999E-2</v>
      </c>
      <c r="R168" s="60">
        <f t="shared" si="77"/>
        <v>1.9352614358813093E-4</v>
      </c>
      <c r="S168" s="60">
        <f t="shared" si="78"/>
        <v>1.4374090247452726E-2</v>
      </c>
      <c r="T168" s="60">
        <f t="shared" si="78"/>
        <v>0</v>
      </c>
      <c r="U168" s="60">
        <f t="shared" si="79"/>
        <v>4.5999999999999999E-3</v>
      </c>
      <c r="V168" s="61">
        <f t="shared" si="79"/>
        <v>1.6599999999999997E-2</v>
      </c>
    </row>
    <row r="169" spans="1:22">
      <c r="A169" s="164">
        <v>146</v>
      </c>
      <c r="B169" s="165" t="s">
        <v>217</v>
      </c>
      <c r="C169" s="166" t="s">
        <v>136</v>
      </c>
      <c r="D169" s="31">
        <v>441675051.26999998</v>
      </c>
      <c r="E169" s="32">
        <f t="shared" si="75"/>
        <v>8.0075781615963487E-3</v>
      </c>
      <c r="F169" s="35">
        <v>244.03</v>
      </c>
      <c r="G169" s="35">
        <v>246.49</v>
      </c>
      <c r="H169" s="34">
        <v>143</v>
      </c>
      <c r="I169" s="53">
        <v>1.38E-2</v>
      </c>
      <c r="J169" s="53">
        <v>0.34050000000000002</v>
      </c>
      <c r="K169" s="31">
        <v>450502498.25999999</v>
      </c>
      <c r="L169" s="57">
        <f t="shared" si="76"/>
        <v>8.0614976558951567E-3</v>
      </c>
      <c r="M169" s="35">
        <v>245.01</v>
      </c>
      <c r="N169" s="35">
        <v>247.51</v>
      </c>
      <c r="O169" s="34">
        <v>143</v>
      </c>
      <c r="P169" s="53">
        <v>1.38E-2</v>
      </c>
      <c r="Q169" s="53">
        <v>0.34050000000000002</v>
      </c>
      <c r="R169" s="60">
        <f t="shared" si="77"/>
        <v>1.9986293010251354E-2</v>
      </c>
      <c r="S169" s="60">
        <f t="shared" si="78"/>
        <v>4.138098908677763E-3</v>
      </c>
      <c r="T169" s="60">
        <f t="shared" si="78"/>
        <v>0</v>
      </c>
      <c r="U169" s="60">
        <f t="shared" si="79"/>
        <v>0</v>
      </c>
      <c r="V169" s="61">
        <f t="shared" si="79"/>
        <v>0</v>
      </c>
    </row>
    <row r="170" spans="1:22">
      <c r="A170" s="167">
        <v>147</v>
      </c>
      <c r="B170" s="165" t="s">
        <v>218</v>
      </c>
      <c r="C170" s="166" t="s">
        <v>33</v>
      </c>
      <c r="D170" s="31">
        <v>2232355101.8600001</v>
      </c>
      <c r="E170" s="32">
        <f t="shared" si="75"/>
        <v>4.0472645921887748E-2</v>
      </c>
      <c r="F170" s="35">
        <v>552.22</v>
      </c>
      <c r="G170" s="35">
        <v>552.22</v>
      </c>
      <c r="H170" s="34">
        <v>823</v>
      </c>
      <c r="I170" s="53">
        <v>3.5000000000000001E-3</v>
      </c>
      <c r="J170" s="53">
        <v>0.4279</v>
      </c>
      <c r="K170" s="31">
        <v>2218944017.1199999</v>
      </c>
      <c r="L170" s="57">
        <f t="shared" si="76"/>
        <v>3.9706798656312207E-2</v>
      </c>
      <c r="M170" s="35">
        <v>552.22</v>
      </c>
      <c r="N170" s="35">
        <v>552.22</v>
      </c>
      <c r="O170" s="34">
        <v>823</v>
      </c>
      <c r="P170" s="53">
        <v>-6.0000000000000001E-3</v>
      </c>
      <c r="Q170" s="53">
        <v>0.4194</v>
      </c>
      <c r="R170" s="60">
        <f t="shared" si="77"/>
        <v>-6.0075947275709503E-3</v>
      </c>
      <c r="S170" s="60">
        <f t="shared" si="78"/>
        <v>0</v>
      </c>
      <c r="T170" s="60">
        <f t="shared" si="78"/>
        <v>0</v>
      </c>
      <c r="U170" s="60">
        <f t="shared" si="79"/>
        <v>-9.4999999999999998E-3</v>
      </c>
      <c r="V170" s="61">
        <f t="shared" si="79"/>
        <v>-8.5000000000000075E-3</v>
      </c>
    </row>
    <row r="171" spans="1:22">
      <c r="A171" s="164">
        <v>148</v>
      </c>
      <c r="B171" s="165" t="s">
        <v>219</v>
      </c>
      <c r="C171" s="166" t="s">
        <v>92</v>
      </c>
      <c r="D171" s="35">
        <v>32486329.41</v>
      </c>
      <c r="E171" s="32">
        <f t="shared" si="75"/>
        <v>5.8897784963388654E-4</v>
      </c>
      <c r="F171" s="35">
        <v>1.93</v>
      </c>
      <c r="G171" s="35">
        <v>1.93</v>
      </c>
      <c r="H171" s="34">
        <v>8</v>
      </c>
      <c r="I171" s="53">
        <v>1.21E-2</v>
      </c>
      <c r="J171" s="53">
        <v>3.0578000000000001E-2</v>
      </c>
      <c r="K171" s="35">
        <v>32876005.809999999</v>
      </c>
      <c r="L171" s="57">
        <f t="shared" si="76"/>
        <v>5.8829827758147745E-4</v>
      </c>
      <c r="M171" s="35">
        <v>1.95</v>
      </c>
      <c r="N171" s="35">
        <v>1.95</v>
      </c>
      <c r="O171" s="34">
        <v>8</v>
      </c>
      <c r="P171" s="53">
        <v>8.9289999999999994E-3</v>
      </c>
      <c r="Q171" s="53">
        <v>3.9780000000000003E-2</v>
      </c>
      <c r="R171" s="60">
        <f t="shared" si="77"/>
        <v>1.1995088613490683E-2</v>
      </c>
      <c r="S171" s="60">
        <f t="shared" si="78"/>
        <v>1.0362694300518144E-2</v>
      </c>
      <c r="T171" s="60">
        <f t="shared" si="78"/>
        <v>0</v>
      </c>
      <c r="U171" s="60">
        <f t="shared" si="79"/>
        <v>-3.1710000000000002E-3</v>
      </c>
      <c r="V171" s="61">
        <f t="shared" si="79"/>
        <v>9.2020000000000018E-3</v>
      </c>
    </row>
    <row r="172" spans="1:22">
      <c r="A172" s="167">
        <v>149</v>
      </c>
      <c r="B172" s="165" t="s">
        <v>220</v>
      </c>
      <c r="C172" s="166" t="s">
        <v>45</v>
      </c>
      <c r="D172" s="35">
        <v>263075789.94999999</v>
      </c>
      <c r="E172" s="32">
        <f t="shared" si="75"/>
        <v>4.769569719618472E-3</v>
      </c>
      <c r="F172" s="35">
        <v>2.6423969999999999</v>
      </c>
      <c r="G172" s="35">
        <v>2.6950789999999998</v>
      </c>
      <c r="H172" s="34">
        <v>120</v>
      </c>
      <c r="I172" s="53">
        <v>8.8000000000000005E-3</v>
      </c>
      <c r="J172" s="53">
        <v>0.13850000000000001</v>
      </c>
      <c r="K172" s="35">
        <v>269468448.45999998</v>
      </c>
      <c r="L172" s="57">
        <f t="shared" si="76"/>
        <v>4.8219916071237344E-3</v>
      </c>
      <c r="M172" s="35">
        <v>2.7045870000000001</v>
      </c>
      <c r="N172" s="35">
        <v>2.7581889999999998</v>
      </c>
      <c r="O172" s="34">
        <v>121</v>
      </c>
      <c r="P172" s="53">
        <v>4.1999999999999997E-3</v>
      </c>
      <c r="Q172" s="53">
        <v>0.16520000000000001</v>
      </c>
      <c r="R172" s="60">
        <f t="shared" si="77"/>
        <v>2.4299683795361689E-2</v>
      </c>
      <c r="S172" s="60">
        <f t="shared" si="78"/>
        <v>2.3416753275135906E-2</v>
      </c>
      <c r="T172" s="60">
        <f t="shared" si="78"/>
        <v>8.3333333333333332E-3</v>
      </c>
      <c r="U172" s="60">
        <f t="shared" si="79"/>
        <v>-4.6000000000000008E-3</v>
      </c>
      <c r="V172" s="61">
        <f t="shared" si="79"/>
        <v>2.6700000000000002E-2</v>
      </c>
    </row>
    <row r="173" spans="1:22">
      <c r="A173" s="164">
        <v>150</v>
      </c>
      <c r="B173" s="165" t="s">
        <v>221</v>
      </c>
      <c r="C173" s="166" t="s">
        <v>49</v>
      </c>
      <c r="D173" s="31">
        <v>2462806543.04</v>
      </c>
      <c r="E173" s="32">
        <f t="shared" si="75"/>
        <v>4.4650735497912472E-2</v>
      </c>
      <c r="F173" s="35">
        <v>6519.68</v>
      </c>
      <c r="G173" s="35">
        <v>6579.46</v>
      </c>
      <c r="H173" s="34">
        <v>2255</v>
      </c>
      <c r="I173" s="53">
        <v>1.6899999999999998E-2</v>
      </c>
      <c r="J173" s="53">
        <v>2.2200000000000001E-2</v>
      </c>
      <c r="K173" s="31">
        <v>2486368648.2199998</v>
      </c>
      <c r="L173" s="32">
        <f t="shared" si="76"/>
        <v>4.449221726124316E-2</v>
      </c>
      <c r="M173" s="35">
        <v>6572.84</v>
      </c>
      <c r="N173" s="35">
        <v>6633.26</v>
      </c>
      <c r="O173" s="34">
        <v>2261</v>
      </c>
      <c r="P173" s="53">
        <v>8.2000000000000007E-3</v>
      </c>
      <c r="Q173" s="53">
        <v>3.0499999999999999E-2</v>
      </c>
      <c r="R173" s="60">
        <f t="shared" si="77"/>
        <v>9.5671766207489489E-3</v>
      </c>
      <c r="S173" s="60">
        <f t="shared" si="78"/>
        <v>8.1769628510546741E-3</v>
      </c>
      <c r="T173" s="60">
        <f t="shared" si="78"/>
        <v>2.6607538802660754E-3</v>
      </c>
      <c r="U173" s="60">
        <f t="shared" si="79"/>
        <v>-8.6999999999999977E-3</v>
      </c>
      <c r="V173" s="61">
        <f t="shared" si="79"/>
        <v>8.2999999999999984E-3</v>
      </c>
    </row>
    <row r="174" spans="1:22">
      <c r="A174" s="167">
        <v>151</v>
      </c>
      <c r="B174" s="165" t="s">
        <v>222</v>
      </c>
      <c r="C174" s="165" t="s">
        <v>102</v>
      </c>
      <c r="D174" s="31">
        <v>106646939.38</v>
      </c>
      <c r="E174" s="32">
        <f t="shared" si="75"/>
        <v>1.9335113005020733E-3</v>
      </c>
      <c r="F174" s="35">
        <v>1124.1300000000001</v>
      </c>
      <c r="G174" s="35">
        <v>1139.8499999999999</v>
      </c>
      <c r="H174" s="34">
        <v>10</v>
      </c>
      <c r="I174" s="53">
        <v>7.4699793042170004E-3</v>
      </c>
      <c r="J174" s="53">
        <v>1.5461000000000001E-2</v>
      </c>
      <c r="K174" s="31">
        <v>107457722.33</v>
      </c>
      <c r="L174" s="32">
        <f t="shared" si="76"/>
        <v>1.9228976088189731E-3</v>
      </c>
      <c r="M174" s="35">
        <v>1132.5899999999999</v>
      </c>
      <c r="N174" s="35">
        <v>1148.57</v>
      </c>
      <c r="O174" s="34">
        <v>10</v>
      </c>
      <c r="P174" s="53">
        <v>7.4699793042170004E-3</v>
      </c>
      <c r="Q174" s="53">
        <v>2.3269000000000001E-2</v>
      </c>
      <c r="R174" s="60">
        <f t="shared" si="77"/>
        <v>7.6024961870781354E-3</v>
      </c>
      <c r="S174" s="60">
        <f t="shared" si="78"/>
        <v>7.6501294029916464E-3</v>
      </c>
      <c r="T174" s="60">
        <f t="shared" si="78"/>
        <v>0</v>
      </c>
      <c r="U174" s="60">
        <f t="shared" si="79"/>
        <v>0</v>
      </c>
      <c r="V174" s="61">
        <f t="shared" si="79"/>
        <v>7.8080000000000007E-3</v>
      </c>
    </row>
    <row r="175" spans="1:22">
      <c r="A175" s="164">
        <v>152</v>
      </c>
      <c r="B175" s="165" t="s">
        <v>223</v>
      </c>
      <c r="C175" s="165" t="s">
        <v>85</v>
      </c>
      <c r="D175" s="31">
        <v>718837156.93583703</v>
      </c>
      <c r="E175" s="32">
        <f t="shared" si="75"/>
        <v>1.3032533087554071E-2</v>
      </c>
      <c r="F175" s="35">
        <v>1.37236741361024</v>
      </c>
      <c r="G175" s="35">
        <v>1.37236741361024</v>
      </c>
      <c r="H175" s="34">
        <v>42</v>
      </c>
      <c r="I175" s="53">
        <v>2.77624373199946E-3</v>
      </c>
      <c r="J175" s="53">
        <v>1.96394092100632E-2</v>
      </c>
      <c r="K175" s="31">
        <v>720826769.07501805</v>
      </c>
      <c r="L175" s="32">
        <f t="shared" si="76"/>
        <v>1.2898803739487917E-2</v>
      </c>
      <c r="M175" s="35">
        <v>1.3761658801185299</v>
      </c>
      <c r="N175" s="35">
        <v>1.3761658801185299</v>
      </c>
      <c r="O175" s="34">
        <v>42</v>
      </c>
      <c r="P175" s="53">
        <v>5.5517482647876697E-3</v>
      </c>
      <c r="Q175" s="53">
        <v>2.2461587956081001E-2</v>
      </c>
      <c r="R175" s="60">
        <f t="shared" si="77"/>
        <v>2.7678203887818915E-3</v>
      </c>
      <c r="S175" s="60">
        <f t="shared" si="78"/>
        <v>2.767820388781653E-3</v>
      </c>
      <c r="T175" s="60">
        <f t="shared" si="78"/>
        <v>0</v>
      </c>
      <c r="U175" s="60">
        <f t="shared" si="79"/>
        <v>2.7755045327882096E-3</v>
      </c>
      <c r="V175" s="61">
        <f t="shared" si="79"/>
        <v>2.8221787460178012E-3</v>
      </c>
    </row>
    <row r="176" spans="1:22">
      <c r="A176" s="167">
        <v>153</v>
      </c>
      <c r="B176" s="165" t="s">
        <v>224</v>
      </c>
      <c r="C176" s="166" t="s">
        <v>52</v>
      </c>
      <c r="D176" s="35">
        <v>2236577793.4099998</v>
      </c>
      <c r="E176" s="32">
        <f t="shared" si="75"/>
        <v>4.0549203410343813E-2</v>
      </c>
      <c r="F176" s="35">
        <v>2.0344000000000002</v>
      </c>
      <c r="G176" s="35">
        <v>2.0476999999999999</v>
      </c>
      <c r="H176" s="34">
        <v>2244</v>
      </c>
      <c r="I176" s="53">
        <v>7.7000000000000002E-3</v>
      </c>
      <c r="J176" s="53">
        <v>2.8899999999999999E-2</v>
      </c>
      <c r="K176" s="35">
        <v>2262535760.3099999</v>
      </c>
      <c r="L176" s="57">
        <f t="shared" si="76"/>
        <v>4.0486849237385249E-2</v>
      </c>
      <c r="M176" s="35">
        <v>2.0569999999999999</v>
      </c>
      <c r="N176" s="35">
        <v>2.0703999999999998</v>
      </c>
      <c r="O176" s="34">
        <v>2250</v>
      </c>
      <c r="P176" s="53">
        <v>1.11E-2</v>
      </c>
      <c r="Q176" s="53">
        <v>4.0300000000000002E-2</v>
      </c>
      <c r="R176" s="60">
        <f t="shared" si="77"/>
        <v>1.1606109555627513E-2</v>
      </c>
      <c r="S176" s="60">
        <f t="shared" si="78"/>
        <v>1.1085608243395001E-2</v>
      </c>
      <c r="T176" s="60">
        <f t="shared" si="78"/>
        <v>2.6737967914438501E-3</v>
      </c>
      <c r="U176" s="60">
        <f t="shared" si="79"/>
        <v>3.4000000000000002E-3</v>
      </c>
      <c r="V176" s="61">
        <f t="shared" si="79"/>
        <v>1.1400000000000004E-2</v>
      </c>
    </row>
    <row r="177" spans="1:22">
      <c r="A177" s="164">
        <v>154</v>
      </c>
      <c r="B177" s="165" t="s">
        <v>225</v>
      </c>
      <c r="C177" s="166" t="s">
        <v>52</v>
      </c>
      <c r="D177" s="35">
        <v>1237459695.6800001</v>
      </c>
      <c r="E177" s="32">
        <f t="shared" si="75"/>
        <v>2.2435170848998976E-2</v>
      </c>
      <c r="F177" s="35">
        <v>1.5516000000000001</v>
      </c>
      <c r="G177" s="35">
        <v>1.5606</v>
      </c>
      <c r="H177" s="34">
        <v>841</v>
      </c>
      <c r="I177" s="53">
        <v>9.5999999999999992E-3</v>
      </c>
      <c r="J177" s="53">
        <v>2.1299999999999999E-2</v>
      </c>
      <c r="K177" s="35">
        <v>1271356789.5699999</v>
      </c>
      <c r="L177" s="57">
        <f t="shared" si="76"/>
        <v>2.275023960690643E-2</v>
      </c>
      <c r="M177" s="35">
        <v>1.5702</v>
      </c>
      <c r="N177" s="35">
        <v>1.5792999999999999</v>
      </c>
      <c r="O177" s="34">
        <v>847</v>
      </c>
      <c r="P177" s="53">
        <v>1.1900000000000001E-2</v>
      </c>
      <c r="Q177" s="53">
        <v>3.3500000000000002E-2</v>
      </c>
      <c r="R177" s="60">
        <f t="shared" si="77"/>
        <v>2.7392483172046244E-2</v>
      </c>
      <c r="S177" s="60">
        <f t="shared" si="78"/>
        <v>1.1982570806100179E-2</v>
      </c>
      <c r="T177" s="60">
        <f t="shared" si="78"/>
        <v>7.1343638525564806E-3</v>
      </c>
      <c r="U177" s="60">
        <f t="shared" si="79"/>
        <v>2.3000000000000017E-3</v>
      </c>
      <c r="V177" s="61">
        <f t="shared" si="79"/>
        <v>1.2200000000000003E-2</v>
      </c>
    </row>
    <row r="178" spans="1:22">
      <c r="A178" s="167">
        <v>155</v>
      </c>
      <c r="B178" s="165" t="s">
        <v>226</v>
      </c>
      <c r="C178" s="166" t="s">
        <v>107</v>
      </c>
      <c r="D178" s="31">
        <v>9826892525.7299995</v>
      </c>
      <c r="E178" s="32">
        <f t="shared" si="75"/>
        <v>0.17816177245946874</v>
      </c>
      <c r="F178" s="35">
        <v>534.66999999999996</v>
      </c>
      <c r="G178" s="35">
        <v>541.23</v>
      </c>
      <c r="H178" s="34">
        <v>38</v>
      </c>
      <c r="I178" s="53">
        <v>1.3856512760379802E-2</v>
      </c>
      <c r="J178" s="53">
        <v>3.3931213762618651E-2</v>
      </c>
      <c r="K178" s="31">
        <v>9921315627.7700005</v>
      </c>
      <c r="L178" s="57">
        <v>5.2058</v>
      </c>
      <c r="M178" s="35">
        <v>539.70000000000005</v>
      </c>
      <c r="N178" s="35">
        <v>546.49</v>
      </c>
      <c r="O178" s="34">
        <v>38</v>
      </c>
      <c r="P178" s="53">
        <v>9.5999999999999992E-3</v>
      </c>
      <c r="Q178" s="53">
        <v>4.3900000000000002E-2</v>
      </c>
      <c r="R178" s="60">
        <f t="shared" si="77"/>
        <v>9.6086429960204143E-3</v>
      </c>
      <c r="S178" s="60">
        <f t="shared" si="78"/>
        <v>9.7186039206991308E-3</v>
      </c>
      <c r="T178" s="60">
        <f t="shared" si="78"/>
        <v>0</v>
      </c>
      <c r="U178" s="60">
        <f t="shared" si="79"/>
        <v>-4.256512760379803E-3</v>
      </c>
      <c r="V178" s="61">
        <f t="shared" si="79"/>
        <v>9.968786237381351E-3</v>
      </c>
    </row>
    <row r="179" spans="1:22">
      <c r="A179" s="38"/>
      <c r="B179" s="39"/>
      <c r="C179" s="40" t="s">
        <v>53</v>
      </c>
      <c r="D179" s="78">
        <f>SUM(D151:D178)</f>
        <v>55157132700.650406</v>
      </c>
      <c r="E179" s="42">
        <f>(D179/$D$210)</f>
        <v>1.338963678428455E-2</v>
      </c>
      <c r="F179" s="43"/>
      <c r="G179" s="79"/>
      <c r="H179" s="45">
        <f>SUM(H151:H178)</f>
        <v>69339</v>
      </c>
      <c r="I179" s="85"/>
      <c r="J179" s="85"/>
      <c r="K179" s="78">
        <f>SUM(K151:K178)</f>
        <v>55883226354.418106</v>
      </c>
      <c r="L179" s="42">
        <f>(K179/$K$210)</f>
        <v>1.359087206731479E-2</v>
      </c>
      <c r="M179" s="43"/>
      <c r="N179" s="79"/>
      <c r="O179" s="45">
        <f>SUM(O151:O178)</f>
        <v>69378</v>
      </c>
      <c r="P179" s="85"/>
      <c r="Q179" s="85"/>
      <c r="R179" s="60">
        <f t="shared" ref="R179" si="80">((K179-D179)/D179)</f>
        <v>1.3164093530901366E-2</v>
      </c>
      <c r="S179" s="60" t="e">
        <f t="shared" ref="S179" si="81">((N179-G179)/G179)</f>
        <v>#DIV/0!</v>
      </c>
      <c r="T179" s="60">
        <f t="shared" ref="T179" si="82">((O179-H179)/H179)</f>
        <v>5.624540301994548E-4</v>
      </c>
      <c r="U179" s="60">
        <f t="shared" ref="U179" si="83">P179-I179</f>
        <v>0</v>
      </c>
      <c r="V179" s="61">
        <f t="shared" ref="V179" si="84">Q179-J179</f>
        <v>0</v>
      </c>
    </row>
    <row r="180" spans="1:22" ht="5.25" customHeight="1">
      <c r="A180" s="38"/>
      <c r="B180" s="183"/>
      <c r="C180" s="183"/>
      <c r="D180" s="183"/>
      <c r="E180" s="183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183"/>
      <c r="R180" s="183"/>
      <c r="S180" s="183"/>
      <c r="T180" s="183"/>
      <c r="U180" s="183"/>
      <c r="V180" s="183"/>
    </row>
    <row r="181" spans="1:22" ht="15" customHeight="1">
      <c r="A181" s="185" t="s">
        <v>227</v>
      </c>
      <c r="B181" s="185"/>
      <c r="C181" s="185"/>
      <c r="D181" s="185"/>
      <c r="E181" s="185"/>
      <c r="F181" s="185"/>
      <c r="G181" s="185"/>
      <c r="H181" s="185"/>
      <c r="I181" s="185"/>
      <c r="J181" s="185"/>
      <c r="K181" s="185"/>
      <c r="L181" s="185"/>
      <c r="M181" s="185"/>
      <c r="N181" s="185"/>
      <c r="O181" s="185"/>
      <c r="P181" s="185"/>
      <c r="Q181" s="185"/>
      <c r="R181" s="185"/>
      <c r="S181" s="185"/>
      <c r="T181" s="185"/>
      <c r="U181" s="185"/>
      <c r="V181" s="185"/>
    </row>
    <row r="182" spans="1:22" ht="16.2" customHeight="1">
      <c r="A182" s="164">
        <v>156</v>
      </c>
      <c r="B182" s="165" t="s">
        <v>228</v>
      </c>
      <c r="C182" s="166" t="s">
        <v>23</v>
      </c>
      <c r="D182" s="81">
        <v>1013977673.4</v>
      </c>
      <c r="E182" s="32">
        <f>(D182/$D$185)</f>
        <v>0.16494432102237971</v>
      </c>
      <c r="F182" s="80">
        <v>68.867099999999994</v>
      </c>
      <c r="G182" s="80">
        <v>70.9435</v>
      </c>
      <c r="H182" s="36">
        <v>1671</v>
      </c>
      <c r="I182" s="54">
        <v>0.18479999999999999</v>
      </c>
      <c r="J182" s="54">
        <v>6.6199999999999995E-2</v>
      </c>
      <c r="K182" s="81">
        <v>1028864066.46</v>
      </c>
      <c r="L182" s="57">
        <f>(K182/$K$185)</f>
        <v>0.16425391961737432</v>
      </c>
      <c r="M182" s="80">
        <v>70.380300000000005</v>
      </c>
      <c r="N182" s="80">
        <v>72.502399999999994</v>
      </c>
      <c r="O182" s="36">
        <v>1673</v>
      </c>
      <c r="P182" s="54">
        <v>1.1457999999999999</v>
      </c>
      <c r="Q182" s="54">
        <v>0.31109999999999999</v>
      </c>
      <c r="R182" s="60">
        <f>((K182-D182)/D182)</f>
        <v>1.4681184261270798E-2</v>
      </c>
      <c r="S182" s="60">
        <f t="shared" ref="S182:T185" si="85">((N182-G182)/G182)</f>
        <v>2.1973824240416589E-2</v>
      </c>
      <c r="T182" s="60">
        <f t="shared" si="85"/>
        <v>1.1968880909634949E-3</v>
      </c>
      <c r="U182" s="60">
        <f t="shared" ref="U182:V185" si="86">P182-I182</f>
        <v>0.96099999999999997</v>
      </c>
      <c r="V182" s="61">
        <f t="shared" si="86"/>
        <v>0.24490000000000001</v>
      </c>
    </row>
    <row r="183" spans="1:22">
      <c r="A183" s="164">
        <v>157</v>
      </c>
      <c r="B183" s="165" t="s">
        <v>229</v>
      </c>
      <c r="C183" s="166" t="s">
        <v>230</v>
      </c>
      <c r="D183" s="81">
        <v>988364311.48000002</v>
      </c>
      <c r="E183" s="32">
        <f>(D183/$D$185)</f>
        <v>0.16077778096748024</v>
      </c>
      <c r="F183" s="80">
        <v>27.817900000000002</v>
      </c>
      <c r="G183" s="80">
        <v>28.116800000000001</v>
      </c>
      <c r="H183" s="34">
        <v>1481</v>
      </c>
      <c r="I183" s="53">
        <v>2.0500000000000001E-2</v>
      </c>
      <c r="J183" s="53">
        <v>4.5499999999999999E-2</v>
      </c>
      <c r="K183" s="81">
        <v>1005143743.87</v>
      </c>
      <c r="L183" s="57">
        <f>(K183/$K$185)</f>
        <v>0.16046706760552254</v>
      </c>
      <c r="M183" s="80">
        <v>28.5244</v>
      </c>
      <c r="N183" s="80">
        <v>28.793700000000001</v>
      </c>
      <c r="O183" s="34">
        <v>1483</v>
      </c>
      <c r="P183" s="53">
        <v>2.06E-2</v>
      </c>
      <c r="Q183" s="53">
        <v>7.1300000000000002E-2</v>
      </c>
      <c r="R183" s="60">
        <f>((K183-D183)/D183)</f>
        <v>1.6976971138176842E-2</v>
      </c>
      <c r="S183" s="60">
        <f t="shared" si="85"/>
        <v>2.4074574631537012E-2</v>
      </c>
      <c r="T183" s="60">
        <f t="shared" si="85"/>
        <v>1.3504388926401081E-3</v>
      </c>
      <c r="U183" s="60">
        <f t="shared" si="86"/>
        <v>9.9999999999999395E-5</v>
      </c>
      <c r="V183" s="61">
        <f t="shared" si="86"/>
        <v>2.5800000000000003E-2</v>
      </c>
    </row>
    <row r="184" spans="1:22">
      <c r="A184" s="164">
        <v>158</v>
      </c>
      <c r="B184" s="165" t="s">
        <v>231</v>
      </c>
      <c r="C184" s="166" t="s">
        <v>49</v>
      </c>
      <c r="D184" s="47">
        <v>4145051675.6900001</v>
      </c>
      <c r="E184" s="32">
        <f>(D184/$D$185)</f>
        <v>0.67427789801014015</v>
      </c>
      <c r="F184" s="80">
        <v>2.97</v>
      </c>
      <c r="G184" s="80">
        <v>3.01</v>
      </c>
      <c r="H184" s="34">
        <v>10222</v>
      </c>
      <c r="I184" s="53">
        <v>2.0299999999999999E-2</v>
      </c>
      <c r="J184" s="53">
        <v>3.7900000000000003E-2</v>
      </c>
      <c r="K184" s="47">
        <v>4229855291.73</v>
      </c>
      <c r="L184" s="57">
        <f>(K184/$K$185)</f>
        <v>0.67527901277710323</v>
      </c>
      <c r="M184" s="80">
        <v>3.02</v>
      </c>
      <c r="N184" s="80">
        <v>3.06</v>
      </c>
      <c r="O184" s="34">
        <v>10236</v>
      </c>
      <c r="P184" s="53">
        <v>1.66E-2</v>
      </c>
      <c r="Q184" s="53">
        <v>5.5199999999999999E-2</v>
      </c>
      <c r="R184" s="60">
        <f>((K184-D184)/D184)</f>
        <v>2.0459000918458575E-2</v>
      </c>
      <c r="S184" s="60">
        <f t="shared" si="85"/>
        <v>1.6611295681063211E-2</v>
      </c>
      <c r="T184" s="60">
        <f t="shared" si="85"/>
        <v>1.3695949911954608E-3</v>
      </c>
      <c r="U184" s="60">
        <f t="shared" si="86"/>
        <v>-3.6999999999999984E-3</v>
      </c>
      <c r="V184" s="61">
        <f t="shared" si="86"/>
        <v>1.7299999999999996E-2</v>
      </c>
    </row>
    <row r="185" spans="1:22">
      <c r="A185" s="38"/>
      <c r="B185" s="39"/>
      <c r="C185" s="74" t="s">
        <v>53</v>
      </c>
      <c r="D185" s="78">
        <f>SUM(D182:D184)</f>
        <v>6147393660.5699997</v>
      </c>
      <c r="E185" s="42">
        <f>(D185/$D$210)</f>
        <v>1.4923068741039746E-3</v>
      </c>
      <c r="F185" s="43"/>
      <c r="G185" s="79"/>
      <c r="H185" s="45">
        <f>SUM(H182:H184)</f>
        <v>13374</v>
      </c>
      <c r="I185" s="85"/>
      <c r="J185" s="85"/>
      <c r="K185" s="78">
        <f>SUM(K182:K184)</f>
        <v>6263863102.0599995</v>
      </c>
      <c r="L185" s="42">
        <f>(K185/$K$210)</f>
        <v>1.5233795115435487E-3</v>
      </c>
      <c r="M185" s="43"/>
      <c r="N185" s="79"/>
      <c r="O185" s="45">
        <f>SUM(O182:O184)</f>
        <v>13392</v>
      </c>
      <c r="P185" s="85"/>
      <c r="Q185" s="85"/>
      <c r="R185" s="60">
        <f>((K185-D185)/D185)</f>
        <v>1.8946149851610524E-2</v>
      </c>
      <c r="S185" s="60" t="e">
        <f t="shared" si="85"/>
        <v>#DIV/0!</v>
      </c>
      <c r="T185" s="60">
        <f t="shared" si="85"/>
        <v>1.3458950201884253E-3</v>
      </c>
      <c r="U185" s="60">
        <f t="shared" si="86"/>
        <v>0</v>
      </c>
      <c r="V185" s="61">
        <f t="shared" si="86"/>
        <v>0</v>
      </c>
    </row>
    <row r="186" spans="1:22" ht="6" customHeight="1">
      <c r="A186" s="38"/>
      <c r="B186" s="183"/>
      <c r="C186" s="183"/>
      <c r="D186" s="183"/>
      <c r="E186" s="183"/>
      <c r="F186" s="183"/>
      <c r="G186" s="183"/>
      <c r="H186" s="183"/>
      <c r="I186" s="183"/>
      <c r="J186" s="183"/>
      <c r="K186" s="183"/>
      <c r="L186" s="183"/>
      <c r="M186" s="183"/>
      <c r="N186" s="183"/>
      <c r="O186" s="183"/>
      <c r="P186" s="183"/>
      <c r="Q186" s="183"/>
      <c r="R186" s="183"/>
      <c r="S186" s="183"/>
      <c r="T186" s="183"/>
      <c r="U186" s="183"/>
      <c r="V186" s="183"/>
    </row>
    <row r="187" spans="1:22" ht="15" customHeight="1">
      <c r="A187" s="186" t="s">
        <v>232</v>
      </c>
      <c r="B187" s="186"/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</row>
    <row r="188" spans="1:22">
      <c r="A188" s="187" t="s">
        <v>233</v>
      </c>
      <c r="B188" s="187"/>
      <c r="C188" s="187"/>
      <c r="D188" s="187"/>
      <c r="E188" s="187"/>
      <c r="F188" s="187"/>
      <c r="G188" s="187"/>
      <c r="H188" s="187"/>
      <c r="I188" s="187"/>
      <c r="J188" s="187"/>
      <c r="K188" s="187"/>
      <c r="L188" s="187"/>
      <c r="M188" s="187"/>
      <c r="N188" s="187"/>
      <c r="O188" s="187"/>
      <c r="P188" s="187"/>
      <c r="Q188" s="187"/>
      <c r="R188" s="187"/>
      <c r="S188" s="187"/>
      <c r="T188" s="187"/>
      <c r="U188" s="187"/>
      <c r="V188" s="187"/>
    </row>
    <row r="189" spans="1:22">
      <c r="A189" s="164">
        <v>159</v>
      </c>
      <c r="B189" s="165" t="s">
        <v>234</v>
      </c>
      <c r="C189" s="166" t="s">
        <v>235</v>
      </c>
      <c r="D189" s="50">
        <v>5080884265.6899996</v>
      </c>
      <c r="E189" s="32">
        <f>(D189/$D$209)</f>
        <v>9.2478262424781341E-2</v>
      </c>
      <c r="F189" s="82">
        <v>2.2799999999999998</v>
      </c>
      <c r="G189" s="82">
        <v>2.3199999999999998</v>
      </c>
      <c r="H189" s="49">
        <v>15033</v>
      </c>
      <c r="I189" s="56">
        <v>1.8E-3</v>
      </c>
      <c r="J189" s="56">
        <v>4.8999999999999998E-3</v>
      </c>
      <c r="K189" s="50">
        <v>5168065725</v>
      </c>
      <c r="L189" s="32">
        <f>(K189/$K$209)</f>
        <v>9.3365431469830659E-2</v>
      </c>
      <c r="M189" s="82">
        <v>2.3199999999999998</v>
      </c>
      <c r="N189" s="82">
        <v>2.36</v>
      </c>
      <c r="O189" s="49">
        <v>14984</v>
      </c>
      <c r="P189" s="56">
        <v>1.6799999999999999E-2</v>
      </c>
      <c r="Q189" s="56">
        <v>2.18E-2</v>
      </c>
      <c r="R189" s="60">
        <f>((K189-D189)/D189)</f>
        <v>1.7158717804047621E-2</v>
      </c>
      <c r="S189" s="60">
        <f>((N189-G189)/G189)</f>
        <v>1.7241379310344845E-2</v>
      </c>
      <c r="T189" s="60">
        <f>((O189-H189)/H189)</f>
        <v>-3.2594957759595556E-3</v>
      </c>
      <c r="U189" s="60">
        <f>P189-I189</f>
        <v>1.4999999999999999E-2</v>
      </c>
      <c r="V189" s="61">
        <f>Q189-J189</f>
        <v>1.6899999999999998E-2</v>
      </c>
    </row>
    <row r="190" spans="1:22">
      <c r="A190" s="164">
        <v>160</v>
      </c>
      <c r="B190" s="165" t="s">
        <v>236</v>
      </c>
      <c r="C190" s="166" t="s">
        <v>49</v>
      </c>
      <c r="D190" s="50">
        <v>773661629.19000006</v>
      </c>
      <c r="E190" s="32">
        <f>(D190/$D$209)</f>
        <v>1.4081580967186312E-2</v>
      </c>
      <c r="F190" s="82">
        <v>504.49</v>
      </c>
      <c r="G190" s="82">
        <v>510.93</v>
      </c>
      <c r="H190" s="49">
        <v>862</v>
      </c>
      <c r="I190" s="56">
        <v>-1.6000000000000001E-3</v>
      </c>
      <c r="J190" s="56">
        <v>1.24E-2</v>
      </c>
      <c r="K190" s="50">
        <v>781117322.89999998</v>
      </c>
      <c r="L190" s="32">
        <f>(K190/$K$209)</f>
        <v>1.4111538003150596E-2</v>
      </c>
      <c r="M190" s="82">
        <v>520.29999999999995</v>
      </c>
      <c r="N190" s="82">
        <v>527.15</v>
      </c>
      <c r="O190" s="49">
        <v>866</v>
      </c>
      <c r="P190" s="56">
        <v>3.1699999999999999E-2</v>
      </c>
      <c r="Q190" s="56">
        <v>4.4499999999999998E-2</v>
      </c>
      <c r="R190" s="60">
        <f>((K190-D190)/D190)</f>
        <v>9.6368921873581873E-3</v>
      </c>
      <c r="S190" s="60">
        <f>((N190-G190)/G190)</f>
        <v>3.1746031746031689E-2</v>
      </c>
      <c r="T190" s="60">
        <f>((O190-H190)/H190)</f>
        <v>4.6403712296983757E-3</v>
      </c>
      <c r="U190" s="60">
        <f>P190-I190</f>
        <v>3.3299999999999996E-2</v>
      </c>
      <c r="V190" s="61">
        <f>Q190-J190</f>
        <v>3.2099999999999997E-2</v>
      </c>
    </row>
    <row r="191" spans="1:22" ht="6" customHeight="1">
      <c r="A191" s="38"/>
      <c r="B191" s="183"/>
      <c r="C191" s="183"/>
      <c r="D191" s="183"/>
      <c r="E191" s="183"/>
      <c r="F191" s="183"/>
      <c r="G191" s="183"/>
      <c r="H191" s="183"/>
      <c r="I191" s="183"/>
      <c r="J191" s="183"/>
      <c r="K191" s="183"/>
      <c r="L191" s="183"/>
      <c r="M191" s="183"/>
      <c r="N191" s="183"/>
      <c r="O191" s="183"/>
      <c r="P191" s="183"/>
      <c r="Q191" s="183"/>
      <c r="R191" s="183"/>
      <c r="S191" s="183"/>
      <c r="T191" s="183"/>
      <c r="U191" s="183"/>
      <c r="V191" s="183"/>
    </row>
    <row r="192" spans="1:22" ht="15" customHeight="1">
      <c r="A192" s="187" t="s">
        <v>175</v>
      </c>
      <c r="B192" s="187"/>
      <c r="C192" s="187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  <c r="T192" s="187"/>
      <c r="U192" s="187"/>
      <c r="V192" s="187"/>
    </row>
    <row r="193" spans="1:24">
      <c r="A193" s="164">
        <v>161</v>
      </c>
      <c r="B193" s="165" t="s">
        <v>296</v>
      </c>
      <c r="C193" s="166" t="s">
        <v>23</v>
      </c>
      <c r="D193" s="31">
        <v>749510612.16999996</v>
      </c>
      <c r="E193" s="32">
        <f t="shared" ref="E193:E205" si="87">(D193/$D$209)</f>
        <v>1.3642003135255983E-2</v>
      </c>
      <c r="F193" s="80">
        <v>1.0255000000000001</v>
      </c>
      <c r="G193" s="80">
        <v>1.0255000000000001</v>
      </c>
      <c r="H193" s="34">
        <v>295</v>
      </c>
      <c r="I193" s="53">
        <v>0.16830000000000001</v>
      </c>
      <c r="J193" s="53">
        <v>0.18609999999999999</v>
      </c>
      <c r="K193" s="31">
        <v>900491564.90999997</v>
      </c>
      <c r="L193" s="32">
        <f t="shared" ref="L193:L205" si="88">(K193/$K$209)</f>
        <v>1.6268133566115815E-2</v>
      </c>
      <c r="M193" s="80">
        <v>1.0288999999999999</v>
      </c>
      <c r="N193" s="80">
        <v>1.0288999999999999</v>
      </c>
      <c r="O193" s="34">
        <v>380</v>
      </c>
      <c r="P193" s="53">
        <v>0.18360000000000001</v>
      </c>
      <c r="Q193" s="53">
        <v>0.18609999999999999</v>
      </c>
      <c r="R193" s="60">
        <f>((K193-D193)/D193)</f>
        <v>0.20143937962783018</v>
      </c>
      <c r="S193" s="60">
        <f>((N193-G193)/G193)</f>
        <v>3.3154558751826886E-3</v>
      </c>
      <c r="T193" s="60">
        <f>((O193-H193)/H193)</f>
        <v>0.28813559322033899</v>
      </c>
      <c r="U193" s="60">
        <f>P193-I193</f>
        <v>1.5300000000000008E-2</v>
      </c>
      <c r="V193" s="61">
        <f>Q193-J193</f>
        <v>0</v>
      </c>
      <c r="X193" s="86"/>
    </row>
    <row r="194" spans="1:24">
      <c r="A194" s="164">
        <v>162</v>
      </c>
      <c r="B194" s="165" t="s">
        <v>237</v>
      </c>
      <c r="C194" s="166" t="s">
        <v>238</v>
      </c>
      <c r="D194" s="31">
        <v>350756019.29000002</v>
      </c>
      <c r="E194" s="32">
        <f t="shared" ref="E194" si="89">(D194/$D$209)</f>
        <v>6.3841854100109485E-3</v>
      </c>
      <c r="F194" s="80">
        <v>1080.0899999999999</v>
      </c>
      <c r="G194" s="80">
        <v>1080.0899999999999</v>
      </c>
      <c r="H194" s="34">
        <v>19</v>
      </c>
      <c r="I194" s="53">
        <v>2E-3</v>
      </c>
      <c r="J194" s="53">
        <v>7.1999999999999998E-3</v>
      </c>
      <c r="K194" s="31">
        <v>338714486.50999999</v>
      </c>
      <c r="L194" s="32">
        <f t="shared" ref="L194" si="90">(K194/$K$209)</f>
        <v>6.1191606029910323E-3</v>
      </c>
      <c r="M194" s="80">
        <v>1027.6300000000001</v>
      </c>
      <c r="N194" s="80">
        <v>1027.6300000000001</v>
      </c>
      <c r="O194" s="34">
        <v>19</v>
      </c>
      <c r="P194" s="53">
        <v>2.2000000000000001E-3</v>
      </c>
      <c r="Q194" s="53">
        <v>9.4000000000000004E-3</v>
      </c>
      <c r="R194" s="60">
        <f>((K194-D194)/D194)</f>
        <v>-3.4330224195081499E-2</v>
      </c>
      <c r="S194" s="60">
        <f>((N194-G194)/G194)</f>
        <v>-4.8570026571859576E-2</v>
      </c>
      <c r="T194" s="60">
        <f>((O194-H194)/H194)</f>
        <v>0</v>
      </c>
      <c r="U194" s="60">
        <f>P194-I194</f>
        <v>2.0000000000000009E-4</v>
      </c>
      <c r="V194" s="61">
        <f>Q194-J194</f>
        <v>2.2000000000000006E-3</v>
      </c>
      <c r="X194" s="86"/>
    </row>
    <row r="195" spans="1:24">
      <c r="A195" s="164">
        <v>163</v>
      </c>
      <c r="B195" s="165" t="s">
        <v>239</v>
      </c>
      <c r="C195" s="166" t="s">
        <v>67</v>
      </c>
      <c r="D195" s="31">
        <v>132271928.70999999</v>
      </c>
      <c r="E195" s="32">
        <f t="shared" si="87"/>
        <v>2.4075096961521064E-3</v>
      </c>
      <c r="F195" s="80">
        <v>116.9</v>
      </c>
      <c r="G195" s="80">
        <v>116.9</v>
      </c>
      <c r="H195" s="34">
        <v>75</v>
      </c>
      <c r="I195" s="53">
        <v>2.5999999999999999E-3</v>
      </c>
      <c r="J195" s="53">
        <v>0.14680000000000001</v>
      </c>
      <c r="K195" s="31">
        <v>132704306.98999999</v>
      </c>
      <c r="L195" s="32">
        <f t="shared" si="88"/>
        <v>2.3974143401642232E-3</v>
      </c>
      <c r="M195" s="80">
        <v>117.21</v>
      </c>
      <c r="N195" s="80">
        <v>117.21</v>
      </c>
      <c r="O195" s="34">
        <v>75</v>
      </c>
      <c r="P195" s="53">
        <v>2.7000000000000001E-3</v>
      </c>
      <c r="Q195" s="53">
        <v>0.14680000000000001</v>
      </c>
      <c r="R195" s="60">
        <f t="shared" ref="R195:R210" si="91">((K195-D195)/D195)</f>
        <v>3.2688589651396881E-3</v>
      </c>
      <c r="S195" s="60">
        <f t="shared" ref="S195:S209" si="92">((N195-G195)/G195)</f>
        <v>2.6518391787851842E-3</v>
      </c>
      <c r="T195" s="60">
        <f t="shared" ref="T195:T209" si="93">((O195-H195)/H195)</f>
        <v>0</v>
      </c>
      <c r="U195" s="60">
        <f t="shared" ref="U195:U209" si="94">P195-I195</f>
        <v>1.0000000000000026E-4</v>
      </c>
      <c r="V195" s="61">
        <f t="shared" ref="V195:V209" si="95">Q195-J195</f>
        <v>0</v>
      </c>
    </row>
    <row r="196" spans="1:24">
      <c r="A196" s="164">
        <v>164</v>
      </c>
      <c r="B196" s="170" t="s">
        <v>240</v>
      </c>
      <c r="C196" s="166" t="s">
        <v>73</v>
      </c>
      <c r="D196" s="47">
        <v>54686592.75</v>
      </c>
      <c r="E196" s="32">
        <f t="shared" si="87"/>
        <v>9.9536238398550579E-4</v>
      </c>
      <c r="F196" s="80">
        <v>97.44</v>
      </c>
      <c r="G196" s="80">
        <v>97.69</v>
      </c>
      <c r="H196" s="34">
        <v>15</v>
      </c>
      <c r="I196" s="53">
        <v>5.4000000000000003E-3</v>
      </c>
      <c r="J196" s="53">
        <v>4.7000000000000002E-3</v>
      </c>
      <c r="K196" s="47">
        <v>62125663.43</v>
      </c>
      <c r="L196" s="32">
        <f t="shared" si="88"/>
        <v>1.1223520907314756E-3</v>
      </c>
      <c r="M196" s="80">
        <v>102.49</v>
      </c>
      <c r="N196" s="80">
        <v>102.95</v>
      </c>
      <c r="O196" s="34">
        <v>15</v>
      </c>
      <c r="P196" s="53">
        <v>5.3499999999999999E-2</v>
      </c>
      <c r="Q196" s="53">
        <v>5.8200000000000002E-2</v>
      </c>
      <c r="R196" s="60">
        <f t="shared" si="91"/>
        <v>0.13603097772076866</v>
      </c>
      <c r="S196" s="60">
        <f t="shared" si="92"/>
        <v>5.3843791585628062E-2</v>
      </c>
      <c r="T196" s="60">
        <f t="shared" si="93"/>
        <v>0</v>
      </c>
      <c r="U196" s="60">
        <f t="shared" si="94"/>
        <v>4.8099999999999997E-2</v>
      </c>
      <c r="V196" s="61">
        <f t="shared" si="95"/>
        <v>5.3499999999999999E-2</v>
      </c>
    </row>
    <row r="197" spans="1:24">
      <c r="A197" s="164">
        <v>165</v>
      </c>
      <c r="B197" s="165" t="s">
        <v>241</v>
      </c>
      <c r="C197" s="166" t="s">
        <v>76</v>
      </c>
      <c r="D197" s="47">
        <v>110010435.45</v>
      </c>
      <c r="E197" s="32">
        <v>0</v>
      </c>
      <c r="F197" s="80">
        <v>1.0505</v>
      </c>
      <c r="G197" s="80">
        <v>1.0505</v>
      </c>
      <c r="H197" s="34">
        <v>24</v>
      </c>
      <c r="I197" s="53">
        <v>1.6000000000000001E-3</v>
      </c>
      <c r="J197" s="53">
        <v>0.1249</v>
      </c>
      <c r="K197" s="47">
        <v>112231772.77</v>
      </c>
      <c r="L197" s="32">
        <f t="shared" si="88"/>
        <v>2.0275608800031353E-3</v>
      </c>
      <c r="M197" s="80">
        <v>1.0526</v>
      </c>
      <c r="N197" s="80">
        <v>1.0526</v>
      </c>
      <c r="O197" s="34">
        <v>24</v>
      </c>
      <c r="P197" s="53">
        <v>1.2999999999999999E-3</v>
      </c>
      <c r="Q197" s="53">
        <v>0.1215</v>
      </c>
      <c r="R197" s="60">
        <f t="shared" ref="R197:R198" si="96">((K197-D197)/D197)</f>
        <v>2.0192060061516581E-2</v>
      </c>
      <c r="S197" s="60">
        <f t="shared" ref="S197:S198" si="97">((N197-G197)/G197)</f>
        <v>1.9990480723464927E-3</v>
      </c>
      <c r="T197" s="60">
        <f t="shared" ref="T197" si="98">((O197-H197)/H197)</f>
        <v>0</v>
      </c>
      <c r="U197" s="60">
        <f t="shared" ref="U197" si="99">P197-I197</f>
        <v>-3.0000000000000014E-4</v>
      </c>
      <c r="V197" s="61">
        <f t="shared" ref="V197" si="100">Q197-J197</f>
        <v>-3.4000000000000002E-3</v>
      </c>
    </row>
    <row r="198" spans="1:24">
      <c r="A198" s="164">
        <v>166</v>
      </c>
      <c r="B198" s="165" t="s">
        <v>242</v>
      </c>
      <c r="C198" s="166" t="s">
        <v>31</v>
      </c>
      <c r="D198" s="31">
        <v>7792505423.9099998</v>
      </c>
      <c r="E198" s="32">
        <f t="shared" si="87"/>
        <v>0.14183305973040425</v>
      </c>
      <c r="F198" s="80">
        <v>144.88</v>
      </c>
      <c r="G198" s="80">
        <v>144.88</v>
      </c>
      <c r="H198" s="34">
        <v>693</v>
      </c>
      <c r="I198" s="53">
        <v>2.8E-3</v>
      </c>
      <c r="J198" s="53">
        <v>9.7999999999999997E-3</v>
      </c>
      <c r="K198" s="31">
        <v>7738767432.5600004</v>
      </c>
      <c r="L198" s="32">
        <f t="shared" si="88"/>
        <v>0.13980730873650762</v>
      </c>
      <c r="M198" s="80">
        <v>145.35</v>
      </c>
      <c r="N198" s="80">
        <v>145.35</v>
      </c>
      <c r="O198" s="34">
        <v>692</v>
      </c>
      <c r="P198" s="53">
        <v>3.2000000000000002E-3</v>
      </c>
      <c r="Q198" s="53">
        <v>1.3100000000000001E-2</v>
      </c>
      <c r="R198" s="60">
        <f t="shared" si="96"/>
        <v>-6.8961121522114555E-3</v>
      </c>
      <c r="S198" s="60">
        <f t="shared" si="97"/>
        <v>3.2440640530093795E-3</v>
      </c>
      <c r="T198" s="60">
        <f t="shared" si="93"/>
        <v>-1.443001443001443E-3</v>
      </c>
      <c r="U198" s="60">
        <f t="shared" si="94"/>
        <v>4.0000000000000018E-4</v>
      </c>
      <c r="V198" s="61">
        <f t="shared" si="95"/>
        <v>3.3000000000000008E-3</v>
      </c>
    </row>
    <row r="199" spans="1:24">
      <c r="A199" s="164">
        <v>167</v>
      </c>
      <c r="B199" s="165" t="s">
        <v>243</v>
      </c>
      <c r="C199" s="166" t="s">
        <v>65</v>
      </c>
      <c r="D199" s="31">
        <v>551031208.64448202</v>
      </c>
      <c r="E199" s="32">
        <f t="shared" si="87"/>
        <v>1.0029437013824314E-2</v>
      </c>
      <c r="F199" s="37">
        <v>1201.3054350494499</v>
      </c>
      <c r="G199" s="37">
        <v>1201.3054350494499</v>
      </c>
      <c r="H199" s="34">
        <v>123</v>
      </c>
      <c r="I199" s="53">
        <v>0.18147316252221232</v>
      </c>
      <c r="J199" s="53">
        <v>0.18333622775606886</v>
      </c>
      <c r="K199" s="31">
        <v>557193049.51679301</v>
      </c>
      <c r="L199" s="32">
        <f t="shared" si="88"/>
        <v>1.0066158645868633E-2</v>
      </c>
      <c r="M199" s="37">
        <v>1205.4529174966899</v>
      </c>
      <c r="N199" s="37">
        <v>1205.4529174966899</v>
      </c>
      <c r="O199" s="34">
        <v>125</v>
      </c>
      <c r="P199" s="53">
        <v>0.1800221479394549</v>
      </c>
      <c r="Q199" s="53">
        <v>0.18307792424419966</v>
      </c>
      <c r="R199" s="60">
        <f t="shared" si="91"/>
        <v>1.1182380917169672E-2</v>
      </c>
      <c r="S199" s="60">
        <f t="shared" si="92"/>
        <v>3.4524795495237928E-3</v>
      </c>
      <c r="T199" s="60">
        <f t="shared" si="93"/>
        <v>1.6260162601626018E-2</v>
      </c>
      <c r="U199" s="60">
        <f t="shared" si="94"/>
        <v>-1.4510145827574261E-3</v>
      </c>
      <c r="V199" s="61">
        <f t="shared" si="95"/>
        <v>-2.583035118692012E-4</v>
      </c>
    </row>
    <row r="200" spans="1:24">
      <c r="A200" s="164">
        <v>168</v>
      </c>
      <c r="B200" s="165" t="s">
        <v>244</v>
      </c>
      <c r="C200" s="166" t="s">
        <v>235</v>
      </c>
      <c r="D200" s="31">
        <v>26735201907.049999</v>
      </c>
      <c r="E200" s="32">
        <f t="shared" si="87"/>
        <v>0.48661313437808085</v>
      </c>
      <c r="F200" s="37">
        <v>1232.3399999999999</v>
      </c>
      <c r="G200" s="37">
        <v>1232.3399999999999</v>
      </c>
      <c r="H200" s="34">
        <v>9596</v>
      </c>
      <c r="I200" s="53">
        <v>2.2000000000000001E-3</v>
      </c>
      <c r="J200" s="53">
        <v>8.3999999999999995E-3</v>
      </c>
      <c r="K200" s="31">
        <v>26975949325.23</v>
      </c>
      <c r="L200" s="32">
        <f t="shared" si="88"/>
        <v>0.48734309547860599</v>
      </c>
      <c r="M200" s="37">
        <v>1235.46</v>
      </c>
      <c r="N200" s="37">
        <v>1235.46</v>
      </c>
      <c r="O200" s="34">
        <v>9645</v>
      </c>
      <c r="P200" s="53">
        <v>2.5000000000000001E-3</v>
      </c>
      <c r="Q200" s="53">
        <v>1.0800000000000001E-2</v>
      </c>
      <c r="R200" s="60">
        <f t="shared" si="91"/>
        <v>9.0048849833640442E-3</v>
      </c>
      <c r="S200" s="60">
        <f t="shared" si="92"/>
        <v>2.5317688300307696E-3</v>
      </c>
      <c r="T200" s="60">
        <f t="shared" si="93"/>
        <v>5.1062942892872026E-3</v>
      </c>
      <c r="U200" s="60">
        <f t="shared" si="94"/>
        <v>2.9999999999999992E-4</v>
      </c>
      <c r="V200" s="61">
        <f t="shared" si="95"/>
        <v>2.4000000000000011E-3</v>
      </c>
    </row>
    <row r="201" spans="1:24">
      <c r="A201" s="164">
        <v>169</v>
      </c>
      <c r="B201" s="165" t="s">
        <v>245</v>
      </c>
      <c r="C201" s="166" t="s">
        <v>246</v>
      </c>
      <c r="D201" s="31">
        <v>461458879.72000003</v>
      </c>
      <c r="E201" s="32">
        <f t="shared" si="87"/>
        <v>8.399111876089228E-3</v>
      </c>
      <c r="F201" s="82">
        <v>124.24</v>
      </c>
      <c r="G201" s="82">
        <v>124.24</v>
      </c>
      <c r="H201" s="49">
        <v>146</v>
      </c>
      <c r="I201" s="53">
        <v>-2.1600000000000001E-2</v>
      </c>
      <c r="J201" s="53">
        <v>9.1999999999999998E-3</v>
      </c>
      <c r="K201" s="31">
        <v>464890662.43000001</v>
      </c>
      <c r="L201" s="32">
        <f t="shared" si="88"/>
        <v>8.3986387932541897E-3</v>
      </c>
      <c r="M201" s="82">
        <v>123.78</v>
      </c>
      <c r="N201" s="82">
        <v>124.89</v>
      </c>
      <c r="O201" s="49">
        <v>143</v>
      </c>
      <c r="P201" s="53">
        <v>-2E-3</v>
      </c>
      <c r="Q201" s="53">
        <v>1.5900000000000001E-2</v>
      </c>
      <c r="R201" s="60">
        <f t="shared" si="91"/>
        <v>7.4368115141316285E-3</v>
      </c>
      <c r="S201" s="60">
        <f t="shared" si="92"/>
        <v>5.2318094011590934E-3</v>
      </c>
      <c r="T201" s="60">
        <f t="shared" si="93"/>
        <v>-2.0547945205479451E-2</v>
      </c>
      <c r="U201" s="60">
        <f t="shared" si="94"/>
        <v>1.9599999999999999E-2</v>
      </c>
      <c r="V201" s="61">
        <f t="shared" si="95"/>
        <v>6.7000000000000011E-3</v>
      </c>
    </row>
    <row r="202" spans="1:24">
      <c r="A202" s="164">
        <v>170</v>
      </c>
      <c r="B202" s="165" t="s">
        <v>247</v>
      </c>
      <c r="C202" s="166" t="s">
        <v>246</v>
      </c>
      <c r="D202" s="31">
        <v>123627397.43000001</v>
      </c>
      <c r="E202" s="32">
        <f t="shared" si="87"/>
        <v>2.2501687313815763E-3</v>
      </c>
      <c r="F202" s="82">
        <v>113.65</v>
      </c>
      <c r="G202" s="82">
        <v>113.65</v>
      </c>
      <c r="H202" s="49">
        <v>67</v>
      </c>
      <c r="I202" s="53">
        <v>5.1999999999999998E-3</v>
      </c>
      <c r="J202" s="53">
        <v>1.7500000000000002E-2</v>
      </c>
      <c r="K202" s="31">
        <v>123884041.34</v>
      </c>
      <c r="L202" s="32">
        <f t="shared" si="88"/>
        <v>2.2380688612344299E-3</v>
      </c>
      <c r="M202" s="82">
        <v>114.18</v>
      </c>
      <c r="N202" s="82">
        <v>114.18</v>
      </c>
      <c r="O202" s="49">
        <v>68</v>
      </c>
      <c r="P202" s="53">
        <v>4.7000000000000002E-3</v>
      </c>
      <c r="Q202" s="53">
        <v>2.23E-2</v>
      </c>
      <c r="R202" s="60">
        <f t="shared" si="91"/>
        <v>2.0759468801833567E-3</v>
      </c>
      <c r="S202" s="60">
        <f t="shared" si="92"/>
        <v>4.663440387153551E-3</v>
      </c>
      <c r="T202" s="60">
        <f t="shared" si="93"/>
        <v>1.4925373134328358E-2</v>
      </c>
      <c r="U202" s="60">
        <f t="shared" si="94"/>
        <v>-4.9999999999999958E-4</v>
      </c>
      <c r="V202" s="61">
        <f t="shared" si="95"/>
        <v>4.7999999999999987E-3</v>
      </c>
    </row>
    <row r="203" spans="1:24" ht="13.5" customHeight="1">
      <c r="A203" s="164">
        <v>171</v>
      </c>
      <c r="B203" s="165" t="s">
        <v>248</v>
      </c>
      <c r="C203" s="166" t="s">
        <v>90</v>
      </c>
      <c r="D203" s="31">
        <v>1491212845</v>
      </c>
      <c r="E203" s="32">
        <f t="shared" si="87"/>
        <v>2.7141884286235929E-2</v>
      </c>
      <c r="F203" s="63">
        <v>103.84</v>
      </c>
      <c r="G203" s="63">
        <v>103.84</v>
      </c>
      <c r="H203" s="34">
        <v>599</v>
      </c>
      <c r="I203" s="53">
        <v>2.8999999999999998E-3</v>
      </c>
      <c r="J203" s="53">
        <v>0.1439</v>
      </c>
      <c r="K203" s="31">
        <v>1491212845</v>
      </c>
      <c r="L203" s="32">
        <f t="shared" si="88"/>
        <v>2.6940007750535854E-2</v>
      </c>
      <c r="M203" s="63">
        <v>103.84</v>
      </c>
      <c r="N203" s="63">
        <v>103.84</v>
      </c>
      <c r="O203" s="34">
        <v>599</v>
      </c>
      <c r="P203" s="53">
        <v>2.8999999999999998E-3</v>
      </c>
      <c r="Q203" s="53">
        <v>0.1439</v>
      </c>
      <c r="R203" s="60">
        <f t="shared" si="91"/>
        <v>0</v>
      </c>
      <c r="S203" s="60">
        <f t="shared" si="92"/>
        <v>0</v>
      </c>
      <c r="T203" s="60">
        <f t="shared" si="93"/>
        <v>0</v>
      </c>
      <c r="U203" s="60">
        <f t="shared" si="94"/>
        <v>0</v>
      </c>
      <c r="V203" s="61">
        <f t="shared" si="95"/>
        <v>0</v>
      </c>
    </row>
    <row r="204" spans="1:24" ht="15.75" customHeight="1">
      <c r="A204" s="164">
        <v>172</v>
      </c>
      <c r="B204" s="165" t="s">
        <v>249</v>
      </c>
      <c r="C204" s="166" t="s">
        <v>49</v>
      </c>
      <c r="D204" s="31">
        <v>6442269692.46</v>
      </c>
      <c r="E204" s="32">
        <f t="shared" si="87"/>
        <v>0.11725713007352351</v>
      </c>
      <c r="F204" s="63">
        <v>135.11000000000001</v>
      </c>
      <c r="G204" s="63">
        <v>135.11000000000001</v>
      </c>
      <c r="H204" s="34">
        <v>1265</v>
      </c>
      <c r="I204" s="53">
        <v>1.8E-3</v>
      </c>
      <c r="J204" s="53">
        <v>6.0000000000000001E-3</v>
      </c>
      <c r="K204" s="31">
        <v>6405069056.6000004</v>
      </c>
      <c r="L204" s="32">
        <f t="shared" si="88"/>
        <v>0.11571293166236198</v>
      </c>
      <c r="M204" s="63">
        <v>135.34</v>
      </c>
      <c r="N204" s="63">
        <v>135.34</v>
      </c>
      <c r="O204" s="34">
        <v>1264</v>
      </c>
      <c r="P204" s="53">
        <v>1.6999999999999999E-3</v>
      </c>
      <c r="Q204" s="53">
        <v>7.7000000000000002E-3</v>
      </c>
      <c r="R204" s="60">
        <f t="shared" si="91"/>
        <v>-5.7744611194311055E-3</v>
      </c>
      <c r="S204" s="60">
        <f t="shared" si="92"/>
        <v>1.7023166308932703E-3</v>
      </c>
      <c r="T204" s="60">
        <f t="shared" si="93"/>
        <v>-7.9051383399209485E-4</v>
      </c>
      <c r="U204" s="60">
        <f t="shared" si="94"/>
        <v>-1.0000000000000005E-4</v>
      </c>
      <c r="V204" s="61">
        <f t="shared" si="95"/>
        <v>1.7000000000000001E-3</v>
      </c>
    </row>
    <row r="205" spans="1:24">
      <c r="A205" s="164">
        <v>173</v>
      </c>
      <c r="B205" s="165" t="s">
        <v>250</v>
      </c>
      <c r="C205" s="166" t="s">
        <v>52</v>
      </c>
      <c r="D205" s="31">
        <v>3863838859.1500001</v>
      </c>
      <c r="E205" s="32">
        <f t="shared" si="87"/>
        <v>7.0326558389933361E-2</v>
      </c>
      <c r="F205" s="63">
        <v>1.2222999999999999</v>
      </c>
      <c r="G205" s="63">
        <v>1.2222999999999999</v>
      </c>
      <c r="H205" s="34">
        <v>1275</v>
      </c>
      <c r="I205" s="53">
        <v>0.1174</v>
      </c>
      <c r="J205" s="53">
        <v>4.9799999999999997E-2</v>
      </c>
      <c r="K205" s="31">
        <v>3871764779.3699999</v>
      </c>
      <c r="L205" s="32">
        <f t="shared" si="88"/>
        <v>6.9946670265222624E-2</v>
      </c>
      <c r="M205" s="63">
        <v>1.2249000000000001</v>
      </c>
      <c r="N205" s="63">
        <v>1.2249000000000001</v>
      </c>
      <c r="O205" s="34">
        <v>1301</v>
      </c>
      <c r="P205" s="53">
        <v>0.1172</v>
      </c>
      <c r="Q205" s="53">
        <v>6.4600000000000005E-2</v>
      </c>
      <c r="R205" s="60">
        <f t="shared" si="91"/>
        <v>2.0513071349314502E-3</v>
      </c>
      <c r="S205" s="60">
        <f t="shared" si="92"/>
        <v>2.1271373639860573E-3</v>
      </c>
      <c r="T205" s="60">
        <f t="shared" si="93"/>
        <v>2.0392156862745099E-2</v>
      </c>
      <c r="U205" s="60">
        <f t="shared" si="94"/>
        <v>-2.0000000000000573E-4</v>
      </c>
      <c r="V205" s="61">
        <f t="shared" si="95"/>
        <v>1.4800000000000008E-2</v>
      </c>
    </row>
    <row r="206" spans="1:24" ht="6" customHeight="1">
      <c r="A206" s="38"/>
      <c r="B206" s="183"/>
      <c r="C206" s="183"/>
      <c r="D206" s="183"/>
      <c r="E206" s="183"/>
      <c r="F206" s="183"/>
      <c r="G206" s="183"/>
      <c r="H206" s="183"/>
      <c r="I206" s="183"/>
      <c r="J206" s="183"/>
      <c r="K206" s="183"/>
      <c r="L206" s="183"/>
      <c r="M206" s="183"/>
      <c r="N206" s="183"/>
      <c r="O206" s="183"/>
      <c r="P206" s="183"/>
      <c r="Q206" s="183"/>
      <c r="R206" s="183"/>
      <c r="S206" s="183"/>
      <c r="T206" s="183"/>
      <c r="U206" s="183"/>
      <c r="V206" s="183"/>
    </row>
    <row r="207" spans="1:24">
      <c r="A207" s="187" t="s">
        <v>251</v>
      </c>
      <c r="B207" s="187"/>
      <c r="C207" s="187"/>
      <c r="D207" s="187"/>
      <c r="E207" s="187"/>
      <c r="F207" s="187"/>
      <c r="G207" s="187"/>
      <c r="H207" s="187"/>
      <c r="I207" s="187"/>
      <c r="J207" s="187"/>
      <c r="K207" s="187"/>
      <c r="L207" s="187"/>
      <c r="M207" s="187"/>
      <c r="N207" s="187"/>
      <c r="O207" s="187"/>
      <c r="P207" s="187"/>
      <c r="Q207" s="187"/>
      <c r="R207" s="187"/>
      <c r="S207" s="187"/>
      <c r="T207" s="187"/>
      <c r="U207" s="187"/>
      <c r="V207" s="187"/>
    </row>
    <row r="208" spans="1:24">
      <c r="A208" s="169">
        <v>174</v>
      </c>
      <c r="B208" s="165" t="s">
        <v>252</v>
      </c>
      <c r="C208" s="166" t="s">
        <v>235</v>
      </c>
      <c r="D208" s="31">
        <v>228462122.66999999</v>
      </c>
      <c r="E208" s="32">
        <f t="shared" ref="E208" si="101">(D208/$D$209)</f>
        <v>4.1582880123977057E-3</v>
      </c>
      <c r="F208" s="37">
        <v>1222.8499999999999</v>
      </c>
      <c r="G208" s="37">
        <v>1222.8499999999999</v>
      </c>
      <c r="H208" s="34">
        <v>96</v>
      </c>
      <c r="I208" s="53">
        <v>-4.4000000000000003E-3</v>
      </c>
      <c r="J208" s="53">
        <v>-1.49E-2</v>
      </c>
      <c r="K208" s="31">
        <v>228914327.13</v>
      </c>
      <c r="L208" s="32">
        <f t="shared" ref="L208" si="102">(K208/$K$209)</f>
        <v>4.1355288534219272E-3</v>
      </c>
      <c r="M208" s="37">
        <v>1225.27</v>
      </c>
      <c r="N208" s="37">
        <v>1225.27</v>
      </c>
      <c r="O208" s="34">
        <v>96</v>
      </c>
      <c r="P208" s="53">
        <v>2E-3</v>
      </c>
      <c r="Q208" s="53">
        <v>-1.29E-2</v>
      </c>
      <c r="R208" s="60">
        <f t="shared" ref="R208" si="103">((K208-D208)/D208)</f>
        <v>1.9793410597571614E-3</v>
      </c>
      <c r="S208" s="60">
        <f t="shared" ref="S208" si="104">((N208-G208)/G208)</f>
        <v>1.9789835221000721E-3</v>
      </c>
      <c r="T208" s="60">
        <f t="shared" ref="T208" si="105">((O208-H208)/H208)</f>
        <v>0</v>
      </c>
      <c r="U208" s="60">
        <f t="shared" ref="U208" si="106">P208-I208</f>
        <v>6.4000000000000003E-3</v>
      </c>
      <c r="V208" s="61">
        <f t="shared" ref="V208" si="107">Q208-J208</f>
        <v>2E-3</v>
      </c>
    </row>
    <row r="209" spans="1:22">
      <c r="A209" s="38"/>
      <c r="B209" s="39"/>
      <c r="C209" s="74" t="s">
        <v>53</v>
      </c>
      <c r="D209" s="51">
        <f>SUM(D189:D208)</f>
        <v>54941389819.284477</v>
      </c>
      <c r="E209" s="42">
        <f>(D209/$D$210)</f>
        <v>1.3337264250056522E-2</v>
      </c>
      <c r="F209" s="43"/>
      <c r="G209" s="77"/>
      <c r="H209" s="87">
        <f>SUM(H189:H208)</f>
        <v>30183</v>
      </c>
      <c r="I209" s="84"/>
      <c r="J209" s="84"/>
      <c r="K209" s="51">
        <f>SUM(K189:K208)</f>
        <v>55353096361.686783</v>
      </c>
      <c r="L209" s="42">
        <f>(K209/$K$210)</f>
        <v>1.3461943775584398E-2</v>
      </c>
      <c r="M209" s="43"/>
      <c r="N209" s="77"/>
      <c r="O209" s="87">
        <f>SUM(O189:O208)</f>
        <v>30296</v>
      </c>
      <c r="P209" s="84"/>
      <c r="Q209" s="84"/>
      <c r="R209" s="60">
        <f t="shared" si="91"/>
        <v>7.4935589317363105E-3</v>
      </c>
      <c r="S209" s="60" t="e">
        <f t="shared" si="92"/>
        <v>#DIV/0!</v>
      </c>
      <c r="T209" s="60">
        <f t="shared" si="93"/>
        <v>3.7438293078885464E-3</v>
      </c>
      <c r="U209" s="60">
        <f t="shared" si="94"/>
        <v>0</v>
      </c>
      <c r="V209" s="61">
        <f t="shared" si="95"/>
        <v>0</v>
      </c>
    </row>
    <row r="210" spans="1:22">
      <c r="A210" s="88"/>
      <c r="B210" s="88"/>
      <c r="C210" s="89" t="s">
        <v>253</v>
      </c>
      <c r="D210" s="90">
        <f>SUM(D24,D65,D104,D140,D148,D179,D185,D209)</f>
        <v>4119389763088.1567</v>
      </c>
      <c r="E210" s="91"/>
      <c r="F210" s="91"/>
      <c r="G210" s="92"/>
      <c r="H210" s="90">
        <f>SUM(H24,H65,H104,H140,H148,H179,H185,H209)</f>
        <v>819969</v>
      </c>
      <c r="I210" s="114"/>
      <c r="J210" s="114"/>
      <c r="K210" s="90">
        <f>SUM(K24,K65,K104,K140,K148,K179,K185,K209)</f>
        <v>4111820498171.9917</v>
      </c>
      <c r="L210" s="91"/>
      <c r="M210" s="91"/>
      <c r="N210" s="92"/>
      <c r="O210" s="90">
        <f>SUM(O24,O65,O104,O140,O148,O179,O185,O209)</f>
        <v>825250</v>
      </c>
      <c r="P210" s="115"/>
      <c r="Q210" s="90"/>
      <c r="R210" s="121">
        <f t="shared" si="91"/>
        <v>-1.83747238097971E-3</v>
      </c>
      <c r="S210" s="121"/>
      <c r="T210" s="121"/>
      <c r="U210" s="121"/>
      <c r="V210" s="121"/>
    </row>
    <row r="211" spans="1:22" ht="6.75" customHeight="1">
      <c r="A211" s="38"/>
      <c r="B211" s="183"/>
      <c r="C211" s="183"/>
      <c r="D211" s="183"/>
      <c r="E211" s="183"/>
      <c r="F211" s="183"/>
      <c r="G211" s="183"/>
      <c r="H211" s="183"/>
      <c r="I211" s="183"/>
      <c r="J211" s="183"/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39"/>
    </row>
    <row r="212" spans="1:22" ht="14.4" customHeight="1">
      <c r="A212" s="188" t="s">
        <v>254</v>
      </c>
      <c r="B212" s="186"/>
      <c r="C212" s="186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  <c r="O212" s="186"/>
      <c r="P212" s="186"/>
      <c r="Q212" s="186"/>
      <c r="R212" s="186"/>
      <c r="S212" s="186"/>
      <c r="T212" s="186"/>
      <c r="U212" s="186"/>
      <c r="V212" s="186"/>
    </row>
    <row r="213" spans="1:22" ht="14.4" customHeight="1">
      <c r="A213" s="164">
        <v>1</v>
      </c>
      <c r="B213" s="165" t="s">
        <v>255</v>
      </c>
      <c r="C213" s="166" t="s">
        <v>191</v>
      </c>
      <c r="D213" s="31">
        <v>3804459666.1560702</v>
      </c>
      <c r="E213" s="32">
        <f t="shared" ref="E213" si="108">(D213/$D$209)</f>
        <v>6.924578498414144E-2</v>
      </c>
      <c r="F213" s="37">
        <v>123.2</v>
      </c>
      <c r="G213" s="37">
        <v>123.2</v>
      </c>
      <c r="H213" s="34">
        <v>9</v>
      </c>
      <c r="I213" s="53">
        <v>0.301057779158031</v>
      </c>
      <c r="J213" s="53">
        <v>0.24695614646621999</v>
      </c>
      <c r="K213" s="31">
        <v>3825786557.06496</v>
      </c>
      <c r="L213" s="32">
        <f>(K213/$K$214)</f>
        <v>1</v>
      </c>
      <c r="M213" s="37">
        <v>123.2</v>
      </c>
      <c r="N213" s="37">
        <v>123.2</v>
      </c>
      <c r="O213" s="34">
        <v>9</v>
      </c>
      <c r="P213" s="53">
        <v>0.29710295742214798</v>
      </c>
      <c r="Q213" s="53">
        <v>0.24770602797423999</v>
      </c>
      <c r="R213" s="60">
        <f t="shared" ref="R213:R214" si="109">((K213-D213)/D213)</f>
        <v>5.6057608123988656E-3</v>
      </c>
      <c r="S213" s="60">
        <f t="shared" ref="S213" si="110">((N213-G213)/G213)</f>
        <v>0</v>
      </c>
      <c r="T213" s="60">
        <f t="shared" ref="T213" si="111">((O213-H213)/H213)</f>
        <v>0</v>
      </c>
      <c r="U213" s="60">
        <f t="shared" ref="U213" si="112">P213-I213</f>
        <v>-3.9548217358830184E-3</v>
      </c>
      <c r="V213" s="61">
        <f t="shared" ref="V213" si="113">Q213-J213</f>
        <v>7.4988150801999498E-4</v>
      </c>
    </row>
    <row r="214" spans="1:22" ht="14.4" customHeight="1">
      <c r="A214" s="93"/>
      <c r="B214" s="93"/>
      <c r="C214" s="93" t="s">
        <v>53</v>
      </c>
      <c r="D214" s="93">
        <f>SUM(D213:D213)</f>
        <v>3804459666.1560702</v>
      </c>
      <c r="E214" s="93"/>
      <c r="F214" s="93"/>
      <c r="G214" s="93"/>
      <c r="H214" s="93">
        <f>SUM(H213:H213)</f>
        <v>9</v>
      </c>
      <c r="I214" s="93"/>
      <c r="J214" s="93"/>
      <c r="K214" s="93">
        <f>SUM(K213:K213)</f>
        <v>3825786557.06496</v>
      </c>
      <c r="L214" s="42"/>
      <c r="M214" s="93"/>
      <c r="N214" s="93"/>
      <c r="O214" s="93">
        <f>SUM(O213:O213)</f>
        <v>9</v>
      </c>
      <c r="P214" s="93"/>
      <c r="Q214" s="93"/>
      <c r="R214" s="121">
        <f t="shared" si="109"/>
        <v>5.6057608123988656E-3</v>
      </c>
      <c r="S214" s="93"/>
      <c r="T214" s="93"/>
      <c r="U214" s="93"/>
      <c r="V214" s="93"/>
    </row>
    <row r="215" spans="1:22" ht="6" customHeight="1">
      <c r="A215" s="38"/>
      <c r="B215" s="46"/>
      <c r="C215" s="74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39"/>
    </row>
    <row r="216" spans="1:22" ht="15.6">
      <c r="A216" s="186" t="s">
        <v>256</v>
      </c>
      <c r="B216" s="186"/>
      <c r="C216" s="186"/>
      <c r="D216" s="186"/>
      <c r="E216" s="186"/>
      <c r="F216" s="186"/>
      <c r="G216" s="186"/>
      <c r="H216" s="186"/>
      <c r="I216" s="186"/>
      <c r="J216" s="186"/>
      <c r="K216" s="186"/>
      <c r="L216" s="186"/>
      <c r="M216" s="186"/>
      <c r="N216" s="186"/>
      <c r="O216" s="186"/>
      <c r="P216" s="186"/>
      <c r="Q216" s="186"/>
      <c r="R216" s="186"/>
      <c r="S216" s="186"/>
      <c r="T216" s="186"/>
      <c r="U216" s="186"/>
      <c r="V216" s="186"/>
    </row>
    <row r="217" spans="1:22">
      <c r="A217" s="164">
        <v>1</v>
      </c>
      <c r="B217" s="165" t="s">
        <v>257</v>
      </c>
      <c r="C217" s="166" t="s">
        <v>258</v>
      </c>
      <c r="D217" s="31">
        <v>117431274879</v>
      </c>
      <c r="E217" s="32">
        <f>(D217/$D$219)</f>
        <v>0.8873462868905484</v>
      </c>
      <c r="F217" s="63">
        <v>111.28</v>
      </c>
      <c r="G217" s="63">
        <v>111.28</v>
      </c>
      <c r="H217" s="34">
        <v>0</v>
      </c>
      <c r="I217" s="53">
        <v>0.23899999999999999</v>
      </c>
      <c r="J217" s="53">
        <v>0.23899999999999999</v>
      </c>
      <c r="K217" s="31">
        <v>117431274879</v>
      </c>
      <c r="L217" s="32">
        <f>(K217/$K$219)</f>
        <v>0.90073882123741689</v>
      </c>
      <c r="M217" s="63">
        <v>111.28</v>
      </c>
      <c r="N217" s="63">
        <v>111.28</v>
      </c>
      <c r="O217" s="34">
        <v>0</v>
      </c>
      <c r="P217" s="53">
        <v>0.23899999999999999</v>
      </c>
      <c r="Q217" s="53">
        <v>0.23899999999999999</v>
      </c>
      <c r="R217" s="60">
        <f>((K217-D217)/D217)</f>
        <v>0</v>
      </c>
      <c r="S217" s="60">
        <f>((N217-G217)/G217)</f>
        <v>0</v>
      </c>
      <c r="T217" s="60" t="e">
        <f>((O217-H217)/H217)</f>
        <v>#DIV/0!</v>
      </c>
      <c r="U217" s="60">
        <f>P217-I217</f>
        <v>0</v>
      </c>
      <c r="V217" s="61">
        <f>Q217-J217</f>
        <v>0</v>
      </c>
    </row>
    <row r="218" spans="1:22">
      <c r="A218" s="164">
        <v>2</v>
      </c>
      <c r="B218" s="165" t="s">
        <v>259</v>
      </c>
      <c r="C218" s="166" t="s">
        <v>52</v>
      </c>
      <c r="D218" s="31">
        <v>14908575542.309999</v>
      </c>
      <c r="E218" s="32">
        <f>(D218/$D$219)</f>
        <v>0.11265371310945164</v>
      </c>
      <c r="F218" s="94">
        <v>1000000</v>
      </c>
      <c r="G218" s="94">
        <v>1000000</v>
      </c>
      <c r="H218" s="34">
        <v>26</v>
      </c>
      <c r="I218" s="53">
        <v>0.22559999999999999</v>
      </c>
      <c r="J218" s="53">
        <v>0.22559999999999999</v>
      </c>
      <c r="K218" s="31">
        <v>12940895288.68</v>
      </c>
      <c r="L218" s="32">
        <f>(K218/$K$219)</f>
        <v>9.9261178762583196E-2</v>
      </c>
      <c r="M218" s="94">
        <v>1000000</v>
      </c>
      <c r="N218" s="94">
        <v>1000000</v>
      </c>
      <c r="O218" s="34">
        <v>26</v>
      </c>
      <c r="P218" s="53">
        <v>0.23519999999999999</v>
      </c>
      <c r="Q218" s="53">
        <v>0.23519999999999999</v>
      </c>
      <c r="R218" s="60">
        <f>((K218-D218)/D218)</f>
        <v>-0.1319831158949957</v>
      </c>
      <c r="S218" s="60">
        <f>((N218-G218)/G218)</f>
        <v>0</v>
      </c>
      <c r="T218" s="60">
        <f>((O218-H218)/H218)</f>
        <v>0</v>
      </c>
      <c r="U218" s="60">
        <f>P218-I218</f>
        <v>9.5999999999999974E-3</v>
      </c>
      <c r="V218" s="61">
        <f>Q218-J218</f>
        <v>9.5999999999999974E-3</v>
      </c>
    </row>
    <row r="219" spans="1:22">
      <c r="A219" s="88"/>
      <c r="B219" s="88"/>
      <c r="C219" s="89" t="s">
        <v>260</v>
      </c>
      <c r="D219" s="93">
        <f>SUM(D217:D218)</f>
        <v>132339850421.31</v>
      </c>
      <c r="E219" s="95"/>
      <c r="F219" s="96"/>
      <c r="G219" s="96"/>
      <c r="H219" s="93">
        <f>SUM(H217:H218)</f>
        <v>26</v>
      </c>
      <c r="I219" s="116"/>
      <c r="J219" s="116"/>
      <c r="K219" s="93">
        <f>SUM(K217:K218)</f>
        <v>130372170167.67999</v>
      </c>
      <c r="L219" s="95"/>
      <c r="M219" s="96"/>
      <c r="N219" s="96"/>
      <c r="O219" s="93">
        <f>SUM(O217:O218)</f>
        <v>26</v>
      </c>
      <c r="P219" s="116"/>
      <c r="Q219" s="93"/>
      <c r="R219" s="121">
        <f>((K219-D219)/D219)</f>
        <v>-1.4868388073326397E-2</v>
      </c>
      <c r="S219" s="122"/>
      <c r="T219" s="122"/>
      <c r="U219" s="121"/>
      <c r="V219" s="123"/>
    </row>
    <row r="220" spans="1:22" ht="4.5" customHeight="1">
      <c r="A220" s="38"/>
      <c r="B220" s="189"/>
      <c r="C220" s="189"/>
      <c r="D220" s="189"/>
      <c r="E220" s="189"/>
      <c r="F220" s="189"/>
      <c r="G220" s="189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</row>
    <row r="221" spans="1:22" ht="15.6">
      <c r="A221" s="186" t="s">
        <v>261</v>
      </c>
      <c r="B221" s="186"/>
      <c r="C221" s="186"/>
      <c r="D221" s="186"/>
      <c r="E221" s="186"/>
      <c r="F221" s="186"/>
      <c r="G221" s="186"/>
      <c r="H221" s="186"/>
      <c r="I221" s="186"/>
      <c r="J221" s="186"/>
      <c r="K221" s="186"/>
      <c r="L221" s="186"/>
      <c r="M221" s="186"/>
      <c r="N221" s="186"/>
      <c r="O221" s="186"/>
      <c r="P221" s="186"/>
      <c r="Q221" s="186"/>
      <c r="R221" s="186"/>
      <c r="S221" s="186"/>
      <c r="T221" s="186"/>
      <c r="U221" s="186"/>
      <c r="V221" s="186"/>
    </row>
    <row r="222" spans="1:22">
      <c r="A222" s="164">
        <v>1</v>
      </c>
      <c r="B222" s="165" t="s">
        <v>262</v>
      </c>
      <c r="C222" s="166" t="s">
        <v>83</v>
      </c>
      <c r="D222" s="97">
        <v>980574882.33999801</v>
      </c>
      <c r="E222" s="98">
        <f t="shared" ref="E222:E233" si="114">(D222/$D$234)</f>
        <v>7.4625578080377578E-2</v>
      </c>
      <c r="F222" s="94">
        <v>231.08</v>
      </c>
      <c r="G222" s="94">
        <v>234.07</v>
      </c>
      <c r="H222" s="99">
        <v>61</v>
      </c>
      <c r="I222" s="55">
        <v>1.3590616331710548E-2</v>
      </c>
      <c r="J222" s="55">
        <v>7.5650684732633255E-3</v>
      </c>
      <c r="K222" s="97">
        <v>999049820.14999998</v>
      </c>
      <c r="L222" s="98">
        <f t="shared" ref="L222:L233" si="115">(K222/$K$234)</f>
        <v>7.5294170666363139E-2</v>
      </c>
      <c r="M222" s="94">
        <v>231.08</v>
      </c>
      <c r="N222" s="94">
        <v>234.07</v>
      </c>
      <c r="O222" s="99">
        <v>61</v>
      </c>
      <c r="P222" s="55">
        <v>5.5824822572267951E-3</v>
      </c>
      <c r="Q222" s="55">
        <v>1.321182523763853E-2</v>
      </c>
      <c r="R222" s="60">
        <f>((K222-D222)/D222)</f>
        <v>1.8840924994850208E-2</v>
      </c>
      <c r="S222" s="60">
        <f>((N222-G222)/G222)</f>
        <v>0</v>
      </c>
      <c r="T222" s="60">
        <f>((O222-H222)/H222)</f>
        <v>0</v>
      </c>
      <c r="U222" s="60">
        <f>P222-I222</f>
        <v>-8.0081340744837526E-3</v>
      </c>
      <c r="V222" s="61">
        <f>Q222-J222</f>
        <v>5.6467567643752048E-3</v>
      </c>
    </row>
    <row r="223" spans="1:22">
      <c r="A223" s="164">
        <v>2</v>
      </c>
      <c r="B223" s="165" t="s">
        <v>263</v>
      </c>
      <c r="C223" s="166" t="s">
        <v>235</v>
      </c>
      <c r="D223" s="97">
        <v>1082671305.03</v>
      </c>
      <c r="E223" s="98">
        <f t="shared" si="114"/>
        <v>8.2395514574160014E-2</v>
      </c>
      <c r="F223" s="94">
        <v>30.79</v>
      </c>
      <c r="G223" s="94">
        <v>34.04</v>
      </c>
      <c r="H223" s="99">
        <v>211</v>
      </c>
      <c r="I223" s="55">
        <v>3.8E-3</v>
      </c>
      <c r="J223" s="55">
        <v>4.1999999999999997E-3</v>
      </c>
      <c r="K223" s="97">
        <v>1113476747.21</v>
      </c>
      <c r="L223" s="98">
        <f t="shared" si="115"/>
        <v>8.3918045473316757E-2</v>
      </c>
      <c r="M223" s="94">
        <v>31.67</v>
      </c>
      <c r="N223" s="94">
        <v>35</v>
      </c>
      <c r="O223" s="99">
        <v>211</v>
      </c>
      <c r="P223" s="55">
        <v>2.8500000000000001E-2</v>
      </c>
      <c r="Q223" s="55">
        <v>3.2800000000000003E-2</v>
      </c>
      <c r="R223" s="60">
        <f t="shared" ref="R223:R234" si="116">((K223-D223)/D223)</f>
        <v>2.8453180606967755E-2</v>
      </c>
      <c r="S223" s="60">
        <f t="shared" ref="S223:S234" si="117">((N223-G223)/G223)</f>
        <v>2.8202115158636923E-2</v>
      </c>
      <c r="T223" s="60">
        <f t="shared" ref="T223:T234" si="118">((O223-H223)/H223)</f>
        <v>0</v>
      </c>
      <c r="U223" s="60">
        <f t="shared" ref="U223:U234" si="119">P223-I223</f>
        <v>2.47E-2</v>
      </c>
      <c r="V223" s="61">
        <f t="shared" ref="V223:V234" si="120">Q223-J223</f>
        <v>2.8600000000000004E-2</v>
      </c>
    </row>
    <row r="224" spans="1:22">
      <c r="A224" s="164">
        <v>3</v>
      </c>
      <c r="B224" s="165" t="s">
        <v>264</v>
      </c>
      <c r="C224" s="166" t="s">
        <v>43</v>
      </c>
      <c r="D224" s="97">
        <v>410959469.33999997</v>
      </c>
      <c r="E224" s="98">
        <f t="shared" si="114"/>
        <v>3.1275620576694578E-2</v>
      </c>
      <c r="F224" s="94">
        <v>30.661995000000001</v>
      </c>
      <c r="G224" s="94">
        <v>30.979492</v>
      </c>
      <c r="H224" s="99">
        <v>167</v>
      </c>
      <c r="I224" s="55">
        <v>4.5333725516653933E-2</v>
      </c>
      <c r="J224" s="55">
        <v>7.2192029956158033E-2</v>
      </c>
      <c r="K224" s="97">
        <v>418584567.13999999</v>
      </c>
      <c r="L224" s="98">
        <f t="shared" si="115"/>
        <v>3.1546953115724356E-2</v>
      </c>
      <c r="M224" s="94">
        <v>31.230907999999999</v>
      </c>
      <c r="N224" s="94">
        <v>31.502599</v>
      </c>
      <c r="O224" s="99">
        <v>167</v>
      </c>
      <c r="P224" s="55">
        <v>1.8554379127085019E-2</v>
      </c>
      <c r="Q224" s="55">
        <v>9.2085887377003406E-2</v>
      </c>
      <c r="R224" s="60">
        <f t="shared" si="116"/>
        <v>1.855437912708497E-2</v>
      </c>
      <c r="S224" s="60">
        <f t="shared" si="117"/>
        <v>1.6885589989661533E-2</v>
      </c>
      <c r="T224" s="60">
        <f t="shared" si="118"/>
        <v>0</v>
      </c>
      <c r="U224" s="60">
        <f t="shared" si="119"/>
        <v>-2.6779346389568914E-2</v>
      </c>
      <c r="V224" s="61">
        <f t="shared" si="120"/>
        <v>1.9893857420845373E-2</v>
      </c>
    </row>
    <row r="225" spans="1:26">
      <c r="A225" s="164">
        <v>4</v>
      </c>
      <c r="B225" s="165" t="s">
        <v>265</v>
      </c>
      <c r="C225" s="166" t="s">
        <v>43</v>
      </c>
      <c r="D225" s="97">
        <v>911555179.09000003</v>
      </c>
      <c r="E225" s="98">
        <f t="shared" si="114"/>
        <v>6.9372909113703682E-2</v>
      </c>
      <c r="F225" s="94">
        <v>68.401732999999993</v>
      </c>
      <c r="G225" s="94">
        <v>68.856224999999995</v>
      </c>
      <c r="H225" s="99">
        <v>99</v>
      </c>
      <c r="I225" s="55">
        <v>2.3053114125880958E-2</v>
      </c>
      <c r="J225" s="55">
        <v>3.1106469805125769E-2</v>
      </c>
      <c r="K225" s="97">
        <v>918213983.84000003</v>
      </c>
      <c r="L225" s="98">
        <f t="shared" si="115"/>
        <v>6.9201914672393297E-2</v>
      </c>
      <c r="M225" s="94">
        <v>68.901397000000003</v>
      </c>
      <c r="N225" s="94">
        <v>69.300884999999994</v>
      </c>
      <c r="O225" s="99">
        <v>99</v>
      </c>
      <c r="P225" s="55">
        <v>7.3048838981393249E-3</v>
      </c>
      <c r="Q225" s="55">
        <v>3.8638582853672609E-2</v>
      </c>
      <c r="R225" s="60">
        <f t="shared" si="116"/>
        <v>7.3048838981392703E-3</v>
      </c>
      <c r="S225" s="60">
        <f t="shared" si="117"/>
        <v>6.4578039240460678E-3</v>
      </c>
      <c r="T225" s="60">
        <f t="shared" si="118"/>
        <v>0</v>
      </c>
      <c r="U225" s="60">
        <f t="shared" si="119"/>
        <v>-1.5748230227741633E-2</v>
      </c>
      <c r="V225" s="61">
        <f t="shared" si="120"/>
        <v>7.5321130485468402E-3</v>
      </c>
    </row>
    <row r="226" spans="1:26">
      <c r="A226" s="164">
        <v>5</v>
      </c>
      <c r="B226" s="165" t="s">
        <v>266</v>
      </c>
      <c r="C226" s="166" t="s">
        <v>267</v>
      </c>
      <c r="D226" s="97">
        <v>1332282703.9200001</v>
      </c>
      <c r="E226" s="98">
        <f t="shared" si="114"/>
        <v>0.10139191686132287</v>
      </c>
      <c r="F226" s="94">
        <v>37900</v>
      </c>
      <c r="G226" s="94">
        <v>42900</v>
      </c>
      <c r="H226" s="99">
        <v>219</v>
      </c>
      <c r="I226" s="55">
        <v>0.01</v>
      </c>
      <c r="J226" s="55">
        <v>0.06</v>
      </c>
      <c r="K226" s="97">
        <v>1318359413.98</v>
      </c>
      <c r="L226" s="98">
        <f t="shared" si="115"/>
        <v>9.9359187813989835E-2</v>
      </c>
      <c r="M226" s="94">
        <v>38400</v>
      </c>
      <c r="N226" s="94">
        <v>43300</v>
      </c>
      <c r="O226" s="99">
        <v>219</v>
      </c>
      <c r="P226" s="55">
        <v>-0.01</v>
      </c>
      <c r="Q226" s="55">
        <v>0.05</v>
      </c>
      <c r="R226" s="60">
        <f t="shared" si="116"/>
        <v>-1.0450702316432768E-2</v>
      </c>
      <c r="S226" s="60">
        <f t="shared" si="117"/>
        <v>9.324009324009324E-3</v>
      </c>
      <c r="T226" s="60">
        <f t="shared" si="118"/>
        <v>0</v>
      </c>
      <c r="U226" s="60">
        <f t="shared" si="119"/>
        <v>-0.02</v>
      </c>
      <c r="V226" s="61">
        <f t="shared" si="120"/>
        <v>-9.999999999999995E-3</v>
      </c>
    </row>
    <row r="227" spans="1:26">
      <c r="A227" s="164">
        <v>6</v>
      </c>
      <c r="B227" s="165" t="s">
        <v>268</v>
      </c>
      <c r="C227" s="166" t="s">
        <v>269</v>
      </c>
      <c r="D227" s="97">
        <v>1023825928.79</v>
      </c>
      <c r="E227" s="98">
        <f t="shared" si="114"/>
        <v>7.7917151627734188E-2</v>
      </c>
      <c r="F227" s="94">
        <v>770</v>
      </c>
      <c r="G227" s="94">
        <v>770</v>
      </c>
      <c r="H227" s="99">
        <v>132</v>
      </c>
      <c r="I227" s="55">
        <v>2.2599999999999999E-2</v>
      </c>
      <c r="J227" s="55">
        <v>5.8400000000000001E-2</v>
      </c>
      <c r="K227" s="97">
        <v>1041627636.17</v>
      </c>
      <c r="L227" s="98">
        <f t="shared" si="115"/>
        <v>7.8503081054365167E-2</v>
      </c>
      <c r="M227" s="94">
        <v>694</v>
      </c>
      <c r="N227" s="94">
        <v>694</v>
      </c>
      <c r="O227" s="99">
        <v>132</v>
      </c>
      <c r="P227" s="55">
        <v>1.7399999999999999E-2</v>
      </c>
      <c r="Q227" s="55">
        <v>7.6399999999999996E-2</v>
      </c>
      <c r="R227" s="60">
        <f t="shared" si="116"/>
        <v>1.7387435578076045E-2</v>
      </c>
      <c r="S227" s="60">
        <f t="shared" si="117"/>
        <v>-9.8701298701298706E-2</v>
      </c>
      <c r="T227" s="60">
        <f t="shared" si="118"/>
        <v>0</v>
      </c>
      <c r="U227" s="60">
        <f t="shared" si="119"/>
        <v>-5.1999999999999998E-3</v>
      </c>
      <c r="V227" s="61">
        <f t="shared" si="120"/>
        <v>1.7999999999999995E-2</v>
      </c>
    </row>
    <row r="228" spans="1:26">
      <c r="A228" s="164">
        <v>7</v>
      </c>
      <c r="B228" s="165" t="s">
        <v>270</v>
      </c>
      <c r="C228" s="166" t="s">
        <v>269</v>
      </c>
      <c r="D228" s="97">
        <v>852499579.60000002</v>
      </c>
      <c r="E228" s="98">
        <f t="shared" si="114"/>
        <v>6.4878547356947577E-2</v>
      </c>
      <c r="F228" s="94">
        <v>448.99</v>
      </c>
      <c r="G228" s="94">
        <v>448.99</v>
      </c>
      <c r="H228" s="99">
        <v>613</v>
      </c>
      <c r="I228" s="55">
        <v>1.49E-2</v>
      </c>
      <c r="J228" s="55">
        <v>1.8499999999999999E-2</v>
      </c>
      <c r="K228" s="97">
        <v>857178009.79999995</v>
      </c>
      <c r="L228" s="98">
        <f t="shared" si="115"/>
        <v>6.4601890776222165E-2</v>
      </c>
      <c r="M228" s="94">
        <v>449</v>
      </c>
      <c r="N228" s="94">
        <v>449</v>
      </c>
      <c r="O228" s="99">
        <v>621</v>
      </c>
      <c r="P228" s="55">
        <v>5.4999999999999997E-3</v>
      </c>
      <c r="Q228" s="55">
        <v>2.4E-2</v>
      </c>
      <c r="R228" s="60">
        <f t="shared" si="116"/>
        <v>5.4878973690463137E-3</v>
      </c>
      <c r="S228" s="60">
        <f t="shared" si="117"/>
        <v>2.2272210962361979E-5</v>
      </c>
      <c r="T228" s="60">
        <f t="shared" si="118"/>
        <v>1.3050570962479609E-2</v>
      </c>
      <c r="U228" s="60">
        <f t="shared" si="119"/>
        <v>-9.4000000000000004E-3</v>
      </c>
      <c r="V228" s="61">
        <f t="shared" si="120"/>
        <v>5.5000000000000014E-3</v>
      </c>
    </row>
    <row r="229" spans="1:26">
      <c r="A229" s="164">
        <v>8</v>
      </c>
      <c r="B229" s="165" t="s">
        <v>271</v>
      </c>
      <c r="C229" s="166" t="s">
        <v>272</v>
      </c>
      <c r="D229" s="97">
        <v>60282520.5</v>
      </c>
      <c r="E229" s="98">
        <f t="shared" si="114"/>
        <v>4.587735237230859E-3</v>
      </c>
      <c r="F229" s="94">
        <v>17.34</v>
      </c>
      <c r="G229" s="94">
        <v>17.440000000000001</v>
      </c>
      <c r="H229" s="99">
        <v>67</v>
      </c>
      <c r="I229" s="55">
        <v>0</v>
      </c>
      <c r="J229" s="55">
        <v>0.51139999999999997</v>
      </c>
      <c r="K229" s="97">
        <v>62409974.149999999</v>
      </c>
      <c r="L229" s="98">
        <f t="shared" si="115"/>
        <v>4.7035764885357519E-3</v>
      </c>
      <c r="M229" s="94">
        <v>18.04</v>
      </c>
      <c r="N229" s="94">
        <v>18.14</v>
      </c>
      <c r="O229" s="99">
        <v>69</v>
      </c>
      <c r="P229" s="55">
        <v>0</v>
      </c>
      <c r="Q229" s="55">
        <v>0.51139999999999997</v>
      </c>
      <c r="R229" s="60">
        <f t="shared" si="116"/>
        <v>3.5291385170266705E-2</v>
      </c>
      <c r="S229" s="60">
        <f t="shared" si="117"/>
        <v>4.0137614678899036E-2</v>
      </c>
      <c r="T229" s="60">
        <f t="shared" si="118"/>
        <v>2.9850746268656716E-2</v>
      </c>
      <c r="U229" s="60">
        <f t="shared" si="119"/>
        <v>0</v>
      </c>
      <c r="V229" s="61">
        <f t="shared" si="120"/>
        <v>0</v>
      </c>
    </row>
    <row r="230" spans="1:26">
      <c r="A230" s="164">
        <v>9</v>
      </c>
      <c r="B230" s="165" t="s">
        <v>273</v>
      </c>
      <c r="C230" s="166" t="s">
        <v>272</v>
      </c>
      <c r="D230" s="100">
        <v>738940102.37</v>
      </c>
      <c r="E230" s="98">
        <f t="shared" si="114"/>
        <v>5.6236227644891307E-2</v>
      </c>
      <c r="F230" s="94">
        <v>11.56</v>
      </c>
      <c r="G230" s="94">
        <v>11.66</v>
      </c>
      <c r="H230" s="99">
        <v>112</v>
      </c>
      <c r="I230" s="55">
        <v>0</v>
      </c>
      <c r="J230" s="55">
        <v>0.24579999999999999</v>
      </c>
      <c r="K230" s="100">
        <v>757098580.51999998</v>
      </c>
      <c r="L230" s="98">
        <f t="shared" si="115"/>
        <v>5.7059326355091339E-2</v>
      </c>
      <c r="M230" s="94">
        <v>11.85</v>
      </c>
      <c r="N230" s="94">
        <v>11.95</v>
      </c>
      <c r="O230" s="99">
        <v>115</v>
      </c>
      <c r="P230" s="55">
        <v>6.8199999999999997E-2</v>
      </c>
      <c r="Q230" s="55">
        <v>0.33069999999999999</v>
      </c>
      <c r="R230" s="60">
        <f t="shared" si="116"/>
        <v>2.457368072427028E-2</v>
      </c>
      <c r="S230" s="60">
        <f t="shared" si="117"/>
        <v>2.4871355060034232E-2</v>
      </c>
      <c r="T230" s="60">
        <f t="shared" si="118"/>
        <v>2.6785714285714284E-2</v>
      </c>
      <c r="U230" s="60">
        <f t="shared" si="119"/>
        <v>6.8199999999999997E-2</v>
      </c>
      <c r="V230" s="61">
        <f t="shared" si="120"/>
        <v>8.4900000000000003E-2</v>
      </c>
    </row>
    <row r="231" spans="1:26" ht="15" customHeight="1">
      <c r="A231" s="164">
        <v>10</v>
      </c>
      <c r="B231" s="165" t="s">
        <v>274</v>
      </c>
      <c r="C231" s="166" t="s">
        <v>272</v>
      </c>
      <c r="D231" s="97">
        <v>92714432.599999994</v>
      </c>
      <c r="E231" s="98">
        <f t="shared" si="114"/>
        <v>7.0559304075363842E-3</v>
      </c>
      <c r="F231" s="94">
        <v>126.69</v>
      </c>
      <c r="G231" s="94">
        <v>128.69</v>
      </c>
      <c r="H231" s="99">
        <v>294</v>
      </c>
      <c r="I231" s="55">
        <v>6.7000000000000002E-3</v>
      </c>
      <c r="J231" s="55">
        <v>0.64670000000000005</v>
      </c>
      <c r="K231" s="97">
        <v>94281495.069999993</v>
      </c>
      <c r="L231" s="98">
        <f t="shared" si="115"/>
        <v>7.1055985770705756E-3</v>
      </c>
      <c r="M231" s="94">
        <v>128.85</v>
      </c>
      <c r="N231" s="94">
        <v>130.85</v>
      </c>
      <c r="O231" s="99">
        <v>294</v>
      </c>
      <c r="P231" s="55">
        <v>1.1999999999999999E-3</v>
      </c>
      <c r="Q231" s="55">
        <v>0.64859999999999995</v>
      </c>
      <c r="R231" s="60">
        <f t="shared" si="116"/>
        <v>1.690203376167778E-2</v>
      </c>
      <c r="S231" s="60">
        <f t="shared" si="117"/>
        <v>1.6784520941798092E-2</v>
      </c>
      <c r="T231" s="60">
        <f t="shared" si="118"/>
        <v>0</v>
      </c>
      <c r="U231" s="60">
        <f t="shared" si="119"/>
        <v>-5.5000000000000005E-3</v>
      </c>
      <c r="V231" s="61">
        <f t="shared" si="120"/>
        <v>1.8999999999999018E-3</v>
      </c>
    </row>
    <row r="232" spans="1:26">
      <c r="A232" s="164">
        <v>11</v>
      </c>
      <c r="B232" s="165" t="s">
        <v>275</v>
      </c>
      <c r="C232" s="166" t="s">
        <v>272</v>
      </c>
      <c r="D232" s="97">
        <v>5596782108.5900002</v>
      </c>
      <c r="E232" s="98">
        <f t="shared" si="114"/>
        <v>0.42593697612032611</v>
      </c>
      <c r="F232" s="94">
        <v>38.700000000000003</v>
      </c>
      <c r="G232" s="94">
        <v>38.9</v>
      </c>
      <c r="H232" s="99">
        <v>283</v>
      </c>
      <c r="I232" s="55">
        <v>0</v>
      </c>
      <c r="J232" s="55">
        <v>0.4259</v>
      </c>
      <c r="K232" s="97">
        <v>5632005100.0100002</v>
      </c>
      <c r="L232" s="98">
        <f t="shared" si="115"/>
        <v>0.42446046697682355</v>
      </c>
      <c r="M232" s="94">
        <v>38.979999999999997</v>
      </c>
      <c r="N232" s="94">
        <v>39.18</v>
      </c>
      <c r="O232" s="99">
        <v>283</v>
      </c>
      <c r="P232" s="55">
        <v>1.17E-2</v>
      </c>
      <c r="Q232" s="55">
        <v>0.44259999999999999</v>
      </c>
      <c r="R232" s="60">
        <f t="shared" si="116"/>
        <v>6.2934362525815428E-3</v>
      </c>
      <c r="S232" s="60">
        <f t="shared" si="117"/>
        <v>7.197943444730107E-3</v>
      </c>
      <c r="T232" s="60">
        <f t="shared" si="118"/>
        <v>0</v>
      </c>
      <c r="U232" s="60">
        <f t="shared" si="119"/>
        <v>1.17E-2</v>
      </c>
      <c r="V232" s="61">
        <f t="shared" si="120"/>
        <v>1.6699999999999993E-2</v>
      </c>
    </row>
    <row r="233" spans="1:26">
      <c r="A233" s="164">
        <v>12</v>
      </c>
      <c r="B233" s="165" t="s">
        <v>276</v>
      </c>
      <c r="C233" s="166" t="s">
        <v>272</v>
      </c>
      <c r="D233" s="100">
        <v>56841923.899999999</v>
      </c>
      <c r="E233" s="98">
        <f t="shared" si="114"/>
        <v>4.3258923990748682E-3</v>
      </c>
      <c r="F233" s="94">
        <v>32.75</v>
      </c>
      <c r="G233" s="94">
        <v>32.950000000000003</v>
      </c>
      <c r="H233" s="99">
        <v>64</v>
      </c>
      <c r="I233" s="55">
        <v>2.5000000000000001E-2</v>
      </c>
      <c r="J233" s="55">
        <v>0.54720000000000002</v>
      </c>
      <c r="K233" s="100">
        <v>56335752.560000002</v>
      </c>
      <c r="L233" s="98">
        <f t="shared" si="115"/>
        <v>4.2457880301042207E-3</v>
      </c>
      <c r="M233" s="94">
        <v>32.58</v>
      </c>
      <c r="N233" s="94">
        <v>32.78</v>
      </c>
      <c r="O233" s="99">
        <v>64</v>
      </c>
      <c r="P233" s="55">
        <v>1.2200000000000001E-2</v>
      </c>
      <c r="Q233" s="55">
        <v>0.56599999999999995</v>
      </c>
      <c r="R233" s="60">
        <f t="shared" si="116"/>
        <v>-8.9048945790519973E-3</v>
      </c>
      <c r="S233" s="60">
        <f t="shared" si="117"/>
        <v>-5.1593323216995958E-3</v>
      </c>
      <c r="T233" s="60">
        <f t="shared" si="118"/>
        <v>0</v>
      </c>
      <c r="U233" s="60">
        <f t="shared" si="119"/>
        <v>-1.2800000000000001E-2</v>
      </c>
      <c r="V233" s="61">
        <f t="shared" si="120"/>
        <v>1.8799999999999928E-2</v>
      </c>
    </row>
    <row r="234" spans="1:26">
      <c r="A234" s="134"/>
      <c r="B234" s="134"/>
      <c r="C234" s="135" t="s">
        <v>277</v>
      </c>
      <c r="D234" s="93">
        <f>SUM(D222:D233)</f>
        <v>13139930136.069998</v>
      </c>
      <c r="E234" s="95"/>
      <c r="F234" s="95"/>
      <c r="G234" s="96"/>
      <c r="H234" s="93">
        <f>SUM(H222:H233)</f>
        <v>2322</v>
      </c>
      <c r="I234" s="116"/>
      <c r="J234" s="116"/>
      <c r="K234" s="93">
        <f>SUM(K222:K233)</f>
        <v>13268621080.599998</v>
      </c>
      <c r="L234" s="95"/>
      <c r="M234" s="95"/>
      <c r="N234" s="96"/>
      <c r="O234" s="93">
        <f>SUM(O222:O233)</f>
        <v>2335</v>
      </c>
      <c r="P234" s="116"/>
      <c r="Q234" s="116"/>
      <c r="R234" s="60">
        <f t="shared" si="116"/>
        <v>9.7938834679748669E-3</v>
      </c>
      <c r="S234" s="60" t="e">
        <f t="shared" si="117"/>
        <v>#DIV/0!</v>
      </c>
      <c r="T234" s="60">
        <f t="shared" si="118"/>
        <v>5.5986218776916449E-3</v>
      </c>
      <c r="U234" s="60">
        <f t="shared" si="119"/>
        <v>0</v>
      </c>
      <c r="V234" s="61">
        <f t="shared" si="120"/>
        <v>0</v>
      </c>
      <c r="Z234" s="68"/>
    </row>
    <row r="235" spans="1:26">
      <c r="A235" s="101"/>
      <c r="B235" s="101"/>
      <c r="C235" s="102" t="s">
        <v>278</v>
      </c>
      <c r="D235" s="103">
        <f>SUM(D210,D214,D219,D234)</f>
        <v>4268674003311.6929</v>
      </c>
      <c r="E235" s="104"/>
      <c r="F235" s="104"/>
      <c r="G235" s="105"/>
      <c r="H235" s="103">
        <f>SUM(H210,H214,H219,H234)</f>
        <v>822326</v>
      </c>
      <c r="I235" s="117"/>
      <c r="J235" s="117"/>
      <c r="K235" s="103">
        <f>SUM(K210,K214,K219,K234)</f>
        <v>4259287075977.3369</v>
      </c>
      <c r="L235" s="104"/>
      <c r="M235" s="104"/>
      <c r="N235" s="103"/>
      <c r="O235" s="103">
        <f>SUM(O210,O214,O219,O234)</f>
        <v>827620</v>
      </c>
      <c r="P235" s="118"/>
      <c r="Q235" s="103"/>
      <c r="R235" s="124"/>
      <c r="S235" s="125"/>
      <c r="T235" s="125"/>
      <c r="U235" s="126"/>
      <c r="V235" s="126"/>
      <c r="Z235" s="68"/>
    </row>
    <row r="236" spans="1:26">
      <c r="A236" s="106" t="s">
        <v>279</v>
      </c>
      <c r="B236" s="132" t="s">
        <v>302</v>
      </c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</row>
    <row r="237" spans="1:26">
      <c r="B237" s="131"/>
    </row>
    <row r="238" spans="1:26">
      <c r="B238" s="131"/>
      <c r="C238" s="108"/>
      <c r="D238" s="109"/>
      <c r="K238" s="109"/>
    </row>
    <row r="239" spans="1:26" ht="15">
      <c r="B239" s="110"/>
      <c r="C239" s="111"/>
      <c r="D239" s="112"/>
      <c r="F239" s="113"/>
      <c r="G239" s="113"/>
      <c r="I239" s="119"/>
      <c r="J239" s="120"/>
    </row>
    <row r="242" spans="2:2">
      <c r="B242" s="108"/>
    </row>
  </sheetData>
  <sheetProtection algorithmName="SHA-512" hashValue="tBEBxv4eXGqXmh+W9uWtzHxLxkyIdGErrmI3Oad59GzG329LvtyWEq8CLeU6FIAnGsOLCe/2uQWbXpLqbvuT5Q==" saltValue="Sta7VgP2N9hAa/KiWFJqqQ==" spinCount="100000" sheet="1" objects="1" scenarios="1"/>
  <sortState ref="A150:C177">
    <sortCondition descending="1" ref="A149"/>
  </sortState>
  <mergeCells count="34">
    <mergeCell ref="A212:V212"/>
    <mergeCell ref="A216:V216"/>
    <mergeCell ref="B220:V220"/>
    <mergeCell ref="A221:V221"/>
    <mergeCell ref="B191:V191"/>
    <mergeCell ref="A192:V192"/>
    <mergeCell ref="B206:V206"/>
    <mergeCell ref="A207:V207"/>
    <mergeCell ref="B211:U211"/>
    <mergeCell ref="B180:V180"/>
    <mergeCell ref="A181:V181"/>
    <mergeCell ref="B186:V186"/>
    <mergeCell ref="A187:V187"/>
    <mergeCell ref="A188:V188"/>
    <mergeCell ref="A125:V125"/>
    <mergeCell ref="B141:V141"/>
    <mergeCell ref="A142:V142"/>
    <mergeCell ref="B149:V149"/>
    <mergeCell ref="A150:V150"/>
    <mergeCell ref="A67:V67"/>
    <mergeCell ref="B105:V105"/>
    <mergeCell ref="A106:V106"/>
    <mergeCell ref="A107:V107"/>
    <mergeCell ref="B124:V124"/>
    <mergeCell ref="B4:V4"/>
    <mergeCell ref="A5:V5"/>
    <mergeCell ref="B25:V25"/>
    <mergeCell ref="A26:V26"/>
    <mergeCell ref="B66:V66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0 E90 E72 L46 E46 L32 E32" formula="1"/>
    <ignoredError sqref="S148 S24 T37 S65 S104 S140 S179 S185 S209 S234 T217:T218 R47:T47" evalError="1"/>
    <ignoredError sqref="P116:Q1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D6" sqref="D6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5">
      <c r="A1" s="173"/>
      <c r="B1" s="173"/>
      <c r="C1" s="173"/>
      <c r="D1" s="173"/>
      <c r="E1" s="15"/>
    </row>
    <row r="2" spans="1:5" ht="27.6">
      <c r="A2" s="138" t="s">
        <v>280</v>
      </c>
      <c r="B2" s="139" t="s">
        <v>299</v>
      </c>
      <c r="C2" s="139" t="s">
        <v>304</v>
      </c>
      <c r="D2" s="174"/>
      <c r="E2" s="15"/>
    </row>
    <row r="3" spans="1:5">
      <c r="A3" s="140" t="s">
        <v>17</v>
      </c>
      <c r="B3" s="141">
        <f t="shared" ref="B3:C10" si="0">B13</f>
        <v>33.667453981210002</v>
      </c>
      <c r="C3" s="141">
        <f t="shared" si="0"/>
        <v>34.311367067189998</v>
      </c>
      <c r="D3" s="174"/>
      <c r="E3" s="15"/>
    </row>
    <row r="4" spans="1:5" ht="17.25" customHeight="1">
      <c r="A4" s="138" t="s">
        <v>54</v>
      </c>
      <c r="B4" s="142">
        <f t="shared" si="0"/>
        <v>1887.2726802340167</v>
      </c>
      <c r="C4" s="142">
        <f t="shared" si="0"/>
        <v>1936.4996495596733</v>
      </c>
      <c r="D4" s="174"/>
      <c r="E4" s="15"/>
    </row>
    <row r="5" spans="1:5" ht="19.5" customHeight="1">
      <c r="A5" s="138" t="s">
        <v>281</v>
      </c>
      <c r="B5" s="141">
        <f t="shared" si="0"/>
        <v>193.29511705489386</v>
      </c>
      <c r="C5" s="141">
        <f t="shared" si="0"/>
        <v>192.71076472850817</v>
      </c>
      <c r="D5" s="174"/>
      <c r="E5" s="15"/>
    </row>
    <row r="6" spans="1:5">
      <c r="A6" s="138" t="s">
        <v>158</v>
      </c>
      <c r="B6" s="142">
        <f t="shared" si="0"/>
        <v>1788.0254439223008</v>
      </c>
      <c r="C6" s="142">
        <f t="shared" si="0"/>
        <v>1729.8545888020953</v>
      </c>
      <c r="D6" s="174"/>
      <c r="E6" s="15"/>
    </row>
    <row r="7" spans="1:5">
      <c r="A7" s="138" t="s">
        <v>282</v>
      </c>
      <c r="B7" s="141">
        <f t="shared" si="0"/>
        <v>100.88315171523095</v>
      </c>
      <c r="C7" s="141">
        <f t="shared" si="0"/>
        <v>100.94394219636</v>
      </c>
      <c r="D7" s="174"/>
      <c r="E7" s="15"/>
    </row>
    <row r="8" spans="1:5">
      <c r="A8" s="138" t="s">
        <v>196</v>
      </c>
      <c r="B8" s="143">
        <f t="shared" si="0"/>
        <v>55.157132700650408</v>
      </c>
      <c r="C8" s="143">
        <f t="shared" si="0"/>
        <v>55.883226354418106</v>
      </c>
      <c r="D8" s="174"/>
      <c r="E8" s="15"/>
    </row>
    <row r="9" spans="1:5">
      <c r="A9" s="138" t="s">
        <v>227</v>
      </c>
      <c r="B9" s="141">
        <f t="shared" si="0"/>
        <v>6.1473936605699997</v>
      </c>
      <c r="C9" s="141">
        <f t="shared" si="0"/>
        <v>6.2638631020599993</v>
      </c>
      <c r="D9" s="174"/>
      <c r="E9" s="15"/>
    </row>
    <row r="10" spans="1:5">
      <c r="A10" s="138" t="s">
        <v>283</v>
      </c>
      <c r="B10" s="141">
        <f t="shared" si="0"/>
        <v>54.941389819284474</v>
      </c>
      <c r="C10" s="141">
        <f t="shared" si="0"/>
        <v>55.353096361686781</v>
      </c>
      <c r="D10" s="174"/>
      <c r="E10" s="15"/>
    </row>
    <row r="11" spans="1:5">
      <c r="A11" s="138"/>
      <c r="B11" s="141"/>
      <c r="C11" s="141"/>
      <c r="D11" s="174"/>
      <c r="E11" s="15"/>
    </row>
    <row r="12" spans="1:5">
      <c r="A12" s="137"/>
      <c r="B12" s="137"/>
      <c r="C12" s="137"/>
      <c r="D12" s="173"/>
      <c r="E12" s="15"/>
    </row>
    <row r="13" spans="1:5">
      <c r="A13" s="144" t="s">
        <v>17</v>
      </c>
      <c r="B13" s="145">
        <f>'Weekly Valuation'!D24/1000000000</f>
        <v>33.667453981210002</v>
      </c>
      <c r="C13" s="146">
        <f>'Weekly Valuation'!K24/1000000000</f>
        <v>34.311367067189998</v>
      </c>
      <c r="D13" s="173"/>
      <c r="E13" s="15"/>
    </row>
    <row r="14" spans="1:5">
      <c r="A14" s="147" t="s">
        <v>54</v>
      </c>
      <c r="B14" s="145">
        <f>'Weekly Valuation'!D65/1000000000</f>
        <v>1887.2726802340167</v>
      </c>
      <c r="C14" s="148">
        <f>'Weekly Valuation'!K65/1000000000</f>
        <v>1936.4996495596733</v>
      </c>
      <c r="D14" s="173"/>
      <c r="E14" s="15"/>
    </row>
    <row r="15" spans="1:5">
      <c r="A15" s="147" t="s">
        <v>281</v>
      </c>
      <c r="B15" s="145">
        <f>'Weekly Valuation'!D104/1000000000</f>
        <v>193.29511705489386</v>
      </c>
      <c r="C15" s="146">
        <f>'Weekly Valuation'!K104/1000000000</f>
        <v>192.71076472850817</v>
      </c>
      <c r="D15" s="173"/>
      <c r="E15" s="15"/>
    </row>
    <row r="16" spans="1:5">
      <c r="A16" s="147" t="s">
        <v>158</v>
      </c>
      <c r="B16" s="145">
        <f>'Weekly Valuation'!D140/1000000000</f>
        <v>1788.0254439223008</v>
      </c>
      <c r="C16" s="148">
        <f>'Weekly Valuation'!K140/1000000000</f>
        <v>1729.8545888020953</v>
      </c>
      <c r="D16" s="173"/>
      <c r="E16" s="15"/>
    </row>
    <row r="17" spans="1:5">
      <c r="A17" s="147" t="s">
        <v>282</v>
      </c>
      <c r="B17" s="145">
        <f>'Weekly Valuation'!D148/1000000000</f>
        <v>100.88315171523095</v>
      </c>
      <c r="C17" s="146">
        <f>'Weekly Valuation'!K148/1000000000</f>
        <v>100.94394219636</v>
      </c>
      <c r="D17" s="173"/>
      <c r="E17" s="15"/>
    </row>
    <row r="18" spans="1:5">
      <c r="A18" s="147" t="s">
        <v>196</v>
      </c>
      <c r="B18" s="145">
        <f>'Weekly Valuation'!D179/1000000000</f>
        <v>55.157132700650408</v>
      </c>
      <c r="C18" s="149">
        <f>'Weekly Valuation'!K179/1000000000</f>
        <v>55.883226354418106</v>
      </c>
      <c r="D18" s="173"/>
      <c r="E18" s="15"/>
    </row>
    <row r="19" spans="1:5">
      <c r="A19" s="147" t="s">
        <v>227</v>
      </c>
      <c r="B19" s="145">
        <f>'Weekly Valuation'!D185/1000000000</f>
        <v>6.1473936605699997</v>
      </c>
      <c r="C19" s="146">
        <f>'Weekly Valuation'!K185/1000000000</f>
        <v>6.2638631020599993</v>
      </c>
      <c r="D19" s="173"/>
      <c r="E19" s="15"/>
    </row>
    <row r="20" spans="1:5">
      <c r="A20" s="147" t="s">
        <v>283</v>
      </c>
      <c r="B20" s="145">
        <f>'Weekly Valuation'!D209/1000000000</f>
        <v>54.941389819284474</v>
      </c>
      <c r="C20" s="146">
        <f>'Weekly Valuation'!K209/1000000000</f>
        <v>55.353096361686781</v>
      </c>
      <c r="D20" s="173"/>
      <c r="E20" s="15"/>
    </row>
    <row r="21" spans="1:5">
      <c r="A21" s="175"/>
      <c r="B21" s="173"/>
      <c r="C21" s="176"/>
      <c r="D21" s="173"/>
      <c r="E21" s="15"/>
    </row>
    <row r="22" spans="1:5">
      <c r="A22" s="175"/>
      <c r="B22" s="173"/>
      <c r="C22" s="177"/>
      <c r="D22" s="173"/>
      <c r="E22" s="15"/>
    </row>
    <row r="23" spans="1:5">
      <c r="A23" s="153"/>
      <c r="B23" s="154"/>
      <c r="C23" s="155"/>
      <c r="D23" s="19"/>
      <c r="E23" s="19"/>
    </row>
    <row r="24" spans="1:5">
      <c r="A24" s="153"/>
      <c r="B24" s="154"/>
      <c r="C24" s="154"/>
      <c r="D24" s="19"/>
      <c r="E24" s="19"/>
    </row>
    <row r="25" spans="1:5">
      <c r="A25" s="153"/>
      <c r="B25" s="154"/>
      <c r="C25" s="154"/>
      <c r="D25" s="19"/>
      <c r="E25" s="19"/>
    </row>
    <row r="26" spans="1:5">
      <c r="A26" s="21"/>
      <c r="B26" s="22"/>
      <c r="C26" s="22"/>
      <c r="D26" s="15"/>
      <c r="E26" s="15"/>
    </row>
    <row r="27" spans="1:5">
      <c r="A27" s="21"/>
      <c r="B27" s="22"/>
      <c r="C27" s="22"/>
      <c r="D27" s="15"/>
      <c r="E27" s="15"/>
    </row>
    <row r="28" spans="1:5">
      <c r="A28" s="15"/>
      <c r="B28" s="15"/>
      <c r="C28" s="15"/>
      <c r="D28" s="15"/>
      <c r="E28" s="15"/>
    </row>
    <row r="29" spans="1:5">
      <c r="A29" s="15"/>
      <c r="B29" s="15"/>
      <c r="C29" s="15"/>
      <c r="D29" s="15"/>
    </row>
  </sheetData>
  <sheetProtection algorithmName="SHA-512" hashValue="M7yEesThtupwjbFMn8qbqxsnbCJmNmqc7d9GnSw/iN6t6dJTxLvVLQOPo1qc1wqi5dvlt+q1dwXY681fC1WMpw==" saltValue="K++H4luxn869UTveuz2MM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L12" sqref="L12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7" ht="15.6">
      <c r="A1" s="156" t="s">
        <v>280</v>
      </c>
      <c r="B1" s="157">
        <v>45688</v>
      </c>
      <c r="C1" s="19"/>
      <c r="D1" s="15"/>
      <c r="E1" s="15"/>
      <c r="F1" s="15"/>
      <c r="G1" s="15"/>
    </row>
    <row r="2" spans="1:7">
      <c r="A2" s="150" t="s">
        <v>227</v>
      </c>
      <c r="B2" s="152">
        <f>'Weekly Valuation'!K185</f>
        <v>6263863102.0599995</v>
      </c>
      <c r="C2" s="19"/>
      <c r="D2" s="15"/>
      <c r="E2" s="15"/>
      <c r="F2" s="15"/>
      <c r="G2" s="15"/>
    </row>
    <row r="3" spans="1:7">
      <c r="A3" s="150" t="s">
        <v>17</v>
      </c>
      <c r="B3" s="152">
        <f>'Weekly Valuation'!K24</f>
        <v>34311367067.189999</v>
      </c>
      <c r="C3" s="19"/>
      <c r="D3" s="15"/>
      <c r="E3" s="15"/>
      <c r="F3" s="15"/>
      <c r="G3" s="15"/>
    </row>
    <row r="4" spans="1:7">
      <c r="A4" s="150" t="s">
        <v>283</v>
      </c>
      <c r="B4" s="155">
        <f>'Weekly Valuation'!K209</f>
        <v>55353096361.686783</v>
      </c>
      <c r="C4" s="19"/>
      <c r="D4" s="15"/>
      <c r="E4" s="15"/>
      <c r="F4" s="15"/>
      <c r="G4" s="15"/>
    </row>
    <row r="5" spans="1:7">
      <c r="A5" s="150" t="s">
        <v>196</v>
      </c>
      <c r="B5" s="152">
        <f>'Weekly Valuation'!K179</f>
        <v>55883226354.418106</v>
      </c>
      <c r="C5" s="19"/>
      <c r="D5" s="15"/>
      <c r="E5" s="15"/>
      <c r="F5" s="15"/>
      <c r="G5" s="15"/>
    </row>
    <row r="6" spans="1:7">
      <c r="A6" s="150" t="s">
        <v>282</v>
      </c>
      <c r="B6" s="152">
        <f>'Weekly Valuation'!K148</f>
        <v>100943942196.36</v>
      </c>
      <c r="C6" s="19"/>
      <c r="D6" s="15"/>
      <c r="E6" s="15"/>
      <c r="F6" s="15"/>
      <c r="G6" s="15"/>
    </row>
    <row r="7" spans="1:7">
      <c r="A7" s="150" t="s">
        <v>281</v>
      </c>
      <c r="B7" s="152">
        <f>'Weekly Valuation'!K104</f>
        <v>192710764728.50818</v>
      </c>
      <c r="C7" s="19"/>
      <c r="D7" s="15"/>
      <c r="E7" s="15"/>
      <c r="F7" s="15"/>
      <c r="G7" s="15"/>
    </row>
    <row r="8" spans="1:7">
      <c r="A8" s="150" t="s">
        <v>54</v>
      </c>
      <c r="B8" s="151">
        <f>'Weekly Valuation'!K65</f>
        <v>1936499649559.6733</v>
      </c>
      <c r="C8" s="19"/>
      <c r="D8" s="15"/>
      <c r="E8" s="15"/>
      <c r="F8" s="15"/>
      <c r="G8" s="15"/>
    </row>
    <row r="9" spans="1:7">
      <c r="A9" s="150" t="s">
        <v>158</v>
      </c>
      <c r="B9" s="151">
        <f>'Weekly Valuation'!K140</f>
        <v>1729854588802.0955</v>
      </c>
      <c r="C9" s="19"/>
      <c r="D9" s="15"/>
      <c r="E9" s="15"/>
      <c r="F9" s="15"/>
      <c r="G9" s="15"/>
    </row>
    <row r="10" spans="1:7">
      <c r="A10" s="137"/>
      <c r="B10" s="137"/>
      <c r="C10" s="19"/>
      <c r="D10" s="15"/>
      <c r="E10" s="15"/>
      <c r="F10" s="15"/>
      <c r="G10" s="15"/>
    </row>
    <row r="11" spans="1:7">
      <c r="A11" s="150"/>
      <c r="B11" s="158"/>
      <c r="C11" s="19"/>
      <c r="D11" s="15"/>
      <c r="E11" s="15"/>
      <c r="F11" s="15"/>
      <c r="G11" s="15"/>
    </row>
    <row r="12" spans="1:7">
      <c r="A12" s="150"/>
      <c r="B12" s="19"/>
      <c r="C12" s="19"/>
      <c r="D12" s="15"/>
      <c r="E12" s="15"/>
      <c r="F12" s="15"/>
      <c r="G12" s="15"/>
    </row>
    <row r="13" spans="1:7">
      <c r="A13" s="154"/>
      <c r="B13" s="154"/>
      <c r="C13" s="19"/>
      <c r="D13" s="15"/>
      <c r="E13" s="15"/>
      <c r="F13" s="15"/>
      <c r="G13" s="15"/>
    </row>
    <row r="14" spans="1:7">
      <c r="A14" s="22"/>
      <c r="B14" s="22"/>
      <c r="C14" s="15"/>
      <c r="D14" s="15"/>
      <c r="E14" s="15"/>
      <c r="F14" s="15"/>
      <c r="G14" s="15"/>
    </row>
    <row r="15" spans="1:7" ht="16.5" customHeight="1">
      <c r="A15" s="178"/>
      <c r="B15" s="178"/>
      <c r="C15" s="15"/>
      <c r="D15" s="15"/>
      <c r="E15" s="15"/>
      <c r="F15" s="15"/>
      <c r="G15" s="15"/>
    </row>
    <row r="16" spans="1:7">
      <c r="A16" s="22"/>
      <c r="B16" s="22"/>
      <c r="C16" s="15"/>
      <c r="D16" s="15"/>
      <c r="E16" s="15"/>
      <c r="F16" s="15"/>
      <c r="G16" s="15"/>
    </row>
    <row r="17" spans="1:17">
      <c r="A17" s="22"/>
      <c r="B17" s="22"/>
      <c r="C17" s="15"/>
      <c r="D17" s="15"/>
      <c r="E17" s="15"/>
      <c r="F17" s="15"/>
      <c r="G17" s="15"/>
    </row>
    <row r="18" spans="1:17">
      <c r="A18" s="129"/>
      <c r="B18" s="22"/>
      <c r="C18" s="15"/>
      <c r="D18" s="15"/>
      <c r="E18" s="15"/>
      <c r="F18" s="15"/>
      <c r="G18" s="15"/>
    </row>
    <row r="19" spans="1:17">
      <c r="A19" s="129"/>
      <c r="B19" s="129"/>
      <c r="C19" s="15"/>
      <c r="D19" s="15"/>
      <c r="E19" s="15"/>
      <c r="F19" s="15"/>
      <c r="G19" s="15"/>
    </row>
    <row r="20" spans="1:17">
      <c r="A20" s="129"/>
      <c r="B20" s="129"/>
      <c r="C20" s="15"/>
      <c r="D20" s="15"/>
      <c r="E20" s="15"/>
      <c r="F20" s="15"/>
      <c r="G20" s="15"/>
    </row>
    <row r="21" spans="1:17">
      <c r="A21" s="21"/>
      <c r="B21" s="129"/>
      <c r="C21" s="15"/>
      <c r="D21" s="15"/>
      <c r="E21" s="15"/>
      <c r="F21" s="15"/>
      <c r="G21" s="15"/>
    </row>
    <row r="22" spans="1:17">
      <c r="A22" s="15"/>
      <c r="B22" s="129"/>
      <c r="C22" s="15"/>
      <c r="D22" s="15"/>
      <c r="E22" s="15"/>
      <c r="F22" s="15"/>
      <c r="G22" s="15"/>
    </row>
    <row r="23" spans="1:17">
      <c r="A23" s="15"/>
      <c r="B23" s="15"/>
      <c r="C23" s="15"/>
      <c r="D23" s="15"/>
      <c r="E23" s="15"/>
      <c r="F23" s="15"/>
      <c r="G23" s="15"/>
    </row>
    <row r="24" spans="1:17">
      <c r="A24" s="15"/>
      <c r="B24" s="15"/>
      <c r="C24" s="15"/>
      <c r="D24" s="15"/>
      <c r="E24" s="15"/>
      <c r="F24" s="15"/>
      <c r="G24" s="15"/>
    </row>
    <row r="25" spans="1:17">
      <c r="A25" s="15"/>
      <c r="B25" s="15"/>
      <c r="C25" s="15"/>
      <c r="D25" s="15"/>
      <c r="E25" s="15"/>
      <c r="F25" s="15"/>
      <c r="G25" s="15"/>
    </row>
    <row r="26" spans="1:17">
      <c r="A26" s="15"/>
      <c r="B26" s="15"/>
      <c r="C26" s="15"/>
      <c r="D26" s="15"/>
      <c r="E26" s="15"/>
      <c r="F26" s="15"/>
      <c r="G26" s="15"/>
    </row>
    <row r="27" spans="1:17">
      <c r="A27" s="15"/>
      <c r="B27" s="15"/>
      <c r="C27" s="15"/>
      <c r="D27" s="15"/>
      <c r="E27" s="15"/>
      <c r="F27" s="15"/>
      <c r="G27" s="15"/>
    </row>
    <row r="28" spans="1:17">
      <c r="A28" s="15"/>
      <c r="B28" s="15"/>
      <c r="C28" s="15"/>
      <c r="D28" s="15"/>
      <c r="E28" s="15"/>
      <c r="F28" s="15"/>
      <c r="G28" s="15"/>
    </row>
    <row r="29" spans="1:17">
      <c r="A29" s="15"/>
      <c r="B29" s="15"/>
      <c r="C29" s="15"/>
      <c r="D29" s="15"/>
    </row>
    <row r="32" spans="1:17" ht="16.5" customHeight="1">
      <c r="A32" s="190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20"/>
    </row>
    <row r="33" spans="1:17" ht="15" customHeight="1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20"/>
    </row>
  </sheetData>
  <sheetProtection algorithmName="SHA-512" hashValue="0veJENZQi0dC9LlzZTa+IQOKLHF/VyWs8vgA4cRnvzG6JDIIOXGh09R5WpKP0Fu65Sq9v0KWt8//057u01rXXg==" saltValue="yOppd/mYxVldO98VWFElS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0"/>
  <sheetViews>
    <sheetView zoomScale="110" zoomScaleNormal="110" workbookViewId="0">
      <selection activeCell="G7" sqref="G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59" t="s">
        <v>284</v>
      </c>
      <c r="B2" s="160">
        <v>45639</v>
      </c>
      <c r="C2" s="160">
        <v>45646</v>
      </c>
      <c r="D2" s="160">
        <v>45653</v>
      </c>
      <c r="E2" s="160">
        <v>45660</v>
      </c>
      <c r="F2" s="160">
        <v>45667</v>
      </c>
      <c r="G2" s="160">
        <v>45674</v>
      </c>
      <c r="H2" s="160">
        <v>45681</v>
      </c>
      <c r="I2" s="160">
        <v>45688</v>
      </c>
      <c r="J2" s="19"/>
      <c r="K2" s="15"/>
      <c r="L2" s="15"/>
      <c r="M2" s="15"/>
    </row>
    <row r="3" spans="1:13">
      <c r="A3" s="159" t="s">
        <v>285</v>
      </c>
      <c r="B3" s="161">
        <f t="shared" ref="B3:I3" si="0">B4</f>
        <v>3751.2644931970517</v>
      </c>
      <c r="C3" s="161">
        <f t="shared" si="0"/>
        <v>3792.1276820114672</v>
      </c>
      <c r="D3" s="161">
        <f t="shared" si="0"/>
        <v>3829.831201863391</v>
      </c>
      <c r="E3" s="161">
        <f t="shared" si="0"/>
        <v>3883.4933818535656</v>
      </c>
      <c r="F3" s="161">
        <f t="shared" si="0"/>
        <v>3964.1148250792808</v>
      </c>
      <c r="G3" s="161">
        <f t="shared" si="0"/>
        <v>4019.7056298340649</v>
      </c>
      <c r="H3" s="161">
        <f t="shared" si="0"/>
        <v>4119.3897630881565</v>
      </c>
      <c r="I3" s="161">
        <f t="shared" si="0"/>
        <v>4111.8204981719919</v>
      </c>
      <c r="J3" s="19"/>
      <c r="K3" s="15"/>
      <c r="L3" s="15"/>
      <c r="M3" s="15"/>
    </row>
    <row r="4" spans="1:13">
      <c r="A4" s="19"/>
      <c r="B4" s="162">
        <f>'NAV Trend'!C10/1000000000</f>
        <v>3751.2644931970517</v>
      </c>
      <c r="C4" s="162">
        <f>'NAV Trend'!D10/1000000000</f>
        <v>3792.1276820114672</v>
      </c>
      <c r="D4" s="162">
        <f>'NAV Trend'!E10/1000000000</f>
        <v>3829.831201863391</v>
      </c>
      <c r="E4" s="162">
        <f>'NAV Trend'!F10/1000000000</f>
        <v>3883.4933818535656</v>
      </c>
      <c r="F4" s="162">
        <f>'NAV Trend'!G10/1000000000</f>
        <v>3964.1148250792808</v>
      </c>
      <c r="G4" s="162">
        <f>'NAV Trend'!H10/1000000000</f>
        <v>4019.7056298340649</v>
      </c>
      <c r="H4" s="163">
        <f>'NAV Trend'!I10/1000000000</f>
        <v>4119.3897630881565</v>
      </c>
      <c r="I4" s="163">
        <f>'NAV Trend'!J10/1000000000</f>
        <v>4111.8204981719919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sheetProtection algorithmName="SHA-512" hashValue="Y6/sL1EVb/TzKl0XYARdWibob7kCCVdXmHs5oDf8WdFoqBuC+FGKYH2IND99fu1n27TAsBQ70H6uksxAhw36pA==" saltValue="81SGGGPV5SLyEVfXPArgH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0"/>
  <sheetViews>
    <sheetView workbookViewId="0">
      <selection activeCell="F7" sqref="F7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</row>
    <row r="2" spans="1:12">
      <c r="A2" s="159" t="s">
        <v>284</v>
      </c>
      <c r="B2" s="160">
        <v>45639</v>
      </c>
      <c r="C2" s="160">
        <v>45646</v>
      </c>
      <c r="D2" s="160">
        <v>45653</v>
      </c>
      <c r="E2" s="160">
        <v>45660</v>
      </c>
      <c r="F2" s="160">
        <v>45667</v>
      </c>
      <c r="G2" s="160">
        <v>45674</v>
      </c>
      <c r="H2" s="160">
        <v>45681</v>
      </c>
      <c r="I2" s="160">
        <v>45688</v>
      </c>
      <c r="J2" s="19"/>
      <c r="K2" s="15"/>
      <c r="L2" s="15"/>
    </row>
    <row r="3" spans="1:12">
      <c r="A3" s="159" t="s">
        <v>286</v>
      </c>
      <c r="B3" s="161">
        <f t="shared" ref="B3:I3" si="0">B4</f>
        <v>12.494363671946113</v>
      </c>
      <c r="C3" s="161">
        <f t="shared" si="0"/>
        <v>12.568890044927004</v>
      </c>
      <c r="D3" s="161">
        <f t="shared" si="0"/>
        <v>12.767135898969396</v>
      </c>
      <c r="E3" s="161">
        <f t="shared" si="0"/>
        <v>12.486443329167654</v>
      </c>
      <c r="F3" s="161">
        <f t="shared" si="0"/>
        <v>13.126291240540001</v>
      </c>
      <c r="G3" s="161">
        <f t="shared" si="0"/>
        <v>12.926648581233682</v>
      </c>
      <c r="H3" s="161">
        <f t="shared" si="0"/>
        <v>13.139930136069998</v>
      </c>
      <c r="I3" s="161">
        <f t="shared" si="0"/>
        <v>13.268621080599999</v>
      </c>
      <c r="J3" s="19"/>
      <c r="K3" s="15"/>
      <c r="L3" s="15"/>
    </row>
    <row r="4" spans="1:12">
      <c r="A4" s="19"/>
      <c r="B4" s="162">
        <f>'NAV Trend'!C16/1000000000</f>
        <v>12.494363671946113</v>
      </c>
      <c r="C4" s="162">
        <f>'NAV Trend'!D16/1000000000</f>
        <v>12.568890044927004</v>
      </c>
      <c r="D4" s="162">
        <f>'NAV Trend'!E16/1000000000</f>
        <v>12.767135898969396</v>
      </c>
      <c r="E4" s="162">
        <f>'NAV Trend'!F16/1000000000</f>
        <v>12.486443329167654</v>
      </c>
      <c r="F4" s="162">
        <f>'NAV Trend'!G16/1000000000</f>
        <v>13.126291240540001</v>
      </c>
      <c r="G4" s="162">
        <f>'NAV Trend'!H16/1000000000</f>
        <v>12.926648581233682</v>
      </c>
      <c r="H4" s="162">
        <f>'NAV Trend'!I16/1000000000</f>
        <v>13.139930136069998</v>
      </c>
      <c r="I4" s="163">
        <f>'NAV Trend'!J16/1000000000</f>
        <v>13.268621080599999</v>
      </c>
      <c r="J4" s="19"/>
      <c r="K4" s="15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</row>
    <row r="6" spans="1: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sheetProtection algorithmName="SHA-512" hashValue="CznlACMTuHnG624hI5cL/STQzFwJGImPuHvCKWCrJaBPhKdkZAlQBHYl0S/mczcX1j5qQt8AEsd/BCbUXpPjqQ==" saltValue="7QgYU2SXO+J8maDRHIubt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280</v>
      </c>
      <c r="B1" s="2">
        <v>45632</v>
      </c>
      <c r="C1" s="2">
        <v>45639</v>
      </c>
      <c r="D1" s="2">
        <v>45646</v>
      </c>
      <c r="E1" s="2">
        <v>45653</v>
      </c>
      <c r="F1" s="2">
        <v>45660</v>
      </c>
      <c r="G1" s="2">
        <v>45667</v>
      </c>
      <c r="H1" s="2">
        <v>45674</v>
      </c>
      <c r="I1" s="2">
        <v>45681</v>
      </c>
      <c r="J1" s="2">
        <v>45688</v>
      </c>
    </row>
    <row r="2" spans="1:11">
      <c r="A2" s="3" t="s">
        <v>17</v>
      </c>
      <c r="B2" s="4">
        <v>30290917801.960003</v>
      </c>
      <c r="C2" s="4">
        <v>30219679979.860001</v>
      </c>
      <c r="D2" s="4">
        <v>30560198280.420002</v>
      </c>
      <c r="E2" s="4">
        <v>31203064609.43</v>
      </c>
      <c r="F2" s="4">
        <v>32261498393.230003</v>
      </c>
      <c r="G2" s="4">
        <v>33411621797.110004</v>
      </c>
      <c r="H2" s="4">
        <v>33055654590.010002</v>
      </c>
      <c r="I2" s="4">
        <v>33667453981.210003</v>
      </c>
      <c r="J2" s="4">
        <v>34311367067.189999</v>
      </c>
    </row>
    <row r="3" spans="1:11">
      <c r="A3" s="3" t="s">
        <v>54</v>
      </c>
      <c r="B3" s="4">
        <v>1605147165407.8784</v>
      </c>
      <c r="C3" s="4">
        <v>1617261517557.7881</v>
      </c>
      <c r="D3" s="4">
        <v>1651994114175.4978</v>
      </c>
      <c r="E3" s="4">
        <v>1680789898381.158</v>
      </c>
      <c r="F3" s="4">
        <v>1731331455377.9688</v>
      </c>
      <c r="G3" s="4">
        <v>1796163520217.4673</v>
      </c>
      <c r="H3" s="4">
        <v>1833494333831.687</v>
      </c>
      <c r="I3" s="4">
        <v>1887272680234.0166</v>
      </c>
      <c r="J3" s="4">
        <v>1936499649559.6733</v>
      </c>
    </row>
    <row r="4" spans="1:11">
      <c r="A4" s="3" t="s">
        <v>281</v>
      </c>
      <c r="B4" s="5">
        <v>200489400850.13455</v>
      </c>
      <c r="C4" s="5">
        <v>199225882213.46936</v>
      </c>
      <c r="D4" s="5">
        <v>198371804922.96381</v>
      </c>
      <c r="E4" s="5">
        <v>196299640514.55566</v>
      </c>
      <c r="F4" s="5">
        <v>196558953968.70349</v>
      </c>
      <c r="G4" s="5">
        <v>198624219481.39801</v>
      </c>
      <c r="H4" s="5">
        <v>199572944900.79062</v>
      </c>
      <c r="I4" s="5">
        <v>193295117054.89386</v>
      </c>
      <c r="J4" s="5">
        <v>192710764728.50818</v>
      </c>
    </row>
    <row r="5" spans="1:11">
      <c r="A5" s="3" t="s">
        <v>158</v>
      </c>
      <c r="B5" s="4">
        <v>1721227403889.6946</v>
      </c>
      <c r="C5" s="4">
        <v>1693020111552.7451</v>
      </c>
      <c r="D5" s="4">
        <v>1699042162793.3723</v>
      </c>
      <c r="E5" s="4">
        <v>1708643961742.885</v>
      </c>
      <c r="F5" s="4">
        <v>1710039312371.6768</v>
      </c>
      <c r="G5" s="4">
        <v>1721273790884.4595</v>
      </c>
      <c r="H5" s="4">
        <v>1738459762464.4448</v>
      </c>
      <c r="I5" s="4">
        <v>1788025443922.3008</v>
      </c>
      <c r="J5" s="4">
        <v>1729854588802.0955</v>
      </c>
    </row>
    <row r="6" spans="1:11">
      <c r="A6" s="3" t="s">
        <v>282</v>
      </c>
      <c r="B6" s="6">
        <v>99753756571.315765</v>
      </c>
      <c r="C6" s="6">
        <v>99992536244.061172</v>
      </c>
      <c r="D6" s="6">
        <v>100248262192.26375</v>
      </c>
      <c r="E6" s="6">
        <v>99946034003.712875</v>
      </c>
      <c r="F6" s="6">
        <v>100165676341.88785</v>
      </c>
      <c r="G6" s="6">
        <v>100814525942.29248</v>
      </c>
      <c r="H6" s="6">
        <v>100848197035.93321</v>
      </c>
      <c r="I6" s="6">
        <v>100883151715.23096</v>
      </c>
      <c r="J6" s="6">
        <v>100943942196.36</v>
      </c>
    </row>
    <row r="7" spans="1:11">
      <c r="A7" s="3" t="s">
        <v>196</v>
      </c>
      <c r="B7" s="7">
        <v>53833340267.497757</v>
      </c>
      <c r="C7" s="7">
        <v>53880440218.66169</v>
      </c>
      <c r="D7" s="7">
        <v>54152150309.321541</v>
      </c>
      <c r="E7" s="7">
        <v>54717751907.536263</v>
      </c>
      <c r="F7" s="7">
        <v>54655185610.452072</v>
      </c>
      <c r="G7" s="7">
        <v>55198098021.346275</v>
      </c>
      <c r="H7" s="7">
        <v>54483397031.599197</v>
      </c>
      <c r="I7" s="7">
        <v>55157132700.650406</v>
      </c>
      <c r="J7" s="7">
        <v>55883226354.418106</v>
      </c>
    </row>
    <row r="8" spans="1:11">
      <c r="A8" s="3" t="s">
        <v>227</v>
      </c>
      <c r="B8" s="6">
        <v>5746085220.3999996</v>
      </c>
      <c r="C8" s="6">
        <v>5750433945.7299995</v>
      </c>
      <c r="D8" s="6">
        <v>5821851798.3900003</v>
      </c>
      <c r="E8" s="6">
        <v>5883795695.79</v>
      </c>
      <c r="F8" s="6">
        <v>5956758809.29</v>
      </c>
      <c r="G8" s="6">
        <v>6053117697.3000002</v>
      </c>
      <c r="H8" s="6">
        <v>6021515311.3500004</v>
      </c>
      <c r="I8" s="6">
        <v>6147393660.5699997</v>
      </c>
      <c r="J8" s="6">
        <v>6263863102.0599995</v>
      </c>
    </row>
    <row r="9" spans="1:11">
      <c r="A9" s="3" t="s">
        <v>283</v>
      </c>
      <c r="B9" s="6">
        <v>51477005540.102272</v>
      </c>
      <c r="C9" s="6">
        <v>51913891484.736198</v>
      </c>
      <c r="D9" s="6">
        <v>51937137539.237915</v>
      </c>
      <c r="E9" s="6">
        <v>52347055008.3237</v>
      </c>
      <c r="F9" s="6">
        <v>52524540980.356323</v>
      </c>
      <c r="G9" s="6">
        <v>52575931037.907692</v>
      </c>
      <c r="H9" s="6">
        <v>53769824668.250122</v>
      </c>
      <c r="I9" s="6">
        <v>54941389819.284477</v>
      </c>
      <c r="J9" s="6">
        <v>55353096361.686783</v>
      </c>
    </row>
    <row r="10" spans="1:11" ht="15.6">
      <c r="A10" s="8" t="s">
        <v>287</v>
      </c>
      <c r="B10" s="9">
        <f t="shared" ref="B10:J10" si="0">SUM(B2:B9)</f>
        <v>3767965075548.9829</v>
      </c>
      <c r="C10" s="9">
        <f t="shared" si="0"/>
        <v>3751264493197.0518</v>
      </c>
      <c r="D10" s="9">
        <f t="shared" si="0"/>
        <v>3792127682011.4673</v>
      </c>
      <c r="E10" s="9">
        <f t="shared" si="0"/>
        <v>3829831201863.3911</v>
      </c>
      <c r="F10" s="9">
        <f t="shared" si="0"/>
        <v>3883493381853.5654</v>
      </c>
      <c r="G10" s="9">
        <f t="shared" si="0"/>
        <v>3964114825079.2808</v>
      </c>
      <c r="H10" s="9">
        <f t="shared" si="0"/>
        <v>4019705629834.0649</v>
      </c>
      <c r="I10" s="9">
        <f t="shared" si="0"/>
        <v>4119389763088.1567</v>
      </c>
      <c r="J10" s="9">
        <f t="shared" si="0"/>
        <v>4111820498171.9917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288</v>
      </c>
      <c r="B12" s="127" t="s">
        <v>289</v>
      </c>
      <c r="C12" s="13">
        <f>(B10+C10)/2</f>
        <v>3759614784373.0176</v>
      </c>
      <c r="D12" s="14">
        <f t="shared" ref="D12:J12" si="1">(C10+D10)/2</f>
        <v>3771696087604.2598</v>
      </c>
      <c r="E12" s="14">
        <f t="shared" si="1"/>
        <v>3810979441937.4292</v>
      </c>
      <c r="F12" s="14">
        <f t="shared" si="1"/>
        <v>3856662291858.4785</v>
      </c>
      <c r="G12" s="14">
        <f t="shared" si="1"/>
        <v>3923804103466.4229</v>
      </c>
      <c r="H12" s="14">
        <f t="shared" si="1"/>
        <v>3991910227456.6729</v>
      </c>
      <c r="I12" s="14">
        <f t="shared" si="1"/>
        <v>4069547696461.1108</v>
      </c>
      <c r="J12" s="14">
        <f t="shared" si="1"/>
        <v>4115605130630.0742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45632</v>
      </c>
      <c r="C15" s="2">
        <v>45639</v>
      </c>
      <c r="D15" s="2">
        <v>45646</v>
      </c>
      <c r="E15" s="2">
        <v>45653</v>
      </c>
      <c r="F15" s="2">
        <v>45660</v>
      </c>
      <c r="G15" s="2">
        <v>45667</v>
      </c>
      <c r="H15" s="2">
        <v>45674</v>
      </c>
      <c r="I15" s="2">
        <v>45681</v>
      </c>
      <c r="J15" s="2">
        <v>45688</v>
      </c>
      <c r="K15" s="15"/>
    </row>
    <row r="16" spans="1:11">
      <c r="A16" s="16" t="s">
        <v>290</v>
      </c>
      <c r="B16" s="17">
        <v>12480727319.636602</v>
      </c>
      <c r="C16" s="17">
        <v>12494363671.946114</v>
      </c>
      <c r="D16" s="17">
        <v>12568890044.927004</v>
      </c>
      <c r="E16" s="17">
        <v>12767135898.969397</v>
      </c>
      <c r="F16" s="17">
        <v>12486443329.167654</v>
      </c>
      <c r="G16" s="17">
        <v>13126291240.540001</v>
      </c>
      <c r="H16" s="17">
        <v>12926648581.233683</v>
      </c>
      <c r="I16" s="17">
        <v>13139930136.069998</v>
      </c>
      <c r="J16" s="17">
        <v>13268621080.599998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6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1BMnHCPddgIxmFIc5skpm4FKamOxU5tYX3EEJV25UjV/5QGMZO+gFaEP4HTetMwVLlIeccMSU4z79XtV7cUjYA==" saltValue="YZjZoW/ltIrXD4fwZYKGAw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2025-02-06T12:12:06Z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