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N116" i="1" l="1"/>
  <c r="M116" i="1"/>
  <c r="K116" i="1"/>
  <c r="N121" i="1" l="1"/>
  <c r="M121" i="1"/>
  <c r="K121" i="1"/>
  <c r="N137" i="1" l="1"/>
  <c r="M137" i="1"/>
  <c r="K137" i="1"/>
  <c r="N142" i="1" l="1"/>
  <c r="M142" i="1"/>
  <c r="K142" i="1"/>
  <c r="N128" i="1"/>
  <c r="M128" i="1"/>
  <c r="K128" i="1"/>
  <c r="N114" i="1" l="1"/>
  <c r="M114" i="1"/>
  <c r="K114" i="1"/>
  <c r="N110" i="1"/>
  <c r="M110" i="1"/>
  <c r="K110" i="1"/>
  <c r="N111" i="1" l="1"/>
  <c r="M111" i="1"/>
  <c r="K111" i="1"/>
  <c r="N131" i="1"/>
  <c r="M131" i="1"/>
  <c r="K131" i="1"/>
  <c r="N134" i="1" l="1"/>
  <c r="M134" i="1"/>
  <c r="K134" i="1"/>
  <c r="N124" i="1" l="1"/>
  <c r="M124" i="1"/>
  <c r="K124" i="1"/>
  <c r="N117" i="1"/>
  <c r="M117" i="1"/>
  <c r="K117" i="1"/>
  <c r="N129" i="1" l="1"/>
  <c r="M129" i="1"/>
  <c r="K129" i="1"/>
  <c r="N135" i="1"/>
  <c r="M135" i="1"/>
  <c r="K135" i="1"/>
  <c r="N123" i="1" l="1"/>
  <c r="M123" i="1"/>
  <c r="K123" i="1"/>
  <c r="N136" i="1"/>
  <c r="M136" i="1"/>
  <c r="N122" i="1"/>
  <c r="M122" i="1"/>
  <c r="K122" i="1"/>
  <c r="N115" i="1"/>
  <c r="M115" i="1"/>
  <c r="K115" i="1"/>
  <c r="N113" i="1"/>
  <c r="M113" i="1"/>
  <c r="K113" i="1"/>
  <c r="N112" i="1"/>
  <c r="M112" i="1"/>
  <c r="K112" i="1"/>
  <c r="N139" i="1" l="1"/>
  <c r="M139" i="1"/>
  <c r="K139" i="1"/>
  <c r="N125" i="1"/>
  <c r="M125" i="1"/>
  <c r="K125" i="1"/>
  <c r="N140" i="1"/>
  <c r="M140" i="1"/>
  <c r="K140" i="1"/>
  <c r="G142" i="1"/>
  <c r="F142" i="1"/>
  <c r="G140" i="1"/>
  <c r="F140" i="1"/>
  <c r="G139" i="1"/>
  <c r="F139" i="1"/>
  <c r="G137" i="1"/>
  <c r="F137" i="1"/>
  <c r="G136" i="1"/>
  <c r="F136" i="1"/>
  <c r="G135" i="1"/>
  <c r="F135" i="1"/>
  <c r="G134" i="1"/>
  <c r="F134" i="1"/>
  <c r="G133" i="1"/>
  <c r="F133" i="1"/>
  <c r="G131" i="1"/>
  <c r="F131" i="1"/>
  <c r="G129" i="1"/>
  <c r="F129" i="1"/>
  <c r="G128" i="1"/>
  <c r="F128" i="1"/>
  <c r="D142" i="1"/>
  <c r="D140" i="1"/>
  <c r="D139" i="1"/>
  <c r="D137" i="1"/>
  <c r="D135" i="1"/>
  <c r="D134" i="1"/>
  <c r="D131" i="1"/>
  <c r="D129" i="1"/>
  <c r="D128" i="1"/>
  <c r="G125" i="1"/>
  <c r="F125" i="1"/>
  <c r="G124" i="1"/>
  <c r="F124" i="1"/>
  <c r="G123" i="1"/>
  <c r="F123" i="1"/>
  <c r="G122" i="1"/>
  <c r="F122" i="1"/>
  <c r="G121" i="1"/>
  <c r="F121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D125" i="1"/>
  <c r="D124" i="1"/>
  <c r="D123" i="1"/>
  <c r="D122" i="1"/>
  <c r="D121" i="1"/>
  <c r="D117" i="1"/>
  <c r="D116" i="1"/>
  <c r="D115" i="1"/>
  <c r="D114" i="1"/>
  <c r="D113" i="1"/>
  <c r="D112" i="1"/>
  <c r="D111" i="1"/>
  <c r="D110" i="1"/>
  <c r="M133" i="1" l="1"/>
  <c r="O219" i="1" l="1"/>
  <c r="K219" i="1"/>
  <c r="L217" i="1" s="1"/>
  <c r="H219" i="1"/>
  <c r="D219" i="1"/>
  <c r="V217" i="1"/>
  <c r="U217" i="1"/>
  <c r="T217" i="1"/>
  <c r="S217" i="1"/>
  <c r="R217" i="1"/>
  <c r="R131" i="1" l="1"/>
  <c r="V131" i="1"/>
  <c r="U131" i="1"/>
  <c r="T131" i="1"/>
  <c r="S131" i="1"/>
  <c r="V79" i="1"/>
  <c r="U79" i="1"/>
  <c r="T79" i="1"/>
  <c r="S79" i="1"/>
  <c r="R79" i="1"/>
  <c r="R163" i="1" l="1"/>
  <c r="N133" i="1" l="1"/>
  <c r="V23" i="1" l="1"/>
  <c r="U23" i="1"/>
  <c r="T23" i="1"/>
  <c r="S23" i="1"/>
  <c r="R23" i="1"/>
  <c r="O213" i="1"/>
  <c r="K213" i="1"/>
  <c r="L212" i="1" s="1"/>
  <c r="H213" i="1"/>
  <c r="D213" i="1"/>
  <c r="V212" i="1"/>
  <c r="U212" i="1"/>
  <c r="T212" i="1"/>
  <c r="S212" i="1"/>
  <c r="R212" i="1"/>
  <c r="E212" i="1" l="1"/>
  <c r="E217" i="1"/>
  <c r="R31" i="1"/>
  <c r="K143" i="1" l="1"/>
  <c r="L130" i="1" s="1"/>
  <c r="R113" i="1" l="1"/>
  <c r="S113" i="1"/>
  <c r="T113" i="1"/>
  <c r="U113" i="1"/>
  <c r="V113" i="1"/>
  <c r="R51" i="1" l="1"/>
  <c r="R205" i="1" l="1"/>
  <c r="V197" i="1" l="1"/>
  <c r="U197" i="1"/>
  <c r="T197" i="1"/>
  <c r="S197" i="1"/>
  <c r="R197" i="1"/>
  <c r="R139" i="1"/>
  <c r="S139" i="1"/>
  <c r="T139" i="1"/>
  <c r="U139" i="1"/>
  <c r="V139" i="1"/>
  <c r="R6" i="1" l="1"/>
  <c r="V181" i="1" l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R91" i="1" l="1"/>
  <c r="V33" i="1" l="1"/>
  <c r="U33" i="1"/>
  <c r="T33" i="1"/>
  <c r="S33" i="1"/>
  <c r="R33" i="1"/>
  <c r="V73" i="1" l="1"/>
  <c r="V48" i="1" l="1"/>
  <c r="U48" i="1"/>
  <c r="T48" i="1"/>
  <c r="S48" i="1"/>
  <c r="R48" i="1"/>
  <c r="J10" i="4" l="1"/>
  <c r="I4" i="5" s="1"/>
  <c r="I3" i="5" s="1"/>
  <c r="I10" i="4"/>
  <c r="H10" i="4"/>
  <c r="G4" i="5" s="1"/>
  <c r="G3" i="5" s="1"/>
  <c r="G10" i="4"/>
  <c r="H12" i="4" s="1"/>
  <c r="F10" i="4"/>
  <c r="E4" i="5" s="1"/>
  <c r="E3" i="5" s="1"/>
  <c r="E10" i="4"/>
  <c r="D10" i="4"/>
  <c r="E12" i="4" s="1"/>
  <c r="C10" i="4"/>
  <c r="B4" i="5" s="1"/>
  <c r="B3" i="5" s="1"/>
  <c r="B10" i="4"/>
  <c r="I4" i="6"/>
  <c r="I3" i="6" s="1"/>
  <c r="H4" i="6"/>
  <c r="H3" i="6" s="1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F4" i="5"/>
  <c r="F3" i="5" s="1"/>
  <c r="V239" i="1"/>
  <c r="U239" i="1"/>
  <c r="S239" i="1"/>
  <c r="O239" i="1"/>
  <c r="K239" i="1"/>
  <c r="H239" i="1"/>
  <c r="D239" i="1"/>
  <c r="E237" i="1" s="1"/>
  <c r="V238" i="1"/>
  <c r="U238" i="1"/>
  <c r="T238" i="1"/>
  <c r="S238" i="1"/>
  <c r="R238" i="1"/>
  <c r="V237" i="1"/>
  <c r="U237" i="1"/>
  <c r="T237" i="1"/>
  <c r="S237" i="1"/>
  <c r="R237" i="1"/>
  <c r="V236" i="1"/>
  <c r="U236" i="1"/>
  <c r="T236" i="1"/>
  <c r="S236" i="1"/>
  <c r="R236" i="1"/>
  <c r="V235" i="1"/>
  <c r="U235" i="1"/>
  <c r="T235" i="1"/>
  <c r="S235" i="1"/>
  <c r="R235" i="1"/>
  <c r="V234" i="1"/>
  <c r="U234" i="1"/>
  <c r="T234" i="1"/>
  <c r="S234" i="1"/>
  <c r="R234" i="1"/>
  <c r="V233" i="1"/>
  <c r="U233" i="1"/>
  <c r="T233" i="1"/>
  <c r="S233" i="1"/>
  <c r="R233" i="1"/>
  <c r="V232" i="1"/>
  <c r="U232" i="1"/>
  <c r="T232" i="1"/>
  <c r="S232" i="1"/>
  <c r="R232" i="1"/>
  <c r="V231" i="1"/>
  <c r="U231" i="1"/>
  <c r="T231" i="1"/>
  <c r="S231" i="1"/>
  <c r="R231" i="1"/>
  <c r="V230" i="1"/>
  <c r="U230" i="1"/>
  <c r="T230" i="1"/>
  <c r="S230" i="1"/>
  <c r="R230" i="1"/>
  <c r="V229" i="1"/>
  <c r="U229" i="1"/>
  <c r="T229" i="1"/>
  <c r="S229" i="1"/>
  <c r="R229" i="1"/>
  <c r="V228" i="1"/>
  <c r="U228" i="1"/>
  <c r="T228" i="1"/>
  <c r="S228" i="1"/>
  <c r="R228" i="1"/>
  <c r="V227" i="1"/>
  <c r="U227" i="1"/>
  <c r="T227" i="1"/>
  <c r="S227" i="1"/>
  <c r="R227" i="1"/>
  <c r="O224" i="1"/>
  <c r="K224" i="1"/>
  <c r="L223" i="1" s="1"/>
  <c r="H224" i="1"/>
  <c r="D224" i="1"/>
  <c r="E223" i="1" s="1"/>
  <c r="V223" i="1"/>
  <c r="U223" i="1"/>
  <c r="T223" i="1"/>
  <c r="S223" i="1"/>
  <c r="R223" i="1"/>
  <c r="V222" i="1"/>
  <c r="U222" i="1"/>
  <c r="T222" i="1"/>
  <c r="S222" i="1"/>
  <c r="R222" i="1"/>
  <c r="L218" i="1"/>
  <c r="V218" i="1"/>
  <c r="U218" i="1"/>
  <c r="T218" i="1"/>
  <c r="S218" i="1"/>
  <c r="R218" i="1"/>
  <c r="V213" i="1"/>
  <c r="U213" i="1"/>
  <c r="S213" i="1"/>
  <c r="V211" i="1"/>
  <c r="U211" i="1"/>
  <c r="T211" i="1"/>
  <c r="S211" i="1"/>
  <c r="R211" i="1"/>
  <c r="V208" i="1"/>
  <c r="U208" i="1"/>
  <c r="T208" i="1"/>
  <c r="S208" i="1"/>
  <c r="R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V204" i="1"/>
  <c r="U204" i="1"/>
  <c r="T204" i="1"/>
  <c r="S204" i="1"/>
  <c r="R204" i="1"/>
  <c r="V203" i="1"/>
  <c r="U203" i="1"/>
  <c r="T203" i="1"/>
  <c r="S203" i="1"/>
  <c r="R203" i="1"/>
  <c r="V202" i="1"/>
  <c r="U202" i="1"/>
  <c r="T202" i="1"/>
  <c r="S202" i="1"/>
  <c r="R202" i="1"/>
  <c r="V201" i="1"/>
  <c r="U201" i="1"/>
  <c r="T201" i="1"/>
  <c r="S201" i="1"/>
  <c r="R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6" i="1"/>
  <c r="U196" i="1"/>
  <c r="T196" i="1"/>
  <c r="S196" i="1"/>
  <c r="R196" i="1"/>
  <c r="V193" i="1"/>
  <c r="U193" i="1"/>
  <c r="T193" i="1"/>
  <c r="S193" i="1"/>
  <c r="R193" i="1"/>
  <c r="V192" i="1"/>
  <c r="U192" i="1"/>
  <c r="T192" i="1"/>
  <c r="S192" i="1"/>
  <c r="R192" i="1"/>
  <c r="V188" i="1"/>
  <c r="U188" i="1"/>
  <c r="S188" i="1"/>
  <c r="O188" i="1"/>
  <c r="K188" i="1"/>
  <c r="H188" i="1"/>
  <c r="D188" i="1"/>
  <c r="V187" i="1"/>
  <c r="U187" i="1"/>
  <c r="T187" i="1"/>
  <c r="S187" i="1"/>
  <c r="R187" i="1"/>
  <c r="V186" i="1"/>
  <c r="U186" i="1"/>
  <c r="T186" i="1"/>
  <c r="S186" i="1"/>
  <c r="R186" i="1"/>
  <c r="V185" i="1"/>
  <c r="U185" i="1"/>
  <c r="T185" i="1"/>
  <c r="S185" i="1"/>
  <c r="R185" i="1"/>
  <c r="V182" i="1"/>
  <c r="U182" i="1"/>
  <c r="S182" i="1"/>
  <c r="O182" i="1"/>
  <c r="K182" i="1"/>
  <c r="L160" i="1" s="1"/>
  <c r="H182" i="1"/>
  <c r="D182" i="1"/>
  <c r="V151" i="1"/>
  <c r="U151" i="1"/>
  <c r="S151" i="1"/>
  <c r="O151" i="1"/>
  <c r="K151" i="1"/>
  <c r="B6" i="3" s="1"/>
  <c r="H151" i="1"/>
  <c r="D151" i="1"/>
  <c r="E149" i="1" s="1"/>
  <c r="V150" i="1"/>
  <c r="U150" i="1"/>
  <c r="T150" i="1"/>
  <c r="S150" i="1"/>
  <c r="R150" i="1"/>
  <c r="V149" i="1"/>
  <c r="U149" i="1"/>
  <c r="T149" i="1"/>
  <c r="S149" i="1"/>
  <c r="R149" i="1"/>
  <c r="V148" i="1"/>
  <c r="U148" i="1"/>
  <c r="T148" i="1"/>
  <c r="S148" i="1"/>
  <c r="R148" i="1"/>
  <c r="V147" i="1"/>
  <c r="U147" i="1"/>
  <c r="T147" i="1"/>
  <c r="S147" i="1"/>
  <c r="R147" i="1"/>
  <c r="V146" i="1"/>
  <c r="U146" i="1"/>
  <c r="T146" i="1"/>
  <c r="S146" i="1"/>
  <c r="R146" i="1"/>
  <c r="V143" i="1"/>
  <c r="U143" i="1"/>
  <c r="S143" i="1"/>
  <c r="O143" i="1"/>
  <c r="H143" i="1"/>
  <c r="V142" i="1"/>
  <c r="U142" i="1"/>
  <c r="T142" i="1"/>
  <c r="R142" i="1"/>
  <c r="V141" i="1"/>
  <c r="U141" i="1"/>
  <c r="T141" i="1"/>
  <c r="S141" i="1"/>
  <c r="R141" i="1"/>
  <c r="V140" i="1"/>
  <c r="U140" i="1"/>
  <c r="T140" i="1"/>
  <c r="S140" i="1"/>
  <c r="V138" i="1"/>
  <c r="U138" i="1"/>
  <c r="T138" i="1"/>
  <c r="S138" i="1"/>
  <c r="R138" i="1"/>
  <c r="V137" i="1"/>
  <c r="U137" i="1"/>
  <c r="T137" i="1"/>
  <c r="S137" i="1"/>
  <c r="V136" i="1"/>
  <c r="U136" i="1"/>
  <c r="T136" i="1"/>
  <c r="R136" i="1"/>
  <c r="S136" i="1"/>
  <c r="V135" i="1"/>
  <c r="U135" i="1"/>
  <c r="T135" i="1"/>
  <c r="S135" i="1"/>
  <c r="V134" i="1"/>
  <c r="U134" i="1"/>
  <c r="T134" i="1"/>
  <c r="S134" i="1"/>
  <c r="R134" i="1"/>
  <c r="V133" i="1"/>
  <c r="U133" i="1"/>
  <c r="T133" i="1"/>
  <c r="R133" i="1"/>
  <c r="V132" i="1"/>
  <c r="U132" i="1"/>
  <c r="T132" i="1"/>
  <c r="S132" i="1"/>
  <c r="R132" i="1"/>
  <c r="V130" i="1"/>
  <c r="U130" i="1"/>
  <c r="T130" i="1"/>
  <c r="S130" i="1"/>
  <c r="R130" i="1"/>
  <c r="V129" i="1"/>
  <c r="U129" i="1"/>
  <c r="T129" i="1"/>
  <c r="S129" i="1"/>
  <c r="V128" i="1"/>
  <c r="U128" i="1"/>
  <c r="T128" i="1"/>
  <c r="S128" i="1"/>
  <c r="R128" i="1"/>
  <c r="V125" i="1"/>
  <c r="U125" i="1"/>
  <c r="T125" i="1"/>
  <c r="S125" i="1"/>
  <c r="V124" i="1"/>
  <c r="U124" i="1"/>
  <c r="T124" i="1"/>
  <c r="S124" i="1"/>
  <c r="R124" i="1"/>
  <c r="V123" i="1"/>
  <c r="U123" i="1"/>
  <c r="T123" i="1"/>
  <c r="S123" i="1"/>
  <c r="R123" i="1"/>
  <c r="V122" i="1"/>
  <c r="U122" i="1"/>
  <c r="T122" i="1"/>
  <c r="S122" i="1"/>
  <c r="V121" i="1"/>
  <c r="U121" i="1"/>
  <c r="T121" i="1"/>
  <c r="S121" i="1"/>
  <c r="R121" i="1"/>
  <c r="V120" i="1"/>
  <c r="U120" i="1"/>
  <c r="T120" i="1"/>
  <c r="S120" i="1"/>
  <c r="R120" i="1"/>
  <c r="V119" i="1"/>
  <c r="U119" i="1"/>
  <c r="T119" i="1"/>
  <c r="S119" i="1"/>
  <c r="R119" i="1"/>
  <c r="V118" i="1"/>
  <c r="U118" i="1"/>
  <c r="T118" i="1"/>
  <c r="S118" i="1"/>
  <c r="R118" i="1"/>
  <c r="V117" i="1"/>
  <c r="U117" i="1"/>
  <c r="T117" i="1"/>
  <c r="S117" i="1"/>
  <c r="R117" i="1"/>
  <c r="V116" i="1"/>
  <c r="U116" i="1"/>
  <c r="T116" i="1"/>
  <c r="S116" i="1"/>
  <c r="V115" i="1"/>
  <c r="U115" i="1"/>
  <c r="T115" i="1"/>
  <c r="S115" i="1"/>
  <c r="V114" i="1"/>
  <c r="U114" i="1"/>
  <c r="T114" i="1"/>
  <c r="S114" i="1"/>
  <c r="R114" i="1"/>
  <c r="V112" i="1"/>
  <c r="U112" i="1"/>
  <c r="T112" i="1"/>
  <c r="S112" i="1"/>
  <c r="V111" i="1"/>
  <c r="U111" i="1"/>
  <c r="T111" i="1"/>
  <c r="S111" i="1"/>
  <c r="V110" i="1"/>
  <c r="U110" i="1"/>
  <c r="T110" i="1"/>
  <c r="R110" i="1"/>
  <c r="S110" i="1"/>
  <c r="V106" i="1"/>
  <c r="U106" i="1"/>
  <c r="S106" i="1"/>
  <c r="O106" i="1"/>
  <c r="K106" i="1"/>
  <c r="H106" i="1"/>
  <c r="D106" i="1"/>
  <c r="E131" i="1" s="1"/>
  <c r="V105" i="1"/>
  <c r="U105" i="1"/>
  <c r="T105" i="1"/>
  <c r="S105" i="1"/>
  <c r="R105" i="1"/>
  <c r="V104" i="1"/>
  <c r="U104" i="1"/>
  <c r="T104" i="1"/>
  <c r="S104" i="1"/>
  <c r="R104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R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2" i="1"/>
  <c r="U82" i="1"/>
  <c r="T82" i="1"/>
  <c r="S82" i="1"/>
  <c r="R82" i="1"/>
  <c r="V81" i="1"/>
  <c r="U81" i="1"/>
  <c r="T81" i="1"/>
  <c r="S81" i="1"/>
  <c r="R81" i="1"/>
  <c r="V80" i="1"/>
  <c r="U80" i="1"/>
  <c r="T80" i="1"/>
  <c r="S80" i="1"/>
  <c r="R80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U73" i="1"/>
  <c r="T73" i="1"/>
  <c r="S73" i="1"/>
  <c r="R73" i="1"/>
  <c r="V72" i="1"/>
  <c r="U72" i="1"/>
  <c r="T72" i="1"/>
  <c r="S72" i="1"/>
  <c r="R72" i="1"/>
  <c r="V71" i="1"/>
  <c r="U71" i="1"/>
  <c r="T71" i="1"/>
  <c r="S71" i="1"/>
  <c r="R71" i="1"/>
  <c r="V70" i="1"/>
  <c r="U70" i="1"/>
  <c r="T70" i="1"/>
  <c r="S70" i="1"/>
  <c r="R70" i="1"/>
  <c r="V69" i="1"/>
  <c r="U69" i="1"/>
  <c r="T69" i="1"/>
  <c r="S69" i="1"/>
  <c r="R69" i="1"/>
  <c r="V66" i="1"/>
  <c r="U66" i="1"/>
  <c r="S66" i="1"/>
  <c r="O66" i="1"/>
  <c r="K66" i="1"/>
  <c r="H66" i="1"/>
  <c r="D66" i="1"/>
  <c r="B14" i="2" s="1"/>
  <c r="B4" i="2" s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R53" i="1"/>
  <c r="V52" i="1"/>
  <c r="U52" i="1"/>
  <c r="T52" i="1"/>
  <c r="S52" i="1"/>
  <c r="R52" i="1"/>
  <c r="V51" i="1"/>
  <c r="U51" i="1"/>
  <c r="T51" i="1"/>
  <c r="S51" i="1"/>
  <c r="V50" i="1"/>
  <c r="U50" i="1"/>
  <c r="T50" i="1"/>
  <c r="S50" i="1"/>
  <c r="R50" i="1"/>
  <c r="V49" i="1"/>
  <c r="U49" i="1"/>
  <c r="T49" i="1"/>
  <c r="S49" i="1"/>
  <c r="R49" i="1"/>
  <c r="V47" i="1"/>
  <c r="U47" i="1"/>
  <c r="T47" i="1"/>
  <c r="S47" i="1"/>
  <c r="R47" i="1"/>
  <c r="V46" i="1"/>
  <c r="U46" i="1"/>
  <c r="T46" i="1"/>
  <c r="S46" i="1"/>
  <c r="R46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4" i="1"/>
  <c r="U34" i="1"/>
  <c r="T34" i="1"/>
  <c r="S34" i="1"/>
  <c r="R34" i="1"/>
  <c r="V32" i="1"/>
  <c r="U32" i="1"/>
  <c r="T32" i="1"/>
  <c r="S32" i="1"/>
  <c r="R32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H25" i="1"/>
  <c r="D25" i="1"/>
  <c r="E23" i="1" s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C12" i="4" l="1"/>
  <c r="L94" i="1"/>
  <c r="L77" i="1"/>
  <c r="L23" i="1"/>
  <c r="L15" i="1"/>
  <c r="L79" i="1"/>
  <c r="L131" i="1"/>
  <c r="F12" i="4"/>
  <c r="B15" i="2"/>
  <c r="B5" i="2" s="1"/>
  <c r="E79" i="1"/>
  <c r="L35" i="1"/>
  <c r="L43" i="1"/>
  <c r="L84" i="1"/>
  <c r="L86" i="1"/>
  <c r="L58" i="1"/>
  <c r="B8" i="3"/>
  <c r="B20" i="2"/>
  <c r="B10" i="2" s="1"/>
  <c r="E197" i="1"/>
  <c r="L201" i="1"/>
  <c r="L197" i="1"/>
  <c r="E181" i="1"/>
  <c r="E169" i="1"/>
  <c r="E157" i="1"/>
  <c r="E179" i="1"/>
  <c r="E167" i="1"/>
  <c r="E155" i="1"/>
  <c r="E174" i="1"/>
  <c r="E162" i="1"/>
  <c r="E172" i="1"/>
  <c r="E177" i="1"/>
  <c r="E165" i="1"/>
  <c r="E156" i="1"/>
  <c r="E164" i="1"/>
  <c r="E170" i="1"/>
  <c r="E158" i="1"/>
  <c r="E176" i="1"/>
  <c r="E175" i="1"/>
  <c r="E163" i="1"/>
  <c r="E160" i="1"/>
  <c r="E180" i="1"/>
  <c r="E168" i="1"/>
  <c r="E173" i="1"/>
  <c r="E161" i="1"/>
  <c r="E171" i="1"/>
  <c r="E159" i="1"/>
  <c r="E178" i="1"/>
  <c r="E166" i="1"/>
  <c r="E154" i="1"/>
  <c r="L174" i="1"/>
  <c r="L162" i="1"/>
  <c r="L172" i="1"/>
  <c r="L179" i="1"/>
  <c r="L167" i="1"/>
  <c r="L155" i="1"/>
  <c r="L177" i="1"/>
  <c r="L170" i="1"/>
  <c r="L158" i="1"/>
  <c r="L164" i="1"/>
  <c r="L165" i="1"/>
  <c r="L175" i="1"/>
  <c r="L163" i="1"/>
  <c r="L161" i="1"/>
  <c r="L180" i="1"/>
  <c r="L168" i="1"/>
  <c r="L156" i="1"/>
  <c r="L176" i="1"/>
  <c r="L169" i="1"/>
  <c r="L173" i="1"/>
  <c r="L157" i="1"/>
  <c r="L178" i="1"/>
  <c r="L166" i="1"/>
  <c r="L154" i="1"/>
  <c r="L171" i="1"/>
  <c r="L159" i="1"/>
  <c r="B2" i="3"/>
  <c r="L186" i="1"/>
  <c r="L33" i="1"/>
  <c r="L12" i="1"/>
  <c r="L102" i="1"/>
  <c r="L70" i="1"/>
  <c r="E14" i="1"/>
  <c r="E33" i="1"/>
  <c r="E48" i="1"/>
  <c r="L48" i="1"/>
  <c r="R219" i="1"/>
  <c r="B5" i="3"/>
  <c r="L21" i="1"/>
  <c r="L7" i="1"/>
  <c r="D4" i="5"/>
  <c r="D3" i="5" s="1"/>
  <c r="B4" i="3"/>
  <c r="L199" i="1"/>
  <c r="R239" i="1"/>
  <c r="E235" i="1"/>
  <c r="E233" i="1"/>
  <c r="E231" i="1"/>
  <c r="E8" i="1"/>
  <c r="L208" i="1"/>
  <c r="E193" i="1"/>
  <c r="T239" i="1"/>
  <c r="J12" i="4"/>
  <c r="E12" i="1"/>
  <c r="E10" i="1"/>
  <c r="E6" i="1"/>
  <c r="E18" i="1"/>
  <c r="E198" i="1"/>
  <c r="E222" i="1"/>
  <c r="E229" i="1"/>
  <c r="E84" i="1"/>
  <c r="E22" i="1"/>
  <c r="E47" i="1"/>
  <c r="E20" i="1"/>
  <c r="E16" i="1"/>
  <c r="E72" i="1"/>
  <c r="E104" i="1"/>
  <c r="E100" i="1"/>
  <c r="E75" i="1"/>
  <c r="E98" i="1"/>
  <c r="S142" i="1"/>
  <c r="E227" i="1"/>
  <c r="E238" i="1"/>
  <c r="E96" i="1"/>
  <c r="E94" i="1"/>
  <c r="E77" i="1"/>
  <c r="E69" i="1"/>
  <c r="E71" i="1"/>
  <c r="E147" i="1"/>
  <c r="T188" i="1"/>
  <c r="E90" i="1"/>
  <c r="E82" i="1"/>
  <c r="E102" i="1"/>
  <c r="E88" i="1"/>
  <c r="E70" i="1"/>
  <c r="E80" i="1"/>
  <c r="E86" i="1"/>
  <c r="L24" i="1"/>
  <c r="E93" i="1"/>
  <c r="E95" i="1"/>
  <c r="E97" i="1"/>
  <c r="E99" i="1"/>
  <c r="E101" i="1"/>
  <c r="E103" i="1"/>
  <c r="E105" i="1"/>
  <c r="E228" i="1"/>
  <c r="E230" i="1"/>
  <c r="E232" i="1"/>
  <c r="E234" i="1"/>
  <c r="E236" i="1"/>
  <c r="L19" i="1"/>
  <c r="E74" i="1"/>
  <c r="E76" i="1"/>
  <c r="E78" i="1"/>
  <c r="E81" i="1"/>
  <c r="E83" i="1"/>
  <c r="E85" i="1"/>
  <c r="E87" i="1"/>
  <c r="E89" i="1"/>
  <c r="E91" i="1"/>
  <c r="T143" i="1"/>
  <c r="L11" i="1"/>
  <c r="L146" i="1"/>
  <c r="L150" i="1"/>
  <c r="L238" i="1"/>
  <c r="T66" i="1"/>
  <c r="L185" i="1"/>
  <c r="L187" i="1"/>
  <c r="E201" i="1"/>
  <c r="E203" i="1"/>
  <c r="E205" i="1"/>
  <c r="E207" i="1"/>
  <c r="T213" i="1"/>
  <c r="L6" i="1"/>
  <c r="L10" i="1"/>
  <c r="L14" i="1"/>
  <c r="L18" i="1"/>
  <c r="L22" i="1"/>
  <c r="E192" i="1"/>
  <c r="E196" i="1"/>
  <c r="E199" i="1"/>
  <c r="E211" i="1"/>
  <c r="H214" i="1"/>
  <c r="H240" i="1" s="1"/>
  <c r="R224" i="1"/>
  <c r="D143" i="1"/>
  <c r="E113" i="1" s="1"/>
  <c r="T106" i="1"/>
  <c r="L149" i="1"/>
  <c r="T151" i="1"/>
  <c r="T182" i="1"/>
  <c r="E202" i="1"/>
  <c r="E204" i="1"/>
  <c r="E206" i="1"/>
  <c r="E208" i="1"/>
  <c r="C4" i="5"/>
  <c r="C3" i="5" s="1"/>
  <c r="D12" i="4"/>
  <c r="G12" i="4"/>
  <c r="H4" i="5"/>
  <c r="H3" i="5" s="1"/>
  <c r="I12" i="4"/>
  <c r="E92" i="1"/>
  <c r="L64" i="1"/>
  <c r="L80" i="1"/>
  <c r="L104" i="1"/>
  <c r="L60" i="1"/>
  <c r="L56" i="1"/>
  <c r="L54" i="1"/>
  <c r="L62" i="1"/>
  <c r="L52" i="1"/>
  <c r="L50" i="1"/>
  <c r="E55" i="1"/>
  <c r="E57" i="1"/>
  <c r="E59" i="1"/>
  <c r="E61" i="1"/>
  <c r="E63" i="1"/>
  <c r="E65" i="1"/>
  <c r="E53" i="1"/>
  <c r="E51" i="1"/>
  <c r="E49" i="1"/>
  <c r="L196" i="1"/>
  <c r="L202" i="1"/>
  <c r="L192" i="1"/>
  <c r="L200" i="1"/>
  <c r="L204" i="1"/>
  <c r="L230" i="1"/>
  <c r="L234" i="1"/>
  <c r="L228" i="1"/>
  <c r="L232" i="1"/>
  <c r="L236" i="1"/>
  <c r="L227" i="1"/>
  <c r="L229" i="1"/>
  <c r="L231" i="1"/>
  <c r="L233" i="1"/>
  <c r="L235" i="1"/>
  <c r="L237" i="1"/>
  <c r="L88" i="1"/>
  <c r="L96" i="1"/>
  <c r="L206" i="1"/>
  <c r="L72" i="1"/>
  <c r="E73" i="1"/>
  <c r="L100" i="1"/>
  <c r="L47" i="1"/>
  <c r="L82" i="1"/>
  <c r="L90" i="1"/>
  <c r="L98" i="1"/>
  <c r="R151" i="1"/>
  <c r="L147" i="1"/>
  <c r="L148" i="1"/>
  <c r="L28" i="1"/>
  <c r="E29" i="1"/>
  <c r="L30" i="1"/>
  <c r="E31" i="1"/>
  <c r="L32" i="1"/>
  <c r="E34" i="1"/>
  <c r="E36" i="1"/>
  <c r="L37" i="1"/>
  <c r="E38" i="1"/>
  <c r="L39" i="1"/>
  <c r="E40" i="1"/>
  <c r="L41" i="1"/>
  <c r="E42" i="1"/>
  <c r="E44" i="1"/>
  <c r="L45" i="1"/>
  <c r="E46" i="1"/>
  <c r="L8" i="1"/>
  <c r="L9" i="1"/>
  <c r="L13" i="1"/>
  <c r="L16" i="1"/>
  <c r="L17" i="1"/>
  <c r="L20" i="1"/>
  <c r="R182" i="1"/>
  <c r="B7" i="3"/>
  <c r="C15" i="2"/>
  <c r="C5" i="2" s="1"/>
  <c r="R112" i="1"/>
  <c r="R115" i="1"/>
  <c r="R116" i="1"/>
  <c r="R122" i="1"/>
  <c r="E7" i="1"/>
  <c r="E9" i="1"/>
  <c r="E11" i="1"/>
  <c r="E13" i="1"/>
  <c r="E15" i="1"/>
  <c r="E17" i="1"/>
  <c r="E19" i="1"/>
  <c r="E21" i="1"/>
  <c r="E24" i="1"/>
  <c r="B3" i="3"/>
  <c r="C13" i="2"/>
  <c r="C3" i="2" s="1"/>
  <c r="O214" i="1"/>
  <c r="O240" i="1" s="1"/>
  <c r="E28" i="1"/>
  <c r="L29" i="1"/>
  <c r="E30" i="1"/>
  <c r="L31" i="1"/>
  <c r="E32" i="1"/>
  <c r="L34" i="1"/>
  <c r="E35" i="1"/>
  <c r="L36" i="1"/>
  <c r="E37" i="1"/>
  <c r="L38" i="1"/>
  <c r="E39" i="1"/>
  <c r="L40" i="1"/>
  <c r="E41" i="1"/>
  <c r="L42" i="1"/>
  <c r="E43" i="1"/>
  <c r="L44" i="1"/>
  <c r="E45" i="1"/>
  <c r="L46" i="1"/>
  <c r="L49" i="1"/>
  <c r="E50" i="1"/>
  <c r="L51" i="1"/>
  <c r="E52" i="1"/>
  <c r="L53" i="1"/>
  <c r="E54" i="1"/>
  <c r="L55" i="1"/>
  <c r="E56" i="1"/>
  <c r="L57" i="1"/>
  <c r="E58" i="1"/>
  <c r="L59" i="1"/>
  <c r="E60" i="1"/>
  <c r="L61" i="1"/>
  <c r="E62" i="1"/>
  <c r="L63" i="1"/>
  <c r="E64" i="1"/>
  <c r="L65" i="1"/>
  <c r="R66" i="1"/>
  <c r="L69" i="1"/>
  <c r="L71" i="1"/>
  <c r="L73" i="1"/>
  <c r="L74" i="1"/>
  <c r="L76" i="1"/>
  <c r="L78" i="1"/>
  <c r="L81" i="1"/>
  <c r="L83" i="1"/>
  <c r="L85" i="1"/>
  <c r="L87" i="1"/>
  <c r="L89" i="1"/>
  <c r="L91" i="1"/>
  <c r="L93" i="1"/>
  <c r="L95" i="1"/>
  <c r="L97" i="1"/>
  <c r="L99" i="1"/>
  <c r="L101" i="1"/>
  <c r="L103" i="1"/>
  <c r="L105" i="1"/>
  <c r="R106" i="1"/>
  <c r="R111" i="1"/>
  <c r="R125" i="1"/>
  <c r="R129" i="1"/>
  <c r="S133" i="1"/>
  <c r="B19" i="2"/>
  <c r="B9" i="2" s="1"/>
  <c r="E187" i="1"/>
  <c r="E185" i="1"/>
  <c r="B13" i="2"/>
  <c r="B3" i="2" s="1"/>
  <c r="R25" i="1"/>
  <c r="T25" i="1"/>
  <c r="C14" i="2"/>
  <c r="C4" i="2" s="1"/>
  <c r="L92" i="1"/>
  <c r="R135" i="1"/>
  <c r="R137" i="1"/>
  <c r="R140" i="1"/>
  <c r="B17" i="2"/>
  <c r="B7" i="2" s="1"/>
  <c r="E150" i="1"/>
  <c r="E148" i="1"/>
  <c r="E146" i="1"/>
  <c r="B18" i="2"/>
  <c r="B8" i="2" s="1"/>
  <c r="E186" i="1"/>
  <c r="R188" i="1"/>
  <c r="L193" i="1"/>
  <c r="L198" i="1"/>
  <c r="L203" i="1"/>
  <c r="L205" i="1"/>
  <c r="L207" i="1"/>
  <c r="L211" i="1"/>
  <c r="R213" i="1"/>
  <c r="E218" i="1"/>
  <c r="L222" i="1"/>
  <c r="C17" i="2"/>
  <c r="C7" i="2" s="1"/>
  <c r="C18" i="2"/>
  <c r="C8" i="2" s="1"/>
  <c r="C19" i="2"/>
  <c r="C9" i="2" s="1"/>
  <c r="C20" i="2"/>
  <c r="C10" i="2" s="1"/>
  <c r="L113" i="1" l="1"/>
  <c r="B9" i="3"/>
  <c r="E125" i="1"/>
  <c r="E139" i="1"/>
  <c r="L122" i="1"/>
  <c r="L139" i="1"/>
  <c r="E128" i="1"/>
  <c r="E133" i="1"/>
  <c r="E134" i="1"/>
  <c r="E124" i="1"/>
  <c r="E110" i="1"/>
  <c r="E115" i="1"/>
  <c r="E129" i="1"/>
  <c r="D214" i="1"/>
  <c r="E66" i="1" s="1"/>
  <c r="E122" i="1"/>
  <c r="E140" i="1"/>
  <c r="E130" i="1"/>
  <c r="E112" i="1"/>
  <c r="E114" i="1"/>
  <c r="E142" i="1"/>
  <c r="E137" i="1"/>
  <c r="E117" i="1"/>
  <c r="E132" i="1"/>
  <c r="E118" i="1"/>
  <c r="E136" i="1"/>
  <c r="E135" i="1"/>
  <c r="E120" i="1"/>
  <c r="E138" i="1"/>
  <c r="E121" i="1"/>
  <c r="B16" i="2"/>
  <c r="B6" i="2" s="1"/>
  <c r="E123" i="1"/>
  <c r="E119" i="1"/>
  <c r="E111" i="1"/>
  <c r="L137" i="1"/>
  <c r="K214" i="1"/>
  <c r="L143" i="1" s="1"/>
  <c r="L129" i="1"/>
  <c r="L112" i="1"/>
  <c r="C16" i="2"/>
  <c r="C6" i="2" s="1"/>
  <c r="L141" i="1"/>
  <c r="L133" i="1"/>
  <c r="L142" i="1"/>
  <c r="L138" i="1"/>
  <c r="L136" i="1"/>
  <c r="R143" i="1"/>
  <c r="L134" i="1"/>
  <c r="L132" i="1"/>
  <c r="L128" i="1"/>
  <c r="L124" i="1"/>
  <c r="L120" i="1"/>
  <c r="L118" i="1"/>
  <c r="L110" i="1"/>
  <c r="L123" i="1"/>
  <c r="L121" i="1"/>
  <c r="L119" i="1"/>
  <c r="L117" i="1"/>
  <c r="L114" i="1"/>
  <c r="L111" i="1"/>
  <c r="L140" i="1"/>
  <c r="L135" i="1"/>
  <c r="L125" i="1"/>
  <c r="L115" i="1"/>
  <c r="L116" i="1"/>
  <c r="E188" i="1" l="1"/>
  <c r="E106" i="1"/>
  <c r="E182" i="1"/>
  <c r="E151" i="1"/>
  <c r="E213" i="1"/>
  <c r="D240" i="1"/>
  <c r="E25" i="1"/>
  <c r="E143" i="1"/>
  <c r="K240" i="1"/>
  <c r="R214" i="1"/>
  <c r="L188" i="1"/>
  <c r="L25" i="1"/>
  <c r="L182" i="1"/>
  <c r="L151" i="1"/>
  <c r="L66" i="1"/>
  <c r="L106" i="1"/>
  <c r="L213" i="1"/>
</calcChain>
</file>

<file path=xl/sharedStrings.xml><?xml version="1.0" encoding="utf-8"?>
<sst xmlns="http://schemas.openxmlformats.org/spreadsheetml/2006/main" count="492" uniqueCount="311">
  <si>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</si>
  <si>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</si>
  <si>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</si>
  <si>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</si>
  <si>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</si>
  <si>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</si>
  <si>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</si>
  <si>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</si>
  <si>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</si>
  <si>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</si>
  <si>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</si>
  <si>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</si>
  <si>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</si>
  <si>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</si>
  <si>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</si>
  <si>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</si>
  <si>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</si>
  <si>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</si>
  <si>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</si>
  <si>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</si>
  <si>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</si>
  <si>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</si>
  <si>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</si>
  <si>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</si>
  <si>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</si>
  <si>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</si>
  <si>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</si>
  <si>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</si>
  <si>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</si>
  <si>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</si>
  <si>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</si>
  <si>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</si>
  <si>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</si>
  <si>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</si>
  <si>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</si>
  <si>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</si>
  <si>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</si>
  <si>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</si>
  <si>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</si>
  <si>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</si>
  <si>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</si>
  <si>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</si>
  <si>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</si>
  <si>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</si>
  <si>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</si>
  <si>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</si>
  <si>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</si>
  <si>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</si>
  <si>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</si>
  <si>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</si>
  <si>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</si>
  <si>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</si>
  <si>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</si>
  <si>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</si>
  <si>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</si>
  <si>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</si>
  <si>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</si>
  <si>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</si>
  <si>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</si>
  <si>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</si>
  <si>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</si>
  <si>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</si>
  <si>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</si>
  <si>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</si>
  <si>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</si>
  <si>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</si>
  <si>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</si>
  <si>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</si>
  <si>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</si>
  <si>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</si>
  <si>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</si>
  <si>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</si>
  <si>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</si>
  <si>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</si>
  <si>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</si>
  <si>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</si>
  <si>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</si>
  <si>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</si>
  <si>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</si>
  <si>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</si>
  <si>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</si>
  <si>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</si>
  <si>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</si>
  <si>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</si>
  <si>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</si>
  <si>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</si>
  <si>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</si>
  <si>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</si>
  <si>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</si>
  <si>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</si>
  <si>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</si>
  <si>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</si>
  <si>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</si>
  <si>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</si>
  <si>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</si>
  <si>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</si>
  <si>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</si>
  <si>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</si>
  <si>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</si>
  <si>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</si>
  <si>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</si>
  <si>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</si>
  <si>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</si>
  <si>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</si>
  <si>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</si>
  <si>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</si>
  <si>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</si>
  <si>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</si>
  <si>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</si>
  <si>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</si>
  <si>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</si>
  <si>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</si>
  <si>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</si>
  <si>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</si>
  <si>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</si>
  <si>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</si>
  <si>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</si>
  <si>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</si>
  <si>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</si>
  <si>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</si>
  <si>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</si>
  <si>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</si>
  <si>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</si>
  <si>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</si>
  <si>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</si>
  <si>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</si>
  <si>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</si>
  <si>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</si>
  <si>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</si>
  <si>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</si>
  <si>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</si>
  <si>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</si>
  <si>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</si>
  <si>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</si>
  <si>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</si>
  <si>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</si>
  <si>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</si>
  <si>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</si>
  <si>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</si>
  <si>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</si>
  <si>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</si>
  <si>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</si>
  <si>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</si>
  <si>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</si>
  <si>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</si>
  <si>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</si>
  <si>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</si>
  <si>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</si>
  <si>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</si>
  <si>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</si>
  <si>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</si>
  <si>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</si>
  <si>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</si>
  <si>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</si>
  <si>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</si>
  <si>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</si>
  <si>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</si>
  <si>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</si>
  <si>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</si>
  <si>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</si>
  <si>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</si>
  <si>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</si>
  <si>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</si>
  <si>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</si>
  <si>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</si>
  <si>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</si>
  <si>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</si>
  <si>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</si>
  <si>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</si>
  <si>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</si>
  <si>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</si>
  <si>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</si>
  <si>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</si>
  <si>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</si>
  <si>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</si>
  <si>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</si>
  <si>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</si>
  <si>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</si>
  <si>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</si>
  <si>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Guaranty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</si>
  <si>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</si>
  <si>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</si>
  <si>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</si>
  <si>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</si>
  <si>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</si>
  <si>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</si>
  <si>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</si>
  <si>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</si>
  <si>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</si>
  <si>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</si>
  <si>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</si>
  <si>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</si>
  <si>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</si>
  <si>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</si>
  <si>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</si>
  <si>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</si>
  <si>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</si>
  <si>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</si>
  <si>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</si>
  <si>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</si>
  <si>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</si>
  <si>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</si>
  <si>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</si>
  <si>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</si>
  <si>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</si>
  <si>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</si>
  <si>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</si>
  <si>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</si>
  <si>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</si>
  <si>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</si>
  <si>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</si>
  <si>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</si>
  <si>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</si>
  <si>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</si>
  <si>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</si>
  <si>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</si>
  <si>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</si>
  <si>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</si>
  <si>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</si>
  <si>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</si>
  <si>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</si>
  <si>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</si>
  <si>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</si>
  <si>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</si>
  <si>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</si>
  <si>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</si>
  <si>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</si>
  <si>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</si>
  <si>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</si>
  <si>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</si>
  <si>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</si>
  <si>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</si>
  <si>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</si>
  <si>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</si>
  <si>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</si>
  <si>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</si>
  <si>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</si>
  <si>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</si>
  <si>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</si>
  <si>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</si>
  <si>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</si>
  <si>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</si>
  <si>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</si>
  <si>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</si>
  <si>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</si>
  <si>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</si>
  <si>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</si>
  <si>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</si>
  <si>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</si>
  <si>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</si>
  <si>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</si>
  <si>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</si>
  <si>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</si>
  <si>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</si>
  <si>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</si>
  <si>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</si>
  <si>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</si>
  <si>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</si>
  <si>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</si>
  <si>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</si>
  <si>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</si>
  <si>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</si>
  <si>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</si>
  <si>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</si>
  <si>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</si>
  <si>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</si>
  <si>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</si>
  <si>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</si>
  <si>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</si>
  <si>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</si>
  <si>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</si>
  <si>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</si>
  <si>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</si>
  <si>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</si>
  <si>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</si>
  <si>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</si>
  <si>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</si>
  <si>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</si>
  <si>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</si>
  <si>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</si>
  <si>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</si>
  <si>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</si>
  <si>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</si>
  <si>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</si>
  <si>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</si>
  <si>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</si>
  <si>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</si>
  <si>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</si>
  <si>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</si>
  <si>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</si>
  <si>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</si>
  <si>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</si>
  <si>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</si>
  <si>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</si>
  <si>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</si>
  <si>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</si>
  <si>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0.07%</t>
  </si>
  <si>
    <t>One17 Halal Fund</t>
  </si>
  <si>
    <t>One17 Capital Limited</t>
  </si>
  <si>
    <t>Zrosk Magna Equity Fund</t>
  </si>
  <si>
    <t>Zrosk Investment Management Limited</t>
  </si>
  <si>
    <t>Coronation Premium Fixed Income Fund</t>
  </si>
  <si>
    <t>Coronation Dollar Fund</t>
  </si>
  <si>
    <t>Coronation Asset Management Limited</t>
  </si>
  <si>
    <t>NAV, Unit Price and Yield as at Week Ended February 14, 2025</t>
  </si>
  <si>
    <t>FCMB-TLG Private Debt Fund</t>
  </si>
  <si>
    <t>Week Ended February 14, 2025</t>
  </si>
  <si>
    <t>WEEKLY VALUATION REPORT OF COLLECTIVE INVESTMENT SCHEMES AS AT WEEK ENDED FRIDAY, FEBRUARY 21, 2025</t>
  </si>
  <si>
    <t>NAV, Unit Price and Yield as at Week Ended February 21, 2025</t>
  </si>
  <si>
    <t>NFEM RATE NG₦/US$ as at 21st February, 2025 = N1,500.7304</t>
  </si>
  <si>
    <t>Week Ended February 21,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</si>
</sst>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b/>
      <sz val="12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12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164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9" fillId="5" borderId="0" applyNumberFormat="0" applyBorder="0" applyAlignment="0" applyProtection="0"/>
    <xf numFmtId="0" fontId="9" fillId="17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5" fillId="21" borderId="0" applyNumberFormat="0" applyBorder="0" applyAlignment="0" applyProtection="0"/>
    <xf numFmtId="0" fontId="36" fillId="0" borderId="0"/>
    <xf numFmtId="0" fontId="39" fillId="0" borderId="0"/>
    <xf numFmtId="0" fontId="37" fillId="0" borderId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43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1" xfId="0" applyFont="1" applyBorder="1" applyAlignment="1">
      <alignment horizontal="right"/>
    </xf>
    <xf numFmtId="16" fontId="3" fillId="2" borderId="1" xfId="0" applyNumberFormat="1" applyFont="1" applyFill="1" applyBorder="1"/>
    <xf numFmtId="0" fontId="3" fillId="0" borderId="1" xfId="0" applyFont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/>
    <xf numFmtId="4" fontId="5" fillId="2" borderId="1" xfId="0" applyNumberFormat="1" applyFont="1" applyFill="1" applyBorder="1"/>
    <xf numFmtId="164" fontId="4" fillId="2" borderId="1" xfId="1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right"/>
    </xf>
    <xf numFmtId="43" fontId="6" fillId="3" borderId="1" xfId="0" applyNumberFormat="1" applyFont="1" applyFill="1" applyBorder="1"/>
    <xf numFmtId="0" fontId="5" fillId="0" borderId="0" xfId="0" applyFont="1"/>
    <xf numFmtId="164" fontId="5" fillId="0" borderId="0" xfId="1" applyFont="1"/>
    <xf numFmtId="0" fontId="2" fillId="4" borderId="1" xfId="0" applyFont="1" applyFill="1" applyBorder="1" applyAlignment="1">
      <alignment horizontal="right"/>
    </xf>
    <xf numFmtId="43" fontId="2" fillId="4" borderId="1" xfId="0" applyNumberFormat="1" applyFont="1" applyFill="1" applyBorder="1"/>
    <xf numFmtId="164" fontId="2" fillId="4" borderId="1" xfId="1" applyFont="1" applyFill="1" applyBorder="1"/>
    <xf numFmtId="0" fontId="7" fillId="0" borderId="0" xfId="0" applyFont="1"/>
    <xf numFmtId="0" fontId="8" fillId="0" borderId="1" xfId="0" applyFont="1" applyBorder="1" applyAlignment="1">
      <alignment horizontal="right"/>
    </xf>
    <xf numFmtId="164" fontId="4" fillId="0" borderId="1" xfId="1" applyFont="1" applyBorder="1"/>
    <xf numFmtId="164" fontId="7" fillId="0" borderId="0" xfId="1" applyFont="1"/>
    <xf numFmtId="0" fontId="9" fillId="0" borderId="0" xfId="0" applyFont="1"/>
    <xf numFmtId="0" fontId="5" fillId="2" borderId="0" xfId="0" applyFont="1" applyFill="1" applyAlignment="1">
      <alignment wrapText="1"/>
    </xf>
    <xf numFmtId="0" fontId="8" fillId="0" borderId="0" xfId="0" applyFont="1" applyAlignment="1">
      <alignment horizontal="right"/>
    </xf>
    <xf numFmtId="4" fontId="4" fillId="2" borderId="0" xfId="0" applyNumberFormat="1" applyFont="1" applyFill="1"/>
    <xf numFmtId="0" fontId="0" fillId="7" borderId="1" xfId="0" applyFill="1" applyBorder="1"/>
    <xf numFmtId="0" fontId="13" fillId="8" borderId="1" xfId="0" applyFont="1" applyFill="1" applyBorder="1"/>
    <xf numFmtId="0" fontId="14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center" vertical="top" wrapText="1"/>
    </xf>
    <xf numFmtId="0" fontId="0" fillId="0" borderId="1" xfId="0" applyBorder="1"/>
    <xf numFmtId="164" fontId="17" fillId="2" borderId="1" xfId="10" applyFont="1" applyFill="1" applyBorder="1"/>
    <xf numFmtId="10" fontId="17" fillId="8" borderId="1" xfId="2" applyNumberFormat="1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horizontal="right"/>
    </xf>
    <xf numFmtId="164" fontId="17" fillId="10" borderId="1" xfId="1" applyFont="1" applyFill="1" applyBorder="1" applyAlignment="1">
      <alignment horizontal="center"/>
    </xf>
    <xf numFmtId="4" fontId="17" fillId="2" borderId="1" xfId="0" applyNumberFormat="1" applyFont="1" applyFill="1" applyBorder="1"/>
    <xf numFmtId="164" fontId="15" fillId="10" borderId="1" xfId="1" applyFont="1" applyFill="1" applyBorder="1" applyAlignment="1">
      <alignment horizontal="center"/>
    </xf>
    <xf numFmtId="164" fontId="17" fillId="2" borderId="1" xfId="1" applyFont="1" applyFill="1" applyBorder="1"/>
    <xf numFmtId="0" fontId="15" fillId="0" borderId="1" xfId="0" applyFont="1" applyBorder="1"/>
    <xf numFmtId="0" fontId="15" fillId="2" borderId="1" xfId="0" applyFont="1" applyFill="1" applyBorder="1"/>
    <xf numFmtId="0" fontId="14" fillId="2" borderId="1" xfId="0" applyFont="1" applyFill="1" applyBorder="1" applyAlignment="1">
      <alignment horizontal="right"/>
    </xf>
    <xf numFmtId="164" fontId="14" fillId="2" borderId="1" xfId="1" applyFont="1" applyFill="1" applyBorder="1" applyAlignment="1">
      <alignment horizontal="right" vertical="top" wrapText="1"/>
    </xf>
    <xf numFmtId="10" fontId="18" fillId="8" borderId="1" xfId="2" applyNumberFormat="1" applyFont="1" applyFill="1" applyBorder="1" applyAlignment="1">
      <alignment horizontal="center" vertical="top" wrapText="1"/>
    </xf>
    <xf numFmtId="10" fontId="17" fillId="2" borderId="1" xfId="2" applyNumberFormat="1" applyFont="1" applyFill="1" applyBorder="1" applyAlignment="1">
      <alignment horizontal="center" vertical="top" wrapText="1"/>
    </xf>
    <xf numFmtId="4" fontId="17" fillId="2" borderId="1" xfId="1" applyNumberFormat="1" applyFont="1" applyFill="1" applyBorder="1" applyAlignment="1">
      <alignment vertical="top" wrapText="1"/>
    </xf>
    <xf numFmtId="164" fontId="14" fillId="10" borderId="1" xfId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164" fontId="17" fillId="2" borderId="1" xfId="10" applyFont="1" applyFill="1" applyBorder="1" applyAlignment="1">
      <alignment horizontal="right"/>
    </xf>
    <xf numFmtId="4" fontId="17" fillId="2" borderId="1" xfId="1" applyNumberFormat="1" applyFont="1" applyFill="1" applyBorder="1" applyAlignment="1">
      <alignment horizontal="right"/>
    </xf>
    <xf numFmtId="164" fontId="17" fillId="10" borderId="1" xfId="1" applyFont="1" applyFill="1" applyBorder="1" applyAlignment="1">
      <alignment horizontal="center" wrapText="1"/>
    </xf>
    <xf numFmtId="164" fontId="17" fillId="2" borderId="1" xfId="10" applyFont="1" applyFill="1" applyBorder="1" applyAlignment="1">
      <alignment horizontal="right" wrapText="1"/>
    </xf>
    <xf numFmtId="164" fontId="14" fillId="2" borderId="1" xfId="1" applyFont="1" applyFill="1" applyBorder="1" applyAlignment="1">
      <alignment horizontal="right"/>
    </xf>
    <xf numFmtId="164" fontId="13" fillId="3" borderId="1" xfId="1" applyFont="1" applyFill="1" applyBorder="1" applyAlignment="1">
      <alignment horizontal="center" vertical="top"/>
    </xf>
    <xf numFmtId="10" fontId="17" fillId="10" borderId="1" xfId="2" applyNumberFormat="1" applyFont="1" applyFill="1" applyBorder="1" applyAlignment="1">
      <alignment horizontal="center"/>
    </xf>
    <xf numFmtId="10" fontId="15" fillId="10" borderId="1" xfId="2" applyNumberFormat="1" applyFont="1" applyFill="1" applyBorder="1" applyAlignment="1">
      <alignment horizontal="center"/>
    </xf>
    <xf numFmtId="10" fontId="17" fillId="10" borderId="1" xfId="2" applyNumberFormat="1" applyFont="1" applyFill="1" applyBorder="1" applyAlignment="1">
      <alignment horizontal="center" vertical="top" wrapText="1"/>
    </xf>
    <xf numFmtId="10" fontId="17" fillId="10" borderId="1" xfId="2" applyNumberFormat="1" applyFont="1" applyFill="1" applyBorder="1" applyAlignment="1">
      <alignment horizontal="center" wrapText="1"/>
    </xf>
    <xf numFmtId="10" fontId="17" fillId="8" borderId="1" xfId="2" applyNumberFormat="1" applyFont="1" applyFill="1" applyBorder="1" applyAlignment="1">
      <alignment horizontal="center" wrapText="1"/>
    </xf>
    <xf numFmtId="10" fontId="17" fillId="10" borderId="1" xfId="1" applyNumberFormat="1" applyFont="1" applyFill="1" applyBorder="1" applyAlignment="1">
      <alignment horizontal="center"/>
    </xf>
    <xf numFmtId="10" fontId="17" fillId="3" borderId="1" xfId="2" applyNumberFormat="1" applyFont="1" applyFill="1" applyBorder="1" applyAlignment="1">
      <alignment horizontal="center" vertical="top" wrapText="1"/>
    </xf>
    <xf numFmtId="10" fontId="15" fillId="3" borderId="1" xfId="2" applyNumberFormat="1" applyFont="1" applyFill="1" applyBorder="1" applyAlignment="1">
      <alignment horizontal="center" vertical="top" wrapText="1"/>
    </xf>
    <xf numFmtId="10" fontId="15" fillId="3" borderId="1" xfId="1" applyNumberFormat="1" applyFont="1" applyFill="1" applyBorder="1" applyAlignment="1">
      <alignment horizontal="center" vertical="top" wrapText="1"/>
    </xf>
    <xf numFmtId="10" fontId="19" fillId="11" borderId="0" xfId="0" applyNumberFormat="1" applyFont="1" applyFill="1" applyAlignment="1">
      <alignment horizontal="right" vertical="center" wrapText="1"/>
    </xf>
    <xf numFmtId="2" fontId="17" fillId="2" borderId="1" xfId="0" applyNumberFormat="1" applyFont="1" applyFill="1" applyBorder="1"/>
    <xf numFmtId="164" fontId="17" fillId="2" borderId="1" xfId="10" applyFont="1" applyFill="1" applyBorder="1" applyAlignment="1">
      <alignment wrapText="1"/>
    </xf>
    <xf numFmtId="164" fontId="17" fillId="12" borderId="1" xfId="1" applyFont="1" applyFill="1" applyBorder="1" applyAlignment="1">
      <alignment horizontal="center"/>
    </xf>
    <xf numFmtId="10" fontId="17" fillId="12" borderId="1" xfId="2" applyNumberFormat="1" applyFont="1" applyFill="1" applyBorder="1" applyAlignment="1">
      <alignment horizontal="center"/>
    </xf>
    <xf numFmtId="10" fontId="17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1" fillId="0" borderId="0" xfId="1" applyFont="1"/>
    <xf numFmtId="4" fontId="22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3" fillId="11" borderId="0" xfId="0" applyNumberFormat="1" applyFont="1" applyFill="1" applyAlignment="1">
      <alignment horizontal="right" vertical="center" wrapText="1"/>
    </xf>
    <xf numFmtId="0" fontId="14" fillId="0" borderId="1" xfId="0" applyFont="1" applyBorder="1" applyAlignment="1">
      <alignment horizontal="right"/>
    </xf>
    <xf numFmtId="4" fontId="25" fillId="0" borderId="1" xfId="0" applyNumberFormat="1" applyFont="1" applyFill="1" applyBorder="1" applyAlignment="1" applyProtection="1"/>
    <xf numFmtId="0" fontId="26" fillId="2" borderId="1" xfId="0" applyFont="1" applyFill="1" applyBorder="1"/>
    <xf numFmtId="4" fontId="17" fillId="2" borderId="1" xfId="1" applyNumberFormat="1" applyFont="1" applyFill="1" applyBorder="1" applyAlignment="1">
      <alignment horizontal="right" vertical="top" wrapText="1"/>
    </xf>
    <xf numFmtId="164" fontId="14" fillId="2" borderId="1" xfId="1" applyFont="1" applyFill="1" applyBorder="1"/>
    <xf numFmtId="43" fontId="17" fillId="2" borderId="1" xfId="0" applyNumberFormat="1" applyFont="1" applyFill="1" applyBorder="1"/>
    <xf numFmtId="4" fontId="17" fillId="2" borderId="1" xfId="10" applyNumberFormat="1" applyFont="1" applyFill="1" applyBorder="1" applyAlignment="1">
      <alignment horizontal="right"/>
    </xf>
    <xf numFmtId="4" fontId="17" fillId="2" borderId="1" xfId="0" applyNumberFormat="1" applyFont="1" applyFill="1" applyBorder="1" applyAlignment="1">
      <alignment horizontal="right" wrapText="1"/>
    </xf>
    <xf numFmtId="4" fontId="17" fillId="2" borderId="1" xfId="10" applyNumberFormat="1" applyFont="1" applyFill="1" applyBorder="1" applyAlignment="1">
      <alignment horizontal="right" wrapText="1"/>
    </xf>
    <xf numFmtId="4" fontId="17" fillId="10" borderId="1" xfId="1" applyNumberFormat="1" applyFont="1" applyFill="1" applyBorder="1" applyAlignment="1">
      <alignment horizontal="center"/>
    </xf>
    <xf numFmtId="4" fontId="17" fillId="10" borderId="1" xfId="1" applyNumberFormat="1" applyFont="1" applyFill="1" applyBorder="1" applyAlignment="1">
      <alignment horizontal="center" vertical="top" wrapText="1"/>
    </xf>
    <xf numFmtId="43" fontId="17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4" fillId="10" borderId="1" xfId="1" applyNumberFormat="1" applyFont="1" applyFill="1" applyBorder="1" applyAlignment="1">
      <alignment horizontal="right" vertical="top" wrapText="1"/>
    </xf>
    <xf numFmtId="0" fontId="17" fillId="15" borderId="1" xfId="0" applyFont="1" applyFill="1" applyBorder="1" applyAlignment="1">
      <alignment horizontal="right" vertical="center"/>
    </xf>
    <xf numFmtId="0" fontId="14" fillId="15" borderId="1" xfId="0" applyFont="1" applyFill="1" applyBorder="1" applyAlignment="1">
      <alignment horizontal="right" vertical="center"/>
    </xf>
    <xf numFmtId="164" fontId="14" fillId="15" borderId="1" xfId="1" applyFont="1" applyFill="1" applyBorder="1" applyAlignment="1">
      <alignment horizontal="right" vertical="center" wrapText="1"/>
    </xf>
    <xf numFmtId="10" fontId="17" fillId="15" borderId="1" xfId="1" applyNumberFormat="1" applyFont="1" applyFill="1" applyBorder="1" applyAlignment="1">
      <alignment horizontal="right" vertical="center" wrapText="1"/>
    </xf>
    <xf numFmtId="4" fontId="17" fillId="15" borderId="1" xfId="1" applyNumberFormat="1" applyFont="1" applyFill="1" applyBorder="1" applyAlignment="1">
      <alignment horizontal="right" vertical="center" wrapText="1"/>
    </xf>
    <xf numFmtId="164" fontId="14" fillId="15" borderId="1" xfId="1" applyFont="1" applyFill="1" applyBorder="1" applyAlignment="1">
      <alignment horizontal="right" vertical="top" wrapText="1"/>
    </xf>
    <xf numFmtId="4" fontId="17" fillId="2" borderId="1" xfId="10" applyNumberFormat="1" applyFont="1" applyFill="1" applyBorder="1" applyAlignment="1">
      <alignment horizontal="right" vertical="top" wrapText="1"/>
    </xf>
    <xf numFmtId="164" fontId="28" fillId="15" borderId="1" xfId="1" applyFont="1" applyFill="1" applyBorder="1" applyAlignment="1">
      <alignment horizontal="right" vertical="top" wrapText="1"/>
    </xf>
    <xf numFmtId="4" fontId="17" fillId="15" borderId="1" xfId="1" applyNumberFormat="1" applyFont="1" applyFill="1" applyBorder="1" applyAlignment="1">
      <alignment horizontal="right" vertical="top" wrapText="1"/>
    </xf>
    <xf numFmtId="164" fontId="17" fillId="2" borderId="1" xfId="10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64" fontId="17" fillId="10" borderId="1" xfId="1" applyFont="1" applyFill="1" applyBorder="1" applyAlignment="1">
      <alignment horizontal="center" vertical="top" wrapText="1"/>
    </xf>
    <xf numFmtId="164" fontId="17" fillId="2" borderId="1" xfId="1" applyFont="1" applyFill="1" applyBorder="1" applyAlignment="1">
      <alignment horizontal="right" vertical="top" wrapText="1"/>
    </xf>
    <xf numFmtId="0" fontId="17" fillId="16" borderId="1" xfId="0" applyFont="1" applyFill="1" applyBorder="1" applyAlignment="1">
      <alignment horizontal="right" vertical="top" wrapText="1"/>
    </xf>
    <xf numFmtId="0" fontId="24" fillId="16" borderId="1" xfId="0" applyFont="1" applyFill="1" applyBorder="1" applyAlignment="1">
      <alignment horizontal="right" vertical="top" wrapText="1"/>
    </xf>
    <xf numFmtId="164" fontId="24" fillId="16" borderId="1" xfId="1" applyFont="1" applyFill="1" applyBorder="1" applyAlignment="1">
      <alignment horizontal="right" vertical="top" wrapText="1"/>
    </xf>
    <xf numFmtId="164" fontId="29" fillId="16" borderId="1" xfId="1" applyFont="1" applyFill="1" applyBorder="1" applyAlignment="1">
      <alignment horizontal="right" vertical="top" wrapText="1"/>
    </xf>
    <xf numFmtId="4" fontId="29" fillId="16" borderId="1" xfId="0" applyNumberFormat="1" applyFont="1" applyFill="1" applyBorder="1" applyAlignment="1">
      <alignment horizontal="right"/>
    </xf>
    <xf numFmtId="0" fontId="30" fillId="6" borderId="1" xfId="0" applyFont="1" applyFill="1" applyBorder="1" applyAlignment="1">
      <alignment horizontal="right" vertical="center"/>
    </xf>
    <xf numFmtId="0" fontId="9" fillId="6" borderId="1" xfId="0" applyFont="1" applyFill="1" applyBorder="1"/>
    <xf numFmtId="0" fontId="31" fillId="0" borderId="0" xfId="0" applyFont="1"/>
    <xf numFmtId="43" fontId="0" fillId="0" borderId="0" xfId="0" applyNumberFormat="1"/>
    <xf numFmtId="0" fontId="32" fillId="0" borderId="0" xfId="0" applyFont="1"/>
    <xf numFmtId="0" fontId="26" fillId="2" borderId="0" xfId="0" applyFont="1" applyFill="1" applyAlignment="1">
      <alignment wrapText="1"/>
    </xf>
    <xf numFmtId="43" fontId="32" fillId="0" borderId="0" xfId="11" applyFont="1" applyBorder="1"/>
    <xf numFmtId="2" fontId="32" fillId="0" borderId="0" xfId="0" applyNumberFormat="1" applyFont="1"/>
    <xf numFmtId="9" fontId="17" fillId="15" borderId="1" xfId="2" applyFont="1" applyFill="1" applyBorder="1" applyAlignment="1">
      <alignment horizontal="center" vertical="center" wrapText="1"/>
    </xf>
    <xf numFmtId="4" fontId="17" fillId="15" borderId="1" xfId="1" applyNumberFormat="1" applyFont="1" applyFill="1" applyBorder="1" applyAlignment="1">
      <alignment horizontal="center" vertical="center" wrapText="1"/>
    </xf>
    <xf numFmtId="4" fontId="17" fillId="15" borderId="1" xfId="1" applyNumberFormat="1" applyFont="1" applyFill="1" applyBorder="1" applyAlignment="1">
      <alignment horizontal="center" vertical="top" wrapText="1"/>
    </xf>
    <xf numFmtId="9" fontId="29" fillId="16" borderId="1" xfId="2" applyFont="1" applyFill="1" applyBorder="1" applyAlignment="1">
      <alignment horizontal="center"/>
    </xf>
    <xf numFmtId="4" fontId="29" fillId="16" borderId="1" xfId="0" applyNumberFormat="1" applyFont="1" applyFill="1" applyBorder="1" applyAlignment="1">
      <alignment horizontal="center"/>
    </xf>
    <xf numFmtId="10" fontId="32" fillId="0" borderId="0" xfId="2" applyNumberFormat="1" applyFont="1" applyBorder="1"/>
    <xf numFmtId="10" fontId="33" fillId="0" borderId="0" xfId="2" applyNumberFormat="1" applyFont="1" applyBorder="1"/>
    <xf numFmtId="10" fontId="15" fillId="15" borderId="1" xfId="2" applyNumberFormat="1" applyFont="1" applyFill="1" applyBorder="1" applyAlignment="1">
      <alignment horizontal="center" vertical="top" wrapText="1"/>
    </xf>
    <xf numFmtId="166" fontId="15" fillId="15" borderId="1" xfId="2" applyNumberFormat="1" applyFont="1" applyFill="1" applyBorder="1" applyAlignment="1">
      <alignment horizontal="center" vertical="top" wrapText="1"/>
    </xf>
    <xf numFmtId="10" fontId="15" fillId="15" borderId="1" xfId="1" applyNumberFormat="1" applyFont="1" applyFill="1" applyBorder="1" applyAlignment="1">
      <alignment horizontal="center" vertical="top" wrapText="1"/>
    </xf>
    <xf numFmtId="10" fontId="29" fillId="16" borderId="1" xfId="2" applyNumberFormat="1" applyFont="1" applyFill="1" applyBorder="1" applyAlignment="1">
      <alignment horizontal="center" vertical="top" wrapText="1"/>
    </xf>
    <xf numFmtId="166" fontId="29" fillId="16" borderId="1" xfId="2" applyNumberFormat="1" applyFont="1" applyFill="1" applyBorder="1" applyAlignment="1">
      <alignment horizontal="center" vertical="top" wrapText="1"/>
    </xf>
    <xf numFmtId="166" fontId="17" fillId="16" borderId="1" xfId="2" applyNumberFormat="1" applyFont="1" applyFill="1" applyBorder="1" applyAlignment="1">
      <alignment horizontal="center" vertical="top" wrapText="1"/>
    </xf>
    <xf numFmtId="43" fontId="2" fillId="4" borderId="1" xfId="0" quotePrefix="1" applyNumberFormat="1" applyFont="1" applyFill="1" applyBorder="1" applyAlignment="1">
      <alignment horizontal="center"/>
    </xf>
    <xf numFmtId="0" fontId="40" fillId="3" borderId="1" xfId="0" applyFont="1" applyFill="1" applyBorder="1" applyAlignment="1">
      <alignment horizontal="center" vertical="top" wrapText="1"/>
    </xf>
    <xf numFmtId="4" fontId="4" fillId="2" borderId="0" xfId="0" applyNumberFormat="1" applyFont="1" applyFill="1" applyAlignment="1">
      <alignment horizontal="right"/>
    </xf>
    <xf numFmtId="0" fontId="42" fillId="8" borderId="1" xfId="0" applyFont="1" applyFill="1" applyBorder="1"/>
    <xf numFmtId="0" fontId="43" fillId="0" borderId="0" xfId="0" applyFont="1"/>
    <xf numFmtId="0" fontId="30" fillId="6" borderId="1" xfId="0" applyFont="1" applyFill="1" applyBorder="1" applyAlignment="1">
      <alignment horizontal="left" vertical="center"/>
    </xf>
    <xf numFmtId="4" fontId="21" fillId="0" borderId="0" xfId="0" applyNumberFormat="1" applyFont="1"/>
    <xf numFmtId="0" fontId="17" fillId="15" borderId="1" xfId="0" applyFont="1" applyFill="1" applyBorder="1" applyAlignment="1">
      <alignment horizontal="right"/>
    </xf>
    <xf numFmtId="0" fontId="14" fillId="15" borderId="1" xfId="0" applyFont="1" applyFill="1" applyBorder="1" applyAlignment="1">
      <alignment horizontal="right"/>
    </xf>
    <xf numFmtId="43" fontId="7" fillId="0" borderId="0" xfId="0" applyNumberFormat="1" applyFont="1"/>
    <xf numFmtId="0" fontId="44" fillId="0" borderId="0" xfId="0" applyFont="1" applyAlignment="1">
      <alignment horizontal="right"/>
    </xf>
    <xf numFmtId="4" fontId="45" fillId="2" borderId="0" xfId="0" applyNumberFormat="1" applyFont="1" applyFill="1"/>
    <xf numFmtId="164" fontId="45" fillId="2" borderId="0" xfId="1" applyFont="1" applyFill="1" applyBorder="1" applyAlignment="1">
      <alignment horizontal="right" vertical="top" wrapText="1"/>
    </xf>
    <xf numFmtId="4" fontId="17" fillId="2" borderId="1" xfId="0" applyNumberFormat="1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left" wrapText="1"/>
    </xf>
    <xf numFmtId="0" fontId="9" fillId="0" borderId="0" xfId="0" applyFont="1" applyBorder="1"/>
    <xf numFmtId="164" fontId="47" fillId="0" borderId="0" xfId="1" applyFont="1" applyBorder="1"/>
    <xf numFmtId="4" fontId="47" fillId="2" borderId="0" xfId="0" applyNumberFormat="1" applyFont="1" applyFill="1" applyBorder="1"/>
    <xf numFmtId="0" fontId="46" fillId="0" borderId="0" xfId="0" applyFont="1" applyBorder="1" applyAlignment="1">
      <alignment horizontal="right"/>
    </xf>
    <xf numFmtId="0" fontId="44" fillId="0" borderId="0" xfId="0" applyFont="1" applyBorder="1" applyAlignment="1">
      <alignment horizontal="right"/>
    </xf>
    <xf numFmtId="4" fontId="45" fillId="2" borderId="0" xfId="0" applyNumberFormat="1" applyFont="1" applyFill="1" applyBorder="1" applyAlignment="1">
      <alignment horizontal="right"/>
    </xf>
    <xf numFmtId="164" fontId="17" fillId="2" borderId="1" xfId="1" applyFont="1" applyFill="1" applyBorder="1" applyAlignment="1">
      <alignment horizontal="right"/>
    </xf>
    <xf numFmtId="0" fontId="17" fillId="0" borderId="1" xfId="0" applyFont="1" applyFill="1" applyBorder="1" applyAlignment="1">
      <alignment horizontal="center"/>
    </xf>
    <xf numFmtId="4" fontId="17" fillId="0" borderId="1" xfId="0" applyNumberFormat="1" applyFont="1" applyBorder="1" applyAlignment="1">
      <alignment wrapText="1"/>
    </xf>
    <xf numFmtId="49" fontId="17" fillId="0" borderId="1" xfId="0" applyNumberFormat="1" applyFont="1" applyBorder="1" applyAlignment="1">
      <alignment wrapText="1"/>
    </xf>
    <xf numFmtId="164" fontId="4" fillId="2" borderId="0" xfId="1" applyFont="1" applyFill="1" applyBorder="1" applyAlignment="1">
      <alignment horizontal="right" vertical="top" wrapText="1"/>
    </xf>
    <xf numFmtId="0" fontId="27" fillId="9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24" fillId="14" borderId="1" xfId="0" applyFont="1" applyFill="1" applyBorder="1" applyAlignment="1">
      <alignment horizontal="center" wrapText="1"/>
    </xf>
    <xf numFmtId="0" fontId="24" fillId="9" borderId="1" xfId="0" applyFont="1" applyFill="1" applyBorder="1" applyAlignment="1">
      <alignment horizontal="center"/>
    </xf>
    <xf numFmtId="0" fontId="20" fillId="13" borderId="1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49" fillId="0" borderId="0" xfId="0" applyFont="1" applyBorder="1" applyAlignment="1">
      <alignment horizontal="right"/>
    </xf>
    <xf numFmtId="16" fontId="49" fillId="2" borderId="0" xfId="0" applyNumberFormat="1" applyFont="1" applyFill="1" applyBorder="1" applyAlignment="1">
      <alignment horizontal="center" wrapText="1"/>
    </xf>
    <xf numFmtId="0" fontId="50" fillId="0" borderId="0" xfId="0" applyFont="1" applyBorder="1"/>
    <xf numFmtId="0" fontId="49" fillId="0" borderId="0" xfId="0" applyFont="1" applyBorder="1" applyAlignment="1">
      <alignment horizontal="right" wrapText="1"/>
    </xf>
    <xf numFmtId="4" fontId="51" fillId="2" borderId="0" xfId="0" applyNumberFormat="1" applyFont="1" applyFill="1" applyBorder="1"/>
    <xf numFmtId="4" fontId="51" fillId="2" borderId="0" xfId="0" applyNumberFormat="1" applyFont="1" applyFill="1" applyBorder="1" applyAlignment="1">
      <alignment horizontal="right"/>
    </xf>
    <xf numFmtId="164" fontId="51" fillId="2" borderId="0" xfId="1" applyFont="1" applyFill="1" applyBorder="1" applyAlignment="1">
      <alignment horizontal="right" vertical="top" wrapText="1"/>
    </xf>
    <xf numFmtId="0" fontId="46" fillId="0" borderId="0" xfId="0" applyFont="1" applyBorder="1" applyAlignment="1">
      <alignment horizontal="right" wrapText="1"/>
    </xf>
    <xf numFmtId="4" fontId="47" fillId="2" borderId="0" xfId="0" applyNumberFormat="1" applyFont="1" applyFill="1" applyBorder="1" applyAlignment="1">
      <alignment horizontal="right"/>
    </xf>
    <xf numFmtId="164" fontId="47" fillId="2" borderId="0" xfId="1" applyFont="1" applyFill="1" applyBorder="1" applyAlignment="1">
      <alignment horizontal="right" vertical="top" wrapText="1"/>
    </xf>
    <xf numFmtId="4" fontId="45" fillId="2" borderId="0" xfId="0" applyNumberFormat="1" applyFont="1" applyFill="1" applyBorder="1"/>
    <xf numFmtId="0" fontId="52" fillId="0" borderId="0" xfId="0" applyFont="1" applyBorder="1" applyAlignment="1">
      <alignment horizontal="right"/>
    </xf>
    <xf numFmtId="16" fontId="44" fillId="2" borderId="0" xfId="0" applyNumberFormat="1" applyFont="1" applyFill="1" applyBorder="1"/>
    <xf numFmtId="164" fontId="9" fillId="0" borderId="0" xfId="1" applyFont="1" applyBorder="1"/>
    <xf numFmtId="0" fontId="48" fillId="0" borderId="0" xfId="0" applyFont="1"/>
    <xf numFmtId="16" fontId="53" fillId="2" borderId="0" xfId="0" applyNumberFormat="1" applyFont="1" applyFill="1"/>
    <xf numFmtId="164" fontId="54" fillId="0" borderId="0" xfId="1" applyFont="1"/>
    <xf numFmtId="43" fontId="54" fillId="0" borderId="0" xfId="0" applyNumberFormat="1" applyFont="1"/>
    <xf numFmtId="4" fontId="54" fillId="0" borderId="0" xfId="0" applyNumberFormat="1" applyFont="1"/>
  </cellXfs>
  <cellStyles count="33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6 2" xfId="31"/>
    <cellStyle name="Percent" xfId="2" builtinId="5"/>
    <cellStyle name="Percent 13" xfId="29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February 14,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38.501630325359997</c:v>
                </c:pt>
                <c:pt idx="1">
                  <c:v>2038.2004327447246</c:v>
                </c:pt>
                <c:pt idx="2">
                  <c:v>193.17042371656945</c:v>
                </c:pt>
                <c:pt idx="3">
                  <c:v>1779.1913217332319</c:v>
                </c:pt>
                <c:pt idx="4">
                  <c:v>101.01400031343393</c:v>
                </c:pt>
                <c:pt idx="5" formatCode="_-* #,##0.00_-;\-* #,##0.00_-;_-* &quot;-&quot;??_-;_-@_-">
                  <c:v>58.252652887652779</c:v>
                </c:pt>
                <c:pt idx="6">
                  <c:v>6.73883788914</c:v>
                </c:pt>
                <c:pt idx="7">
                  <c:v>54.482402721736491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February 21,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38.542552735119997</c:v>
                </c:pt>
                <c:pt idx="1">
                  <c:v>2072.2983192014285</c:v>
                </c:pt>
                <c:pt idx="2">
                  <c:v>192.87599687599237</c:v>
                </c:pt>
                <c:pt idx="3">
                  <c:v>1780.5962935896721</c:v>
                </c:pt>
                <c:pt idx="4">
                  <c:v>101.07021465021515</c:v>
                </c:pt>
                <c:pt idx="5" formatCode="_-* #,##0.00_-;\-* #,##0.00_-;_-* &quot;-&quot;??_-;_-@_-">
                  <c:v>58.059986733763722</c:v>
                </c:pt>
                <c:pt idx="6">
                  <c:v>6.6812718927000008</c:v>
                </c:pt>
                <c:pt idx="7">
                  <c:v>54.322511448611657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21ST FEBRUARY,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21-Feb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6681271892.7000008</c:v>
                </c:pt>
                <c:pt idx="1">
                  <c:v>38542552735.119995</c:v>
                </c:pt>
                <c:pt idx="2" formatCode="_-* #,##0.00_-;\-* #,##0.00_-;_-* &quot;-&quot;??_-;_-@_-">
                  <c:v>54322511448.611656</c:v>
                </c:pt>
                <c:pt idx="3">
                  <c:v>58059986733.763725</c:v>
                </c:pt>
                <c:pt idx="4">
                  <c:v>101070214650.21515</c:v>
                </c:pt>
                <c:pt idx="5">
                  <c:v>192875996875.99237</c:v>
                </c:pt>
                <c:pt idx="6">
                  <c:v>2072298319201.4285</c:v>
                </c:pt>
                <c:pt idx="7">
                  <c:v>1780596293589.6721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45660</c:v>
                </c:pt>
                <c:pt idx="1">
                  <c:v>45667</c:v>
                </c:pt>
                <c:pt idx="2">
                  <c:v>45674</c:v>
                </c:pt>
                <c:pt idx="3">
                  <c:v>45681</c:v>
                </c:pt>
                <c:pt idx="4">
                  <c:v>45688</c:v>
                </c:pt>
                <c:pt idx="5">
                  <c:v>45695</c:v>
                </c:pt>
                <c:pt idx="6">
                  <c:v>45702</c:v>
                </c:pt>
                <c:pt idx="7">
                  <c:v>45709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3883.4933818535656</c:v>
                </c:pt>
                <c:pt idx="1">
                  <c:v>3964.1148250792808</c:v>
                </c:pt>
                <c:pt idx="2">
                  <c:v>4019.7056298340649</c:v>
                </c:pt>
                <c:pt idx="3">
                  <c:v>4119.3897630881565</c:v>
                </c:pt>
                <c:pt idx="4">
                  <c:v>4111.8204981719919</c:v>
                </c:pt>
                <c:pt idx="5">
                  <c:v>4191.3962694654292</c:v>
                </c:pt>
                <c:pt idx="6">
                  <c:v>4269.5517023318498</c:v>
                </c:pt>
                <c:pt idx="7">
                  <c:v>4304.4471471275037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45660</c:v>
                </c:pt>
                <c:pt idx="1">
                  <c:v>45667</c:v>
                </c:pt>
                <c:pt idx="2">
                  <c:v>45674</c:v>
                </c:pt>
                <c:pt idx="3">
                  <c:v>45681</c:v>
                </c:pt>
                <c:pt idx="4">
                  <c:v>45688</c:v>
                </c:pt>
                <c:pt idx="5">
                  <c:v>45695</c:v>
                </c:pt>
                <c:pt idx="6">
                  <c:v>45702</c:v>
                </c:pt>
                <c:pt idx="7">
                  <c:v>45709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12.767135898969396</c:v>
                </c:pt>
                <c:pt idx="1">
                  <c:v>12.486443329167654</c:v>
                </c:pt>
                <c:pt idx="2">
                  <c:v>13.126291240540001</c:v>
                </c:pt>
                <c:pt idx="3">
                  <c:v>12.926648581233682</c:v>
                </c:pt>
                <c:pt idx="4">
                  <c:v>13.139930136069998</c:v>
                </c:pt>
                <c:pt idx="5">
                  <c:v>13.518762702094183</c:v>
                </c:pt>
                <c:pt idx="6">
                  <c:v>13.762029268867213</c:v>
                </c:pt>
                <c:pt idx="7">
                  <c:v>13.757028670379999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514575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47"/>
  <sheetViews>
    <sheetView tabSelected="1" view="pageBreakPreview" zoomScale="120" zoomScaleNormal="160" zoomScaleSheetLayoutView="12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66" t="s">
        <v>307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</row>
    <row r="2" spans="1:25" ht="15" customHeight="1">
      <c r="A2" s="23"/>
      <c r="B2" s="24"/>
      <c r="C2" s="130"/>
      <c r="D2" s="167" t="s">
        <v>304</v>
      </c>
      <c r="E2" s="167"/>
      <c r="F2" s="167"/>
      <c r="G2" s="167"/>
      <c r="H2" s="167"/>
      <c r="I2" s="167"/>
      <c r="J2" s="167"/>
      <c r="K2" s="167" t="s">
        <v>308</v>
      </c>
      <c r="L2" s="167"/>
      <c r="M2" s="167"/>
      <c r="N2" s="167"/>
      <c r="O2" s="167"/>
      <c r="P2" s="167"/>
      <c r="Q2" s="167"/>
      <c r="R2" s="167" t="s">
        <v>0</v>
      </c>
      <c r="S2" s="167"/>
      <c r="T2" s="167"/>
      <c r="U2" s="167" t="s">
        <v>1</v>
      </c>
      <c r="V2" s="167"/>
    </row>
    <row r="3" spans="1:25" ht="20.399999999999999">
      <c r="A3" s="25" t="s">
        <v>2</v>
      </c>
      <c r="B3" s="26" t="s">
        <v>3</v>
      </c>
      <c r="C3" s="27" t="s">
        <v>4</v>
      </c>
      <c r="D3" s="28" t="s">
        <v>5</v>
      </c>
      <c r="E3" s="29" t="s">
        <v>6</v>
      </c>
      <c r="F3" s="128" t="s">
        <v>290</v>
      </c>
      <c r="G3" s="29" t="s">
        <v>8</v>
      </c>
      <c r="H3" s="29" t="s">
        <v>9</v>
      </c>
      <c r="I3" s="29" t="s">
        <v>10</v>
      </c>
      <c r="J3" s="29" t="s">
        <v>11</v>
      </c>
      <c r="K3" s="52" t="s">
        <v>5</v>
      </c>
      <c r="L3" s="29" t="s">
        <v>6</v>
      </c>
      <c r="M3" s="29" t="s">
        <v>7</v>
      </c>
      <c r="N3" s="29" t="s">
        <v>8</v>
      </c>
      <c r="O3" s="29" t="s">
        <v>9</v>
      </c>
      <c r="P3" s="29" t="s">
        <v>10</v>
      </c>
      <c r="Q3" s="29" t="s">
        <v>11</v>
      </c>
      <c r="R3" s="28" t="s">
        <v>12</v>
      </c>
      <c r="S3" s="29" t="s">
        <v>13</v>
      </c>
      <c r="T3" s="29" t="s">
        <v>14</v>
      </c>
      <c r="U3" s="29" t="s">
        <v>15</v>
      </c>
      <c r="V3" s="29" t="s">
        <v>16</v>
      </c>
    </row>
    <row r="4" spans="1:25" ht="5.25" customHeight="1">
      <c r="A4" s="30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</row>
    <row r="5" spans="1:25" ht="15" customHeight="1">
      <c r="A5" s="164" t="s">
        <v>17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5">
      <c r="A6" s="142">
        <v>1</v>
      </c>
      <c r="B6" s="140" t="s">
        <v>18</v>
      </c>
      <c r="C6" s="141" t="s">
        <v>19</v>
      </c>
      <c r="D6" s="31">
        <v>1607342458.26</v>
      </c>
      <c r="E6" s="32">
        <f t="shared" ref="E6:E24" si="0">(D6/$D$25)</f>
        <v>4.1747386920425712E-2</v>
      </c>
      <c r="F6" s="33">
        <v>429.8073</v>
      </c>
      <c r="G6" s="33">
        <v>433.02730000000003</v>
      </c>
      <c r="H6" s="34">
        <v>1816</v>
      </c>
      <c r="I6" s="53">
        <v>2.1100000000000001E-2</v>
      </c>
      <c r="J6" s="53">
        <v>8.1199999999999994E-2</v>
      </c>
      <c r="K6" s="31">
        <v>1607342458.26</v>
      </c>
      <c r="L6" s="32">
        <f>(K6/$K$25)</f>
        <v>4.1703061790076726E-2</v>
      </c>
      <c r="M6" s="33">
        <v>429.8073</v>
      </c>
      <c r="N6" s="33">
        <v>433.02730000000003</v>
      </c>
      <c r="O6" s="34">
        <v>1816</v>
      </c>
      <c r="P6" s="53">
        <v>2.1100000000000001E-2</v>
      </c>
      <c r="Q6" s="53">
        <v>8.1199999999999994E-2</v>
      </c>
      <c r="R6" s="59">
        <f>((K6-D6)/D6)</f>
        <v>0</v>
      </c>
      <c r="S6" s="59">
        <f>((N6-G6)/G6)</f>
        <v>0</v>
      </c>
      <c r="T6" s="59">
        <f>((O6-H6)/H6)</f>
        <v>0</v>
      </c>
      <c r="U6" s="60">
        <f>P6-I6</f>
        <v>0</v>
      </c>
      <c r="V6" s="61">
        <f>Q6-J6</f>
        <v>0</v>
      </c>
    </row>
    <row r="7" spans="1:25">
      <c r="A7" s="142">
        <v>2</v>
      </c>
      <c r="B7" s="140" t="s">
        <v>20</v>
      </c>
      <c r="C7" s="141" t="s">
        <v>21</v>
      </c>
      <c r="D7" s="35">
        <v>690077028.79999995</v>
      </c>
      <c r="E7" s="32">
        <f t="shared" si="0"/>
        <v>1.7923319687204637E-2</v>
      </c>
      <c r="F7" s="35">
        <v>284.52800000000002</v>
      </c>
      <c r="G7" s="35">
        <v>287.83730000000003</v>
      </c>
      <c r="H7" s="34">
        <v>465</v>
      </c>
      <c r="I7" s="53">
        <v>1.9350000000000001E-3</v>
      </c>
      <c r="J7" s="53">
        <v>0.10489999999999999</v>
      </c>
      <c r="K7" s="35">
        <v>684577602.04999995</v>
      </c>
      <c r="L7" s="32">
        <f t="shared" ref="L7:L24" si="1">(K7/$K$25)</f>
        <v>1.7761605121349746E-2</v>
      </c>
      <c r="M7" s="35">
        <v>282.22000000000003</v>
      </c>
      <c r="N7" s="35">
        <v>285.5609</v>
      </c>
      <c r="O7" s="34">
        <v>465</v>
      </c>
      <c r="P7" s="53">
        <v>-1.7830000000000001E-3</v>
      </c>
      <c r="Q7" s="53">
        <v>9.6000000000000002E-2</v>
      </c>
      <c r="R7" s="59">
        <f t="shared" ref="R7:R25" si="2">((K7-D7)/D7)</f>
        <v>-7.969294036005159E-3</v>
      </c>
      <c r="S7" s="59">
        <f t="shared" ref="S7:S25" si="3">((N7-G7)/G7)</f>
        <v>-7.9086344959462297E-3</v>
      </c>
      <c r="T7" s="59">
        <f t="shared" ref="T7:T25" si="4">((O7-H7)/H7)</f>
        <v>0</v>
      </c>
      <c r="U7" s="60">
        <f t="shared" ref="U7:U25" si="5">P7-I7</f>
        <v>-3.718E-3</v>
      </c>
      <c r="V7" s="61">
        <f t="shared" ref="V7:V25" si="6">Q7-J7</f>
        <v>-8.8999999999999913E-3</v>
      </c>
    </row>
    <row r="8" spans="1:25">
      <c r="A8" s="142">
        <v>3</v>
      </c>
      <c r="B8" s="140" t="s">
        <v>22</v>
      </c>
      <c r="C8" s="141" t="s">
        <v>23</v>
      </c>
      <c r="D8" s="35">
        <v>4073716179.7800002</v>
      </c>
      <c r="E8" s="32">
        <f t="shared" si="0"/>
        <v>0.10580632937760955</v>
      </c>
      <c r="F8" s="35">
        <v>37.2956</v>
      </c>
      <c r="G8" s="35">
        <v>38.420099999999998</v>
      </c>
      <c r="H8" s="36">
        <v>6629</v>
      </c>
      <c r="I8" s="54">
        <v>1.0718000000000001</v>
      </c>
      <c r="J8" s="54">
        <v>0.42109999999999997</v>
      </c>
      <c r="K8" s="35">
        <v>4078093140.3699999</v>
      </c>
      <c r="L8" s="32">
        <f t="shared" si="1"/>
        <v>0.10580755167921296</v>
      </c>
      <c r="M8" s="35">
        <v>37.310699999999997</v>
      </c>
      <c r="N8" s="35">
        <v>38.435699999999997</v>
      </c>
      <c r="O8" s="36">
        <v>6631</v>
      </c>
      <c r="P8" s="54">
        <v>2.12E-2</v>
      </c>
      <c r="Q8" s="54">
        <v>0.3674</v>
      </c>
      <c r="R8" s="59">
        <f t="shared" si="2"/>
        <v>1.0744392581213285E-3</v>
      </c>
      <c r="S8" s="59">
        <f t="shared" si="3"/>
        <v>4.0603746476451571E-4</v>
      </c>
      <c r="T8" s="59">
        <f t="shared" si="4"/>
        <v>3.0170463116608838E-4</v>
      </c>
      <c r="U8" s="60">
        <f t="shared" si="5"/>
        <v>-1.0506</v>
      </c>
      <c r="V8" s="61">
        <f t="shared" si="6"/>
        <v>-5.369999999999997E-2</v>
      </c>
      <c r="X8" s="62"/>
      <c r="Y8" s="62"/>
    </row>
    <row r="9" spans="1:25">
      <c r="A9" s="142">
        <v>4</v>
      </c>
      <c r="B9" s="140" t="s">
        <v>24</v>
      </c>
      <c r="C9" s="141" t="s">
        <v>25</v>
      </c>
      <c r="D9" s="35">
        <v>595478716.28999996</v>
      </c>
      <c r="E9" s="32">
        <f t="shared" si="0"/>
        <v>1.5466324705158628E-2</v>
      </c>
      <c r="F9" s="35">
        <v>230.2696</v>
      </c>
      <c r="G9" s="35">
        <v>230.2696</v>
      </c>
      <c r="H9" s="34">
        <v>1921</v>
      </c>
      <c r="I9" s="53">
        <v>1.24E-2</v>
      </c>
      <c r="J9" s="53">
        <v>5.16E-2</v>
      </c>
      <c r="K9" s="35">
        <v>617275381.83000004</v>
      </c>
      <c r="L9" s="32">
        <f t="shared" si="1"/>
        <v>1.6015425497946802E-2</v>
      </c>
      <c r="M9" s="35">
        <v>229.99180000000001</v>
      </c>
      <c r="N9" s="35">
        <v>229.99180000000001</v>
      </c>
      <c r="O9" s="34">
        <v>1926</v>
      </c>
      <c r="P9" s="53">
        <v>-1.1999999999999999E-3</v>
      </c>
      <c r="Q9" s="53">
        <v>5.0299999999999997E-2</v>
      </c>
      <c r="R9" s="59">
        <f t="shared" si="2"/>
        <v>3.6603601344141139E-2</v>
      </c>
      <c r="S9" s="59">
        <f t="shared" si="3"/>
        <v>-1.2064119623258344E-3</v>
      </c>
      <c r="T9" s="59">
        <f t="shared" si="4"/>
        <v>2.6028110359187923E-3</v>
      </c>
      <c r="U9" s="60">
        <f t="shared" si="5"/>
        <v>-1.3599999999999999E-2</v>
      </c>
      <c r="V9" s="61">
        <f t="shared" si="6"/>
        <v>-1.3000000000000025E-3</v>
      </c>
    </row>
    <row r="10" spans="1:25">
      <c r="A10" s="142">
        <v>5</v>
      </c>
      <c r="B10" s="140" t="s">
        <v>26</v>
      </c>
      <c r="C10" s="141" t="s">
        <v>27</v>
      </c>
      <c r="D10" s="35">
        <v>1047401698.6900001</v>
      </c>
      <c r="E10" s="32">
        <f t="shared" si="0"/>
        <v>2.7204086939666666E-2</v>
      </c>
      <c r="F10" s="35">
        <v>1.3607</v>
      </c>
      <c r="G10" s="35">
        <v>1.3782000000000001</v>
      </c>
      <c r="H10" s="34">
        <v>495</v>
      </c>
      <c r="I10" s="53">
        <v>5.8999999999999999E-3</v>
      </c>
      <c r="J10" s="53">
        <v>9.8500000000000004E-2</v>
      </c>
      <c r="K10" s="35">
        <v>1039600735</v>
      </c>
      <c r="L10" s="32">
        <f t="shared" si="1"/>
        <v>2.6972804374026715E-2</v>
      </c>
      <c r="M10" s="35">
        <v>1.367</v>
      </c>
      <c r="N10" s="35">
        <v>1.3854</v>
      </c>
      <c r="O10" s="34">
        <v>498</v>
      </c>
      <c r="P10" s="53">
        <v>4.8999999999999998E-3</v>
      </c>
      <c r="Q10" s="53">
        <v>0.104</v>
      </c>
      <c r="R10" s="59">
        <f t="shared" si="2"/>
        <v>-7.4479196470244712E-3</v>
      </c>
      <c r="S10" s="59">
        <f t="shared" si="3"/>
        <v>5.2242054854156677E-3</v>
      </c>
      <c r="T10" s="59">
        <f t="shared" si="4"/>
        <v>6.0606060606060606E-3</v>
      </c>
      <c r="U10" s="60">
        <f t="shared" si="5"/>
        <v>-1E-3</v>
      </c>
      <c r="V10" s="61">
        <f t="shared" si="6"/>
        <v>5.499999999999991E-3</v>
      </c>
    </row>
    <row r="11" spans="1:25">
      <c r="A11" s="142">
        <v>6</v>
      </c>
      <c r="B11" s="140" t="s">
        <v>28</v>
      </c>
      <c r="C11" s="141" t="s">
        <v>29</v>
      </c>
      <c r="D11" s="37">
        <v>103522670.63</v>
      </c>
      <c r="E11" s="32">
        <f t="shared" si="0"/>
        <v>2.6887866761790696E-3</v>
      </c>
      <c r="F11" s="35">
        <v>185.87260000000001</v>
      </c>
      <c r="G11" s="35">
        <v>186.84100000000001</v>
      </c>
      <c r="H11" s="36">
        <v>69</v>
      </c>
      <c r="I11" s="54">
        <v>2.2856000000000001E-2</v>
      </c>
      <c r="J11" s="54">
        <v>8.14E-2</v>
      </c>
      <c r="K11" s="37">
        <v>102587107.93000001</v>
      </c>
      <c r="L11" s="32">
        <f t="shared" si="1"/>
        <v>2.661658365885106E-3</v>
      </c>
      <c r="M11" s="35">
        <v>184.15690000000001</v>
      </c>
      <c r="N11" s="35">
        <v>185.11879999999999</v>
      </c>
      <c r="O11" s="36">
        <v>70</v>
      </c>
      <c r="P11" s="54">
        <v>-7.8189999999999996E-3</v>
      </c>
      <c r="Q11" s="54">
        <v>7.1499999999999994E-2</v>
      </c>
      <c r="R11" s="59">
        <f t="shared" si="2"/>
        <v>-9.0372736165567E-3</v>
      </c>
      <c r="S11" s="59">
        <f t="shared" si="3"/>
        <v>-9.2174629765416315E-3</v>
      </c>
      <c r="T11" s="59">
        <f t="shared" si="4"/>
        <v>1.4492753623188406E-2</v>
      </c>
      <c r="U11" s="60">
        <f t="shared" si="5"/>
        <v>-3.0675000000000001E-2</v>
      </c>
      <c r="V11" s="61">
        <f t="shared" si="6"/>
        <v>-9.900000000000006E-3</v>
      </c>
    </row>
    <row r="12" spans="1:25">
      <c r="A12" s="142">
        <v>7</v>
      </c>
      <c r="B12" s="140" t="s">
        <v>30</v>
      </c>
      <c r="C12" s="141" t="s">
        <v>31</v>
      </c>
      <c r="D12" s="35">
        <v>1338163629.5899999</v>
      </c>
      <c r="E12" s="32">
        <f t="shared" si="0"/>
        <v>3.4756025089893068E-2</v>
      </c>
      <c r="F12" s="35">
        <v>363.76</v>
      </c>
      <c r="G12" s="35">
        <v>368.13</v>
      </c>
      <c r="H12" s="36">
        <v>1661</v>
      </c>
      <c r="I12" s="54">
        <v>1.9599999999999999E-2</v>
      </c>
      <c r="J12" s="54">
        <v>0.12330000000000001</v>
      </c>
      <c r="K12" s="35">
        <v>1473813653.6800001</v>
      </c>
      <c r="L12" s="32">
        <f t="shared" si="1"/>
        <v>3.8238610291556022E-2</v>
      </c>
      <c r="M12" s="35">
        <v>363.77</v>
      </c>
      <c r="N12" s="35">
        <v>367.77</v>
      </c>
      <c r="O12" s="36">
        <v>1664</v>
      </c>
      <c r="P12" s="54">
        <v>-5.0000000000000001E-4</v>
      </c>
      <c r="Q12" s="54">
        <v>0.1234</v>
      </c>
      <c r="R12" s="59">
        <f t="shared" si="2"/>
        <v>0.10137028169833159</v>
      </c>
      <c r="S12" s="59">
        <f t="shared" si="3"/>
        <v>-9.7791541031704465E-4</v>
      </c>
      <c r="T12" s="59">
        <f t="shared" si="4"/>
        <v>1.8061408789885611E-3</v>
      </c>
      <c r="U12" s="60">
        <f t="shared" si="5"/>
        <v>-2.01E-2</v>
      </c>
      <c r="V12" s="61">
        <f t="shared" si="6"/>
        <v>9.9999999999988987E-5</v>
      </c>
    </row>
    <row r="13" spans="1:25">
      <c r="A13" s="142">
        <v>8</v>
      </c>
      <c r="B13" s="140" t="s">
        <v>32</v>
      </c>
      <c r="C13" s="141" t="s">
        <v>33</v>
      </c>
      <c r="D13" s="31">
        <v>459368897.94</v>
      </c>
      <c r="E13" s="32">
        <f t="shared" si="0"/>
        <v>1.1931154448735796E-2</v>
      </c>
      <c r="F13" s="35">
        <v>230.29</v>
      </c>
      <c r="G13" s="35">
        <v>240.46</v>
      </c>
      <c r="H13" s="34">
        <v>2468</v>
      </c>
      <c r="I13" s="53">
        <v>7.7000000000000002E-3</v>
      </c>
      <c r="J13" s="53">
        <v>0.83189999999999997</v>
      </c>
      <c r="K13" s="31">
        <v>444888252.67000002</v>
      </c>
      <c r="L13" s="32">
        <f t="shared" si="1"/>
        <v>1.1542781188559356E-2</v>
      </c>
      <c r="M13" s="35">
        <v>222.92</v>
      </c>
      <c r="N13" s="35">
        <v>232.83</v>
      </c>
      <c r="O13" s="34">
        <v>2468</v>
      </c>
      <c r="P13" s="53">
        <v>-3.2000000000000001E-2</v>
      </c>
      <c r="Q13" s="53">
        <v>0.7732</v>
      </c>
      <c r="R13" s="59">
        <f t="shared" si="2"/>
        <v>-3.1522911836080282E-2</v>
      </c>
      <c r="S13" s="59">
        <f t="shared" si="3"/>
        <v>-3.1730849205689075E-2</v>
      </c>
      <c r="T13" s="59">
        <f t="shared" si="4"/>
        <v>0</v>
      </c>
      <c r="U13" s="60">
        <f t="shared" si="5"/>
        <v>-3.9699999999999999E-2</v>
      </c>
      <c r="V13" s="61">
        <f t="shared" si="6"/>
        <v>-5.8699999999999974E-2</v>
      </c>
    </row>
    <row r="14" spans="1:25">
      <c r="A14" s="142">
        <v>9</v>
      </c>
      <c r="B14" s="140" t="s">
        <v>34</v>
      </c>
      <c r="C14" s="141" t="s">
        <v>35</v>
      </c>
      <c r="D14" s="37">
        <v>67068121.759999998</v>
      </c>
      <c r="E14" s="32">
        <f t="shared" si="0"/>
        <v>1.7419553715839406E-3</v>
      </c>
      <c r="F14" s="35">
        <v>238.01</v>
      </c>
      <c r="G14" s="35">
        <v>245.68</v>
      </c>
      <c r="H14" s="34">
        <v>18</v>
      </c>
      <c r="I14" s="53">
        <v>1.5E-3</v>
      </c>
      <c r="J14" s="53">
        <v>7.7600000000000002E-2</v>
      </c>
      <c r="K14" s="37">
        <v>66710422.009999998</v>
      </c>
      <c r="L14" s="32">
        <f t="shared" si="1"/>
        <v>1.7308252120315172E-3</v>
      </c>
      <c r="M14" s="35">
        <v>236.75</v>
      </c>
      <c r="N14" s="35">
        <v>244.37</v>
      </c>
      <c r="O14" s="34">
        <v>18</v>
      </c>
      <c r="P14" s="53">
        <v>-5.3E-3</v>
      </c>
      <c r="Q14" s="53">
        <v>7.1900000000000006E-2</v>
      </c>
      <c r="R14" s="59">
        <f t="shared" si="2"/>
        <v>-5.3333795641394444E-3</v>
      </c>
      <c r="S14" s="59">
        <f t="shared" si="3"/>
        <v>-5.3321393682839559E-3</v>
      </c>
      <c r="T14" s="59">
        <f t="shared" si="4"/>
        <v>0</v>
      </c>
      <c r="U14" s="60">
        <f t="shared" si="5"/>
        <v>-6.8000000000000005E-3</v>
      </c>
      <c r="V14" s="61">
        <f t="shared" si="6"/>
        <v>-5.6999999999999967E-3</v>
      </c>
    </row>
    <row r="15" spans="1:25" ht="14.25" customHeight="1">
      <c r="A15" s="142">
        <v>10</v>
      </c>
      <c r="B15" s="140" t="s">
        <v>36</v>
      </c>
      <c r="C15" s="141" t="s">
        <v>37</v>
      </c>
      <c r="D15" s="31">
        <v>747790609.11000001</v>
      </c>
      <c r="E15" s="32">
        <f t="shared" si="0"/>
        <v>1.9422310244806704E-2</v>
      </c>
      <c r="F15" s="35">
        <v>2.5774810000000001</v>
      </c>
      <c r="G15" s="35">
        <v>2.6051500000000001</v>
      </c>
      <c r="H15" s="34">
        <v>475</v>
      </c>
      <c r="I15" s="53">
        <v>4.6479033927283142E-2</v>
      </c>
      <c r="J15" s="53">
        <v>0.23049678063386692</v>
      </c>
      <c r="K15" s="31">
        <v>751837781.86000001</v>
      </c>
      <c r="L15" s="32">
        <f t="shared" si="1"/>
        <v>1.9506693991623577E-2</v>
      </c>
      <c r="M15" s="35">
        <v>2.5541999999999998</v>
      </c>
      <c r="N15" s="35">
        <v>2.5818940000000001</v>
      </c>
      <c r="O15" s="34">
        <v>475</v>
      </c>
      <c r="P15" s="53">
        <v>-9.0324623149502514E-3</v>
      </c>
      <c r="Q15" s="53">
        <v>0.21938236483412399</v>
      </c>
      <c r="R15" s="59">
        <f t="shared" si="2"/>
        <v>5.4121738100145903E-3</v>
      </c>
      <c r="S15" s="59">
        <f t="shared" si="3"/>
        <v>-8.9269331900274241E-3</v>
      </c>
      <c r="T15" s="59">
        <f t="shared" si="4"/>
        <v>0</v>
      </c>
      <c r="U15" s="60">
        <f t="shared" si="5"/>
        <v>-5.5511496242233394E-2</v>
      </c>
      <c r="V15" s="61">
        <f t="shared" si="6"/>
        <v>-1.1114415799742927E-2</v>
      </c>
    </row>
    <row r="16" spans="1:25" ht="14.25" customHeight="1">
      <c r="A16" s="142">
        <v>11</v>
      </c>
      <c r="B16" s="140" t="s">
        <v>38</v>
      </c>
      <c r="C16" s="141" t="s">
        <v>39</v>
      </c>
      <c r="D16" s="31">
        <v>18201107.129999999</v>
      </c>
      <c r="E16" s="32">
        <f t="shared" si="0"/>
        <v>4.727360108179994E-4</v>
      </c>
      <c r="F16" s="35">
        <v>15.37</v>
      </c>
      <c r="G16" s="35">
        <v>16.239999999999998</v>
      </c>
      <c r="H16" s="34">
        <v>28</v>
      </c>
      <c r="I16" s="53">
        <v>0.16020000000000001</v>
      </c>
      <c r="J16" s="53">
        <v>1.3287</v>
      </c>
      <c r="K16" s="31">
        <v>18582317.32</v>
      </c>
      <c r="L16" s="32">
        <f t="shared" si="1"/>
        <v>4.8212471674372991E-4</v>
      </c>
      <c r="M16" s="35">
        <v>15.69</v>
      </c>
      <c r="N16" s="35">
        <v>16.579999999999998</v>
      </c>
      <c r="O16" s="34">
        <v>28</v>
      </c>
      <c r="P16" s="53">
        <v>7.51E-2</v>
      </c>
      <c r="Q16" s="53">
        <v>1.3766</v>
      </c>
      <c r="R16" s="59">
        <f t="shared" ref="R16" si="7">((K16-D16)/D16)</f>
        <v>2.0944340763297369E-2</v>
      </c>
      <c r="S16" s="59">
        <f t="shared" ref="S16" si="8">((N16-G16)/G16)</f>
        <v>2.0935960591132997E-2</v>
      </c>
      <c r="T16" s="59">
        <f t="shared" ref="T16" si="9">((O16-H16)/H16)</f>
        <v>0</v>
      </c>
      <c r="U16" s="60">
        <f t="shared" ref="U16" si="10">P16-I16</f>
        <v>-8.5100000000000009E-2</v>
      </c>
      <c r="V16" s="61">
        <f t="shared" ref="V16" si="11">Q16-J16</f>
        <v>4.7900000000000054E-2</v>
      </c>
    </row>
    <row r="17" spans="1:22">
      <c r="A17" s="142">
        <v>12</v>
      </c>
      <c r="B17" s="140" t="s">
        <v>40</v>
      </c>
      <c r="C17" s="141" t="s">
        <v>41</v>
      </c>
      <c r="D17" s="133">
        <v>1937219861.6099999</v>
      </c>
      <c r="E17" s="32">
        <f t="shared" si="0"/>
        <v>5.0315268346805685E-2</v>
      </c>
      <c r="F17" s="35">
        <v>3.94</v>
      </c>
      <c r="G17" s="35">
        <v>4.03</v>
      </c>
      <c r="H17" s="34">
        <v>3656</v>
      </c>
      <c r="I17" s="53">
        <v>2.3300000000000001E-2</v>
      </c>
      <c r="J17" s="53">
        <v>8.4199999999999997E-2</v>
      </c>
      <c r="K17" s="133">
        <v>1923247002.27</v>
      </c>
      <c r="L17" s="32">
        <f t="shared" si="1"/>
        <v>4.9899315582113385E-2</v>
      </c>
      <c r="M17" s="35">
        <v>3.92</v>
      </c>
      <c r="N17" s="35">
        <v>4</v>
      </c>
      <c r="O17" s="34">
        <v>3651</v>
      </c>
      <c r="P17" s="53">
        <v>-1.7399999999999999E-2</v>
      </c>
      <c r="Q17" s="53">
        <v>7.6700000000000004E-2</v>
      </c>
      <c r="R17" s="59">
        <f t="shared" si="2"/>
        <v>-7.2128412561221836E-3</v>
      </c>
      <c r="S17" s="59">
        <f t="shared" si="3"/>
        <v>-7.4441687344913767E-3</v>
      </c>
      <c r="T17" s="59">
        <f t="shared" si="4"/>
        <v>-1.3676148796498905E-3</v>
      </c>
      <c r="U17" s="60">
        <f t="shared" si="5"/>
        <v>-4.07E-2</v>
      </c>
      <c r="V17" s="61">
        <f t="shared" si="6"/>
        <v>-7.4999999999999928E-3</v>
      </c>
    </row>
    <row r="18" spans="1:22">
      <c r="A18" s="142">
        <v>13</v>
      </c>
      <c r="B18" s="140" t="s">
        <v>42</v>
      </c>
      <c r="C18" s="141" t="s">
        <v>43</v>
      </c>
      <c r="D18" s="35">
        <v>1010010966.7800001</v>
      </c>
      <c r="E18" s="32">
        <f t="shared" si="0"/>
        <v>2.6232940222137364E-2</v>
      </c>
      <c r="F18" s="35">
        <v>26.761113000000002</v>
      </c>
      <c r="G18" s="35">
        <v>26.854163</v>
      </c>
      <c r="H18" s="34">
        <v>452</v>
      </c>
      <c r="I18" s="53">
        <v>7.527339337133343E-3</v>
      </c>
      <c r="J18" s="53">
        <v>0.10162509288914934</v>
      </c>
      <c r="K18" s="35">
        <v>1041784124.65</v>
      </c>
      <c r="L18" s="32">
        <f t="shared" si="1"/>
        <v>2.7029453181515031E-2</v>
      </c>
      <c r="M18" s="35">
        <v>26.792013000000001</v>
      </c>
      <c r="N18" s="35">
        <v>26.893718</v>
      </c>
      <c r="O18" s="34">
        <v>459</v>
      </c>
      <c r="P18" s="53">
        <v>1.1546604956227391E-3</v>
      </c>
      <c r="Q18" s="53">
        <v>0.10289709586489537</v>
      </c>
      <c r="R18" s="59">
        <f t="shared" si="2"/>
        <v>3.1458230568817865E-2</v>
      </c>
      <c r="S18" s="59">
        <f t="shared" si="3"/>
        <v>1.4729559807915074E-3</v>
      </c>
      <c r="T18" s="59">
        <f t="shared" si="4"/>
        <v>1.5486725663716814E-2</v>
      </c>
      <c r="U18" s="60">
        <f t="shared" si="5"/>
        <v>-6.3726788415106039E-3</v>
      </c>
      <c r="V18" s="61">
        <f t="shared" si="6"/>
        <v>1.2720029757460338E-3</v>
      </c>
    </row>
    <row r="19" spans="1:22">
      <c r="A19" s="142">
        <v>14</v>
      </c>
      <c r="B19" s="140" t="s">
        <v>44</v>
      </c>
      <c r="C19" s="141" t="s">
        <v>45</v>
      </c>
      <c r="D19" s="35">
        <v>147206661.63</v>
      </c>
      <c r="E19" s="32">
        <f t="shared" si="0"/>
        <v>3.8233877471167471E-3</v>
      </c>
      <c r="F19" s="35">
        <v>1.590303</v>
      </c>
      <c r="G19" s="35">
        <v>1.6450039999999999</v>
      </c>
      <c r="H19" s="34">
        <v>22</v>
      </c>
      <c r="I19" s="53">
        <v>5.3999999999999999E-2</v>
      </c>
      <c r="J19" s="53">
        <v>-0.25480000000000003</v>
      </c>
      <c r="K19" s="35">
        <v>136875961.80000001</v>
      </c>
      <c r="L19" s="32">
        <f t="shared" si="1"/>
        <v>3.5512946623091355E-3</v>
      </c>
      <c r="M19" s="35">
        <v>1.47081</v>
      </c>
      <c r="N19" s="35">
        <v>1.525882</v>
      </c>
      <c r="O19" s="34">
        <v>23</v>
      </c>
      <c r="P19" s="53">
        <v>-5.4699999999999999E-2</v>
      </c>
      <c r="Q19" s="53">
        <v>-0.30969999999999998</v>
      </c>
      <c r="R19" s="59">
        <f t="shared" si="2"/>
        <v>-7.0178208755021704E-2</v>
      </c>
      <c r="S19" s="59">
        <f t="shared" si="3"/>
        <v>-7.2414413581973022E-2</v>
      </c>
      <c r="T19" s="59">
        <f t="shared" si="4"/>
        <v>4.5454545454545456E-2</v>
      </c>
      <c r="U19" s="60">
        <f t="shared" si="5"/>
        <v>-0.10869999999999999</v>
      </c>
      <c r="V19" s="61">
        <f t="shared" si="6"/>
        <v>-5.4899999999999949E-2</v>
      </c>
    </row>
    <row r="20" spans="1:22">
      <c r="A20" s="142">
        <v>15</v>
      </c>
      <c r="B20" s="140" t="s">
        <v>46</v>
      </c>
      <c r="C20" s="141" t="s">
        <v>47</v>
      </c>
      <c r="D20" s="31">
        <v>2613705439.6100001</v>
      </c>
      <c r="E20" s="32">
        <f t="shared" si="0"/>
        <v>6.7885578286497175E-2</v>
      </c>
      <c r="F20" s="35">
        <v>34.619999999999997</v>
      </c>
      <c r="G20" s="35">
        <v>35.340000000000003</v>
      </c>
      <c r="H20" s="34">
        <v>8944</v>
      </c>
      <c r="I20" s="53">
        <v>-2.0000000000000001E-4</v>
      </c>
      <c r="J20" s="53">
        <v>0.11219999999999999</v>
      </c>
      <c r="K20" s="31">
        <v>2589840444.9099998</v>
      </c>
      <c r="L20" s="32">
        <f t="shared" si="1"/>
        <v>6.7194315402729826E-2</v>
      </c>
      <c r="M20" s="35">
        <v>34.520000000000003</v>
      </c>
      <c r="N20" s="35">
        <v>34.67</v>
      </c>
      <c r="O20" s="34">
        <v>8944</v>
      </c>
      <c r="P20" s="53">
        <v>-1.52E-2</v>
      </c>
      <c r="Q20" s="53">
        <v>9.6600000000000005E-2</v>
      </c>
      <c r="R20" s="59">
        <f t="shared" si="2"/>
        <v>-9.1307131776721031E-3</v>
      </c>
      <c r="S20" s="59">
        <f t="shared" si="3"/>
        <v>-1.8958687040181145E-2</v>
      </c>
      <c r="T20" s="59">
        <f t="shared" si="4"/>
        <v>0</v>
      </c>
      <c r="U20" s="60">
        <f t="shared" si="5"/>
        <v>-1.4999999999999999E-2</v>
      </c>
      <c r="V20" s="61">
        <f t="shared" si="6"/>
        <v>-1.5599999999999989E-2</v>
      </c>
    </row>
    <row r="21" spans="1:22" ht="12.75" customHeight="1">
      <c r="A21" s="142">
        <v>16</v>
      </c>
      <c r="B21" s="140" t="s">
        <v>48</v>
      </c>
      <c r="C21" s="141" t="s">
        <v>49</v>
      </c>
      <c r="D21" s="35">
        <v>912720753.01999998</v>
      </c>
      <c r="E21" s="32">
        <f t="shared" si="0"/>
        <v>2.3706028687798582E-2</v>
      </c>
      <c r="F21" s="35">
        <v>9013.67</v>
      </c>
      <c r="G21" s="35">
        <v>9137.09</v>
      </c>
      <c r="H21" s="34">
        <v>21</v>
      </c>
      <c r="I21" s="53">
        <v>2.1299999999999999E-2</v>
      </c>
      <c r="J21" s="53">
        <v>0.1265</v>
      </c>
      <c r="K21" s="35">
        <v>913575140.71000004</v>
      </c>
      <c r="L21" s="32">
        <f t="shared" si="1"/>
        <v>2.370302628859219E-2</v>
      </c>
      <c r="M21" s="35">
        <v>8966.91</v>
      </c>
      <c r="N21" s="35">
        <v>9088.5499999999993</v>
      </c>
      <c r="O21" s="34">
        <v>21</v>
      </c>
      <c r="P21" s="53">
        <v>-5.3E-3</v>
      </c>
      <c r="Q21" s="53">
        <v>0.1205</v>
      </c>
      <c r="R21" s="59">
        <f t="shared" si="2"/>
        <v>9.3608881705940067E-4</v>
      </c>
      <c r="S21" s="59">
        <f t="shared" si="3"/>
        <v>-5.3124134708097299E-3</v>
      </c>
      <c r="T21" s="59">
        <f t="shared" si="4"/>
        <v>0</v>
      </c>
      <c r="U21" s="60">
        <f t="shared" si="5"/>
        <v>-2.6599999999999999E-2</v>
      </c>
      <c r="V21" s="61">
        <f t="shared" si="6"/>
        <v>-6.0000000000000053E-3</v>
      </c>
    </row>
    <row r="22" spans="1:22">
      <c r="A22" s="142">
        <v>17</v>
      </c>
      <c r="B22" s="140" t="s">
        <v>50</v>
      </c>
      <c r="C22" s="141" t="s">
        <v>49</v>
      </c>
      <c r="D22" s="35">
        <v>14793988360.690001</v>
      </c>
      <c r="E22" s="32">
        <f t="shared" si="0"/>
        <v>0.38424316673534714</v>
      </c>
      <c r="F22" s="35">
        <v>28347.69</v>
      </c>
      <c r="G22" s="35">
        <v>28761.48</v>
      </c>
      <c r="H22" s="34">
        <v>17548</v>
      </c>
      <c r="I22" s="53">
        <v>1.9E-2</v>
      </c>
      <c r="J22" s="53">
        <v>0.1191</v>
      </c>
      <c r="K22" s="35">
        <v>14739781996.49</v>
      </c>
      <c r="L22" s="32">
        <f t="shared" si="1"/>
        <v>0.38242879494224841</v>
      </c>
      <c r="M22" s="35">
        <v>28175.33</v>
      </c>
      <c r="N22" s="35">
        <v>28589.23</v>
      </c>
      <c r="O22" s="34">
        <v>17563</v>
      </c>
      <c r="P22" s="53">
        <v>-6.0000000000000001E-3</v>
      </c>
      <c r="Q22" s="53">
        <v>0.1124</v>
      </c>
      <c r="R22" s="59">
        <f t="shared" si="2"/>
        <v>-3.664080495293329E-3</v>
      </c>
      <c r="S22" s="59">
        <f t="shared" si="3"/>
        <v>-5.9889129488468603E-3</v>
      </c>
      <c r="T22" s="59">
        <f t="shared" si="4"/>
        <v>8.547982676088443E-4</v>
      </c>
      <c r="U22" s="60">
        <f t="shared" si="5"/>
        <v>-2.5000000000000001E-2</v>
      </c>
      <c r="V22" s="61">
        <f t="shared" si="6"/>
        <v>-6.6999999999999976E-3</v>
      </c>
    </row>
    <row r="23" spans="1:22">
      <c r="A23" s="142">
        <v>18</v>
      </c>
      <c r="B23" s="141" t="s">
        <v>51</v>
      </c>
      <c r="C23" s="141" t="s">
        <v>52</v>
      </c>
      <c r="D23" s="35">
        <v>4261033861.1500001</v>
      </c>
      <c r="E23" s="32">
        <f t="shared" ref="E23" si="12">(D23/$D$25)</f>
        <v>0.11067151767709354</v>
      </c>
      <c r="F23" s="35">
        <v>1.6758</v>
      </c>
      <c r="G23" s="33">
        <v>1.6928000000000001</v>
      </c>
      <c r="H23" s="34">
        <v>4681</v>
      </c>
      <c r="I23" s="53">
        <v>1.9699999999999999E-2</v>
      </c>
      <c r="J23" s="53">
        <v>0.1234</v>
      </c>
      <c r="K23" s="35">
        <v>4245880853.1300001</v>
      </c>
      <c r="L23" s="32">
        <f t="shared" ref="L23" si="13">(K23/$K$25)</f>
        <v>0.11016086252276568</v>
      </c>
      <c r="M23" s="35">
        <v>1.6615</v>
      </c>
      <c r="N23" s="33">
        <v>1.6780999999999999</v>
      </c>
      <c r="O23" s="34">
        <v>4701</v>
      </c>
      <c r="P23" s="53">
        <v>-8.5000000000000006E-3</v>
      </c>
      <c r="Q23" s="53">
        <v>0.1138</v>
      </c>
      <c r="R23" s="59">
        <f t="shared" ref="R23" si="14">((K23-D23)/D23)</f>
        <v>-3.5561810851018143E-3</v>
      </c>
      <c r="S23" s="59">
        <f t="shared" ref="S23" si="15">((N23-G23)/G23)</f>
        <v>-8.6838374291116245E-3</v>
      </c>
      <c r="T23" s="59">
        <f t="shared" ref="T23" si="16">((O23-H23)/H23)</f>
        <v>4.2725913266396069E-3</v>
      </c>
      <c r="U23" s="60">
        <f t="shared" ref="U23" si="17">P23-I23</f>
        <v>-2.8199999999999999E-2</v>
      </c>
      <c r="V23" s="61">
        <f t="shared" ref="V23" si="18">Q23-J23</f>
        <v>-9.5999999999999974E-3</v>
      </c>
    </row>
    <row r="24" spans="1:22">
      <c r="A24" s="142">
        <v>19</v>
      </c>
      <c r="B24" s="141" t="s">
        <v>299</v>
      </c>
      <c r="C24" s="141" t="s">
        <v>300</v>
      </c>
      <c r="D24" s="35">
        <v>2077613302.8900001</v>
      </c>
      <c r="E24" s="32">
        <f t="shared" si="0"/>
        <v>5.3961696825122009E-2</v>
      </c>
      <c r="F24" s="35">
        <v>131.69999999999999</v>
      </c>
      <c r="G24" s="33">
        <v>136.34</v>
      </c>
      <c r="H24" s="34">
        <v>33</v>
      </c>
      <c r="I24" s="53">
        <v>1.4E-2</v>
      </c>
      <c r="J24" s="53">
        <v>9.4399999999999998E-2</v>
      </c>
      <c r="K24" s="35">
        <v>2066258358.1800001</v>
      </c>
      <c r="L24" s="32">
        <f t="shared" si="1"/>
        <v>5.360979518871422E-2</v>
      </c>
      <c r="M24" s="35">
        <v>130</v>
      </c>
      <c r="N24" s="33">
        <v>134.56</v>
      </c>
      <c r="O24" s="34">
        <v>33</v>
      </c>
      <c r="P24" s="53">
        <v>-1.29E-2</v>
      </c>
      <c r="Q24" s="53">
        <v>8.0199999999999994E-2</v>
      </c>
      <c r="R24" s="59">
        <f t="shared" si="2"/>
        <v>-5.4653792860322424E-3</v>
      </c>
      <c r="S24" s="59">
        <f t="shared" si="3"/>
        <v>-1.3055596303359257E-2</v>
      </c>
      <c r="T24" s="59">
        <f t="shared" si="4"/>
        <v>0</v>
      </c>
      <c r="U24" s="60">
        <f t="shared" si="5"/>
        <v>-2.69E-2</v>
      </c>
      <c r="V24" s="61">
        <f t="shared" si="6"/>
        <v>-1.4200000000000004E-2</v>
      </c>
    </row>
    <row r="25" spans="1:22">
      <c r="A25" s="38"/>
      <c r="B25" s="39"/>
      <c r="C25" s="40" t="s">
        <v>53</v>
      </c>
      <c r="D25" s="41">
        <f>SUM(D6:D24)</f>
        <v>38501630325.360001</v>
      </c>
      <c r="E25" s="42">
        <f>(D25/$D$214)</f>
        <v>9.0177220021324563E-3</v>
      </c>
      <c r="F25" s="43"/>
      <c r="G25" s="44"/>
      <c r="H25" s="45">
        <f>SUM(H6:H24)</f>
        <v>51402</v>
      </c>
      <c r="I25" s="55"/>
      <c r="J25" s="34">
        <v>0</v>
      </c>
      <c r="K25" s="41">
        <f>SUM(K6:K24)</f>
        <v>38542552735.119995</v>
      </c>
      <c r="L25" s="42">
        <f>(K25/$K$214)</f>
        <v>8.954123820718923E-3</v>
      </c>
      <c r="M25" s="43"/>
      <c r="N25" s="44"/>
      <c r="O25" s="45">
        <f>SUM(O6:O24)</f>
        <v>51454</v>
      </c>
      <c r="P25" s="55"/>
      <c r="Q25" s="45"/>
      <c r="R25" s="59">
        <f t="shared" si="2"/>
        <v>1.0628747254123419E-3</v>
      </c>
      <c r="S25" s="59" t="e">
        <f t="shared" si="3"/>
        <v>#DIV/0!</v>
      </c>
      <c r="T25" s="59">
        <f t="shared" si="4"/>
        <v>1.0116337885685382E-3</v>
      </c>
      <c r="U25" s="60">
        <f t="shared" si="5"/>
        <v>0</v>
      </c>
      <c r="V25" s="61">
        <f t="shared" si="6"/>
        <v>0</v>
      </c>
    </row>
    <row r="26" spans="1:22" ht="4.5" customHeight="1">
      <c r="A26" s="38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</row>
    <row r="27" spans="1:22" ht="15" customHeight="1">
      <c r="A27" s="164" t="s">
        <v>54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</row>
    <row r="28" spans="1:22">
      <c r="A28" s="143">
        <v>20</v>
      </c>
      <c r="B28" s="140" t="s">
        <v>55</v>
      </c>
      <c r="C28" s="141" t="s">
        <v>19</v>
      </c>
      <c r="D28" s="47">
        <v>2287688586.0100002</v>
      </c>
      <c r="E28" s="32">
        <f>(D28/$K$66)</f>
        <v>1.1039378668663755E-3</v>
      </c>
      <c r="F28" s="33">
        <v>100</v>
      </c>
      <c r="G28" s="33">
        <v>100</v>
      </c>
      <c r="H28" s="34">
        <v>1166</v>
      </c>
      <c r="I28" s="53">
        <v>0.2041</v>
      </c>
      <c r="J28" s="53">
        <v>0.2041</v>
      </c>
      <c r="K28" s="47">
        <v>2287688586.0100002</v>
      </c>
      <c r="L28" s="32">
        <f t="shared" ref="L28:L65" si="19">(K28/$K$66)</f>
        <v>1.1039378668663755E-3</v>
      </c>
      <c r="M28" s="33">
        <v>100</v>
      </c>
      <c r="N28" s="33">
        <v>100</v>
      </c>
      <c r="O28" s="34">
        <v>1166</v>
      </c>
      <c r="P28" s="53">
        <v>0.2041</v>
      </c>
      <c r="Q28" s="53">
        <v>0.2041</v>
      </c>
      <c r="R28" s="59">
        <f>((K28-D28)/D28)</f>
        <v>0</v>
      </c>
      <c r="S28" s="59">
        <f>((N28-G28)/G28)</f>
        <v>0</v>
      </c>
      <c r="T28" s="59">
        <f>((O28-H28)/H28)</f>
        <v>0</v>
      </c>
      <c r="U28" s="60">
        <f>P28-I28</f>
        <v>0</v>
      </c>
      <c r="V28" s="61">
        <f>Q28-J28</f>
        <v>0</v>
      </c>
    </row>
    <row r="29" spans="1:22">
      <c r="A29" s="143">
        <v>21</v>
      </c>
      <c r="B29" s="140" t="s">
        <v>56</v>
      </c>
      <c r="C29" s="141" t="s">
        <v>57</v>
      </c>
      <c r="D29" s="47">
        <v>13886339673.700001</v>
      </c>
      <c r="E29" s="32">
        <f t="shared" ref="E29:E65" si="20">(D29/$K$66)</f>
        <v>6.7009366098656964E-3</v>
      </c>
      <c r="F29" s="33">
        <v>100</v>
      </c>
      <c r="G29" s="33">
        <v>100</v>
      </c>
      <c r="H29" s="34">
        <v>2266</v>
      </c>
      <c r="I29" s="53">
        <v>0.23180000000000001</v>
      </c>
      <c r="J29" s="53">
        <v>0.23180000000000001</v>
      </c>
      <c r="K29" s="47">
        <v>14348090587.66</v>
      </c>
      <c r="L29" s="32">
        <f t="shared" si="19"/>
        <v>6.9237572866386902E-3</v>
      </c>
      <c r="M29" s="33">
        <v>100</v>
      </c>
      <c r="N29" s="33">
        <v>100</v>
      </c>
      <c r="O29" s="34">
        <v>2295</v>
      </c>
      <c r="P29" s="53">
        <v>0.22667799999999999</v>
      </c>
      <c r="Q29" s="53">
        <v>0.22667799999999999</v>
      </c>
      <c r="R29" s="59">
        <f t="shared" ref="R29:R66" si="21">((K29-D29)/D29)</f>
        <v>3.3252169024392444E-2</v>
      </c>
      <c r="S29" s="59">
        <f t="shared" ref="S29:S66" si="22">((N29-G29)/G29)</f>
        <v>0</v>
      </c>
      <c r="T29" s="59">
        <f t="shared" ref="T29:T66" si="23">((O29-H29)/H29)</f>
        <v>1.2797881729920565E-2</v>
      </c>
      <c r="U29" s="60">
        <f t="shared" ref="U29:U66" si="24">P29-I29</f>
        <v>-5.1220000000000154E-3</v>
      </c>
      <c r="V29" s="61">
        <f t="shared" ref="V29:V66" si="25">Q29-J29</f>
        <v>-5.1220000000000154E-3</v>
      </c>
    </row>
    <row r="30" spans="1:22">
      <c r="A30" s="143">
        <v>22</v>
      </c>
      <c r="B30" s="140" t="s">
        <v>58</v>
      </c>
      <c r="C30" s="141" t="s">
        <v>21</v>
      </c>
      <c r="D30" s="47">
        <v>1411178942.6700001</v>
      </c>
      <c r="E30" s="32">
        <f t="shared" si="20"/>
        <v>6.8097287422102702E-4</v>
      </c>
      <c r="F30" s="33">
        <v>100</v>
      </c>
      <c r="G30" s="33">
        <v>100</v>
      </c>
      <c r="H30" s="34">
        <v>1859</v>
      </c>
      <c r="I30" s="53">
        <v>0.2369</v>
      </c>
      <c r="J30" s="53">
        <v>0.2369</v>
      </c>
      <c r="K30" s="47">
        <v>1495833737.51</v>
      </c>
      <c r="L30" s="32">
        <f t="shared" si="19"/>
        <v>7.2182355390146128E-4</v>
      </c>
      <c r="M30" s="33">
        <v>100</v>
      </c>
      <c r="N30" s="33">
        <v>100</v>
      </c>
      <c r="O30" s="34">
        <v>1876</v>
      </c>
      <c r="P30" s="53">
        <v>0.23480000000000001</v>
      </c>
      <c r="Q30" s="53">
        <v>0.23480000000000001</v>
      </c>
      <c r="R30" s="59">
        <f t="shared" si="21"/>
        <v>5.9988703260998262E-2</v>
      </c>
      <c r="S30" s="59">
        <f t="shared" si="22"/>
        <v>0</v>
      </c>
      <c r="T30" s="59">
        <f t="shared" si="23"/>
        <v>9.1447014523937595E-3</v>
      </c>
      <c r="U30" s="60">
        <f t="shared" si="24"/>
        <v>-2.0999999999999908E-3</v>
      </c>
      <c r="V30" s="61">
        <f t="shared" si="25"/>
        <v>-2.0999999999999908E-3</v>
      </c>
    </row>
    <row r="31" spans="1:22">
      <c r="A31" s="143">
        <v>23</v>
      </c>
      <c r="B31" s="140" t="s">
        <v>59</v>
      </c>
      <c r="C31" s="141" t="s">
        <v>23</v>
      </c>
      <c r="D31" s="47">
        <v>146761382482.91</v>
      </c>
      <c r="E31" s="32">
        <f t="shared" si="20"/>
        <v>7.0820586555059947E-2</v>
      </c>
      <c r="F31" s="33">
        <v>1</v>
      </c>
      <c r="G31" s="33">
        <v>1</v>
      </c>
      <c r="H31" s="34">
        <v>65853</v>
      </c>
      <c r="I31" s="53">
        <v>0.22720000000000001</v>
      </c>
      <c r="J31" s="53">
        <v>0.22720000000000001</v>
      </c>
      <c r="K31" s="47">
        <v>146111149167.41</v>
      </c>
      <c r="L31" s="32">
        <f t="shared" si="19"/>
        <v>7.0506812563412555E-2</v>
      </c>
      <c r="M31" s="33">
        <v>1</v>
      </c>
      <c r="N31" s="33">
        <v>1</v>
      </c>
      <c r="O31" s="34">
        <v>66113</v>
      </c>
      <c r="P31" s="53">
        <v>0.2301</v>
      </c>
      <c r="Q31" s="53">
        <v>0.2301</v>
      </c>
      <c r="R31" s="59">
        <f t="shared" si="21"/>
        <v>-4.4305477673986758E-3</v>
      </c>
      <c r="S31" s="59">
        <f t="shared" si="22"/>
        <v>0</v>
      </c>
      <c r="T31" s="59">
        <f t="shared" si="23"/>
        <v>3.9481876300244481E-3</v>
      </c>
      <c r="U31" s="60">
        <f t="shared" si="24"/>
        <v>2.8999999999999859E-3</v>
      </c>
      <c r="V31" s="61">
        <f t="shared" si="25"/>
        <v>2.8999999999999859E-3</v>
      </c>
    </row>
    <row r="32" spans="1:22">
      <c r="A32" s="143">
        <v>24</v>
      </c>
      <c r="B32" s="140" t="s">
        <v>60</v>
      </c>
      <c r="C32" s="141" t="s">
        <v>25</v>
      </c>
      <c r="D32" s="47">
        <v>96460077613.529999</v>
      </c>
      <c r="E32" s="32">
        <f t="shared" si="20"/>
        <v>4.6547389784450249E-2</v>
      </c>
      <c r="F32" s="33">
        <v>1</v>
      </c>
      <c r="G32" s="33">
        <v>1</v>
      </c>
      <c r="H32" s="34">
        <v>31733</v>
      </c>
      <c r="I32" s="53">
        <v>0.2099</v>
      </c>
      <c r="J32" s="53">
        <v>0.2099</v>
      </c>
      <c r="K32" s="47">
        <v>97635628963.970001</v>
      </c>
      <c r="L32" s="32">
        <f t="shared" si="19"/>
        <v>4.7114659148878926E-2</v>
      </c>
      <c r="M32" s="33">
        <v>1</v>
      </c>
      <c r="N32" s="33">
        <v>1</v>
      </c>
      <c r="O32" s="34">
        <v>31822</v>
      </c>
      <c r="P32" s="53">
        <v>0.21329999999999999</v>
      </c>
      <c r="Q32" s="53">
        <v>0.21329999999999999</v>
      </c>
      <c r="R32" s="59">
        <f t="shared" si="21"/>
        <v>1.2186921050902341E-2</v>
      </c>
      <c r="S32" s="59">
        <f t="shared" si="22"/>
        <v>0</v>
      </c>
      <c r="T32" s="59">
        <f t="shared" si="23"/>
        <v>2.8046513093624931E-3</v>
      </c>
      <c r="U32" s="60">
        <f t="shared" si="24"/>
        <v>3.3999999999999864E-3</v>
      </c>
      <c r="V32" s="61">
        <f t="shared" si="25"/>
        <v>3.3999999999999864E-3</v>
      </c>
    </row>
    <row r="33" spans="1:22">
      <c r="A33" s="143">
        <v>25</v>
      </c>
      <c r="B33" s="140" t="s">
        <v>292</v>
      </c>
      <c r="C33" s="141" t="s">
        <v>27</v>
      </c>
      <c r="D33" s="35">
        <v>3512433100.3600001</v>
      </c>
      <c r="E33" s="32">
        <f t="shared" ref="E33" si="26">(D33/$D$25)</f>
        <v>9.1228165422554949E-2</v>
      </c>
      <c r="F33" s="35">
        <v>1</v>
      </c>
      <c r="G33" s="35">
        <v>1</v>
      </c>
      <c r="H33" s="34">
        <v>518</v>
      </c>
      <c r="I33" s="53">
        <v>0.217</v>
      </c>
      <c r="J33" s="53">
        <v>0.217</v>
      </c>
      <c r="K33" s="35">
        <v>3759237215.3600001</v>
      </c>
      <c r="L33" s="32">
        <f t="shared" ref="L33" si="27">(K33/$K$25)</f>
        <v>9.7534723275725876E-2</v>
      </c>
      <c r="M33" s="35">
        <v>1</v>
      </c>
      <c r="N33" s="35">
        <v>1</v>
      </c>
      <c r="O33" s="34">
        <v>553</v>
      </c>
      <c r="P33" s="53">
        <v>0.21</v>
      </c>
      <c r="Q33" s="53">
        <v>0.21</v>
      </c>
      <c r="R33" s="59">
        <f t="shared" si="21"/>
        <v>7.0265855020755927E-2</v>
      </c>
      <c r="S33" s="59">
        <f t="shared" si="22"/>
        <v>0</v>
      </c>
      <c r="T33" s="59">
        <f t="shared" si="23"/>
        <v>6.7567567567567571E-2</v>
      </c>
      <c r="U33" s="60">
        <f t="shared" si="24"/>
        <v>-7.0000000000000062E-3</v>
      </c>
      <c r="V33" s="61">
        <f t="shared" si="25"/>
        <v>-7.0000000000000062E-3</v>
      </c>
    </row>
    <row r="34" spans="1:22" ht="15" customHeight="1">
      <c r="A34" s="143">
        <v>26</v>
      </c>
      <c r="B34" s="140" t="s">
        <v>61</v>
      </c>
      <c r="C34" s="141" t="s">
        <v>47</v>
      </c>
      <c r="D34" s="47">
        <v>15001908563</v>
      </c>
      <c r="E34" s="32">
        <f t="shared" si="20"/>
        <v>7.2392610774210673E-3</v>
      </c>
      <c r="F34" s="33">
        <v>100</v>
      </c>
      <c r="G34" s="33">
        <v>100</v>
      </c>
      <c r="H34" s="34">
        <v>2083</v>
      </c>
      <c r="I34" s="53">
        <v>0.23630000000000001</v>
      </c>
      <c r="J34" s="53">
        <v>0.23630000000000001</v>
      </c>
      <c r="K34" s="47">
        <v>14894976106.110001</v>
      </c>
      <c r="L34" s="32">
        <f t="shared" si="19"/>
        <v>7.1876601781204266E-3</v>
      </c>
      <c r="M34" s="33">
        <v>100</v>
      </c>
      <c r="N34" s="33">
        <v>100</v>
      </c>
      <c r="O34" s="34">
        <v>2083</v>
      </c>
      <c r="P34" s="53">
        <v>0.23630000000000001</v>
      </c>
      <c r="Q34" s="53">
        <v>0.23630000000000001</v>
      </c>
      <c r="R34" s="59">
        <f t="shared" si="21"/>
        <v>-7.1279235199268286E-3</v>
      </c>
      <c r="S34" s="59">
        <f t="shared" si="22"/>
        <v>0</v>
      </c>
      <c r="T34" s="59">
        <f t="shared" si="23"/>
        <v>0</v>
      </c>
      <c r="U34" s="60">
        <f t="shared" si="24"/>
        <v>0</v>
      </c>
      <c r="V34" s="61">
        <f t="shared" si="25"/>
        <v>0</v>
      </c>
    </row>
    <row r="35" spans="1:22" ht="15" customHeight="1">
      <c r="A35" s="143">
        <v>27</v>
      </c>
      <c r="B35" s="140" t="s">
        <v>62</v>
      </c>
      <c r="C35" s="141" t="s">
        <v>63</v>
      </c>
      <c r="D35" s="47">
        <v>415399826.22000003</v>
      </c>
      <c r="E35" s="32">
        <f t="shared" si="20"/>
        <v>2.0045368100287636E-4</v>
      </c>
      <c r="F35" s="33">
        <v>1</v>
      </c>
      <c r="G35" s="33">
        <v>1</v>
      </c>
      <c r="H35" s="34">
        <v>334</v>
      </c>
      <c r="I35" s="53">
        <v>0.215</v>
      </c>
      <c r="J35" s="53">
        <v>0.215</v>
      </c>
      <c r="K35" s="47">
        <v>494800282.88</v>
      </c>
      <c r="L35" s="32">
        <f t="shared" si="19"/>
        <v>2.3876884823738795E-4</v>
      </c>
      <c r="M35" s="33">
        <v>1</v>
      </c>
      <c r="N35" s="33">
        <v>1</v>
      </c>
      <c r="O35" s="34">
        <v>344</v>
      </c>
      <c r="P35" s="53">
        <v>0.20699999999999999</v>
      </c>
      <c r="Q35" s="53">
        <v>0.20699999999999999</v>
      </c>
      <c r="R35" s="59">
        <f t="shared" si="21"/>
        <v>0.19114224813842043</v>
      </c>
      <c r="S35" s="59">
        <f t="shared" si="22"/>
        <v>0</v>
      </c>
      <c r="T35" s="59">
        <f t="shared" si="23"/>
        <v>2.9940119760479042E-2</v>
      </c>
      <c r="U35" s="60">
        <f t="shared" si="24"/>
        <v>-8.0000000000000071E-3</v>
      </c>
      <c r="V35" s="61">
        <f t="shared" si="25"/>
        <v>-8.0000000000000071E-3</v>
      </c>
    </row>
    <row r="36" spans="1:22">
      <c r="A36" s="143">
        <v>28</v>
      </c>
      <c r="B36" s="140" t="s">
        <v>64</v>
      </c>
      <c r="C36" s="141" t="s">
        <v>65</v>
      </c>
      <c r="D36" s="47">
        <v>39194285948.009995</v>
      </c>
      <c r="E36" s="32">
        <f t="shared" si="20"/>
        <v>1.8913438082174255E-2</v>
      </c>
      <c r="F36" s="33">
        <v>100</v>
      </c>
      <c r="G36" s="33">
        <v>100</v>
      </c>
      <c r="H36" s="34">
        <v>3637</v>
      </c>
      <c r="I36" s="53">
        <v>0.228752866600514</v>
      </c>
      <c r="J36" s="53">
        <v>0.228752866600514</v>
      </c>
      <c r="K36" s="47">
        <v>38525799459.260002</v>
      </c>
      <c r="L36" s="32">
        <f t="shared" si="19"/>
        <v>1.8590855912147885E-2</v>
      </c>
      <c r="M36" s="33">
        <v>100</v>
      </c>
      <c r="N36" s="33">
        <v>100</v>
      </c>
      <c r="O36" s="34">
        <v>3682</v>
      </c>
      <c r="P36" s="53">
        <v>0.23232022465393401</v>
      </c>
      <c r="Q36" s="53">
        <v>0.23232022465393401</v>
      </c>
      <c r="R36" s="59">
        <f t="shared" si="21"/>
        <v>-1.7055712907660035E-2</v>
      </c>
      <c r="S36" s="59">
        <f t="shared" si="22"/>
        <v>0</v>
      </c>
      <c r="T36" s="59">
        <f t="shared" si="23"/>
        <v>1.2372834753918064E-2</v>
      </c>
      <c r="U36" s="60">
        <f t="shared" si="24"/>
        <v>3.5673580534200111E-3</v>
      </c>
      <c r="V36" s="61">
        <f t="shared" si="25"/>
        <v>3.5673580534200111E-3</v>
      </c>
    </row>
    <row r="37" spans="1:22">
      <c r="A37" s="143">
        <v>29</v>
      </c>
      <c r="B37" s="140" t="s">
        <v>66</v>
      </c>
      <c r="C37" s="141" t="s">
        <v>67</v>
      </c>
      <c r="D37" s="47">
        <v>18960644349.200001</v>
      </c>
      <c r="E37" s="32">
        <f t="shared" si="20"/>
        <v>9.1495728069241437E-3</v>
      </c>
      <c r="F37" s="33">
        <v>100</v>
      </c>
      <c r="G37" s="33">
        <v>100</v>
      </c>
      <c r="H37" s="34">
        <v>6629</v>
      </c>
      <c r="I37" s="53">
        <v>0.22509999999999999</v>
      </c>
      <c r="J37" s="53">
        <v>0.22509999999999999</v>
      </c>
      <c r="K37" s="47">
        <v>18828077450.950001</v>
      </c>
      <c r="L37" s="32">
        <f t="shared" si="19"/>
        <v>9.0856018539866908E-3</v>
      </c>
      <c r="M37" s="33">
        <v>100</v>
      </c>
      <c r="N37" s="33">
        <v>100</v>
      </c>
      <c r="O37" s="34">
        <v>6664</v>
      </c>
      <c r="P37" s="53">
        <v>0.23100000000000001</v>
      </c>
      <c r="Q37" s="53">
        <v>0.23100000000000001</v>
      </c>
      <c r="R37" s="59">
        <f t="shared" si="21"/>
        <v>-6.9916874030493247E-3</v>
      </c>
      <c r="S37" s="59">
        <f t="shared" si="22"/>
        <v>0</v>
      </c>
      <c r="T37" s="59">
        <f t="shared" si="23"/>
        <v>5.279831045406547E-3</v>
      </c>
      <c r="U37" s="60">
        <f t="shared" si="24"/>
        <v>5.9000000000000163E-3</v>
      </c>
      <c r="V37" s="61">
        <f t="shared" si="25"/>
        <v>5.9000000000000163E-3</v>
      </c>
    </row>
    <row r="38" spans="1:22">
      <c r="A38" s="143">
        <v>30</v>
      </c>
      <c r="B38" s="140" t="s">
        <v>68</v>
      </c>
      <c r="C38" s="141" t="s">
        <v>69</v>
      </c>
      <c r="D38" s="47">
        <v>44514190.369999997</v>
      </c>
      <c r="E38" s="32">
        <f t="shared" si="20"/>
        <v>2.1480589911955236E-5</v>
      </c>
      <c r="F38" s="33">
        <v>100</v>
      </c>
      <c r="G38" s="33">
        <v>100</v>
      </c>
      <c r="H38" s="34">
        <v>0</v>
      </c>
      <c r="I38" s="53">
        <v>0</v>
      </c>
      <c r="J38" s="53">
        <v>0</v>
      </c>
      <c r="K38" s="47">
        <v>44514190.369999997</v>
      </c>
      <c r="L38" s="32">
        <f t="shared" si="19"/>
        <v>2.1480589911955236E-5</v>
      </c>
      <c r="M38" s="33">
        <v>100</v>
      </c>
      <c r="N38" s="33">
        <v>100</v>
      </c>
      <c r="O38" s="34">
        <v>0</v>
      </c>
      <c r="P38" s="53">
        <v>0</v>
      </c>
      <c r="Q38" s="53">
        <v>0</v>
      </c>
      <c r="R38" s="59">
        <f t="shared" si="21"/>
        <v>0</v>
      </c>
      <c r="S38" s="59">
        <f t="shared" si="22"/>
        <v>0</v>
      </c>
      <c r="T38" s="59" t="e">
        <f t="shared" si="23"/>
        <v>#DIV/0!</v>
      </c>
      <c r="U38" s="60">
        <f t="shared" si="24"/>
        <v>0</v>
      </c>
      <c r="V38" s="61">
        <f t="shared" si="25"/>
        <v>0</v>
      </c>
    </row>
    <row r="39" spans="1:22">
      <c r="A39" s="143">
        <v>31</v>
      </c>
      <c r="B39" s="140" t="s">
        <v>70</v>
      </c>
      <c r="C39" s="141" t="s">
        <v>303</v>
      </c>
      <c r="D39" s="47">
        <v>16156956300.059999</v>
      </c>
      <c r="E39" s="32">
        <f t="shared" si="20"/>
        <v>7.7966363000700452E-3</v>
      </c>
      <c r="F39" s="33">
        <v>1</v>
      </c>
      <c r="G39" s="33">
        <v>1</v>
      </c>
      <c r="H39" s="34">
        <v>4290</v>
      </c>
      <c r="I39" s="53">
        <v>0.2271</v>
      </c>
      <c r="J39" s="53">
        <v>0.2271</v>
      </c>
      <c r="K39" s="47">
        <v>15235259711.540001</v>
      </c>
      <c r="L39" s="32">
        <f t="shared" si="19"/>
        <v>7.3518660756386614E-3</v>
      </c>
      <c r="M39" s="33">
        <v>1</v>
      </c>
      <c r="N39" s="33">
        <v>1</v>
      </c>
      <c r="O39" s="34">
        <v>4426</v>
      </c>
      <c r="P39" s="53">
        <v>0.21249999999999999</v>
      </c>
      <c r="Q39" s="53">
        <v>0.21249999999999999</v>
      </c>
      <c r="R39" s="59">
        <f t="shared" si="21"/>
        <v>-5.7046424549441643E-2</v>
      </c>
      <c r="S39" s="59">
        <f t="shared" si="22"/>
        <v>0</v>
      </c>
      <c r="T39" s="59">
        <f t="shared" si="23"/>
        <v>3.1701631701631705E-2</v>
      </c>
      <c r="U39" s="60">
        <f t="shared" si="24"/>
        <v>-1.4600000000000002E-2</v>
      </c>
      <c r="V39" s="61">
        <f t="shared" si="25"/>
        <v>-1.4600000000000002E-2</v>
      </c>
    </row>
    <row r="40" spans="1:22">
      <c r="A40" s="143">
        <v>32</v>
      </c>
      <c r="B40" s="140" t="s">
        <v>71</v>
      </c>
      <c r="C40" s="141" t="s">
        <v>72</v>
      </c>
      <c r="D40" s="47">
        <v>34660986731.07</v>
      </c>
      <c r="E40" s="32">
        <f t="shared" si="20"/>
        <v>1.6725867318382423E-2</v>
      </c>
      <c r="F40" s="48">
        <v>100</v>
      </c>
      <c r="G40" s="48">
        <v>100</v>
      </c>
      <c r="H40" s="34">
        <v>3192</v>
      </c>
      <c r="I40" s="53">
        <v>0.22</v>
      </c>
      <c r="J40" s="53">
        <v>0.22</v>
      </c>
      <c r="K40" s="47">
        <v>34972761326.82</v>
      </c>
      <c r="L40" s="32">
        <f t="shared" si="19"/>
        <v>1.6876316022056585E-2</v>
      </c>
      <c r="M40" s="48">
        <v>100</v>
      </c>
      <c r="N40" s="48">
        <v>100</v>
      </c>
      <c r="O40" s="34">
        <v>3192</v>
      </c>
      <c r="P40" s="53">
        <v>0.21149999999999999</v>
      </c>
      <c r="Q40" s="53">
        <v>0.21149999999999999</v>
      </c>
      <c r="R40" s="59">
        <f t="shared" si="21"/>
        <v>8.9949717291379419E-3</v>
      </c>
      <c r="S40" s="59">
        <f t="shared" si="22"/>
        <v>0</v>
      </c>
      <c r="T40" s="59">
        <f t="shared" si="23"/>
        <v>0</v>
      </c>
      <c r="U40" s="60">
        <f t="shared" si="24"/>
        <v>-8.5000000000000075E-3</v>
      </c>
      <c r="V40" s="61">
        <f t="shared" si="25"/>
        <v>-8.5000000000000075E-3</v>
      </c>
    </row>
    <row r="41" spans="1:22">
      <c r="A41" s="143">
        <v>33</v>
      </c>
      <c r="B41" s="140" t="s">
        <v>73</v>
      </c>
      <c r="C41" s="141" t="s">
        <v>72</v>
      </c>
      <c r="D41" s="47">
        <v>2683056149.7399998</v>
      </c>
      <c r="E41" s="32">
        <f t="shared" si="20"/>
        <v>1.2947248592924258E-3</v>
      </c>
      <c r="F41" s="48">
        <v>1000000</v>
      </c>
      <c r="G41" s="48">
        <v>1000000</v>
      </c>
      <c r="H41" s="34">
        <v>12</v>
      </c>
      <c r="I41" s="53">
        <v>0.23</v>
      </c>
      <c r="J41" s="53">
        <v>0.23</v>
      </c>
      <c r="K41" s="47">
        <v>3734626762.9699998</v>
      </c>
      <c r="L41" s="32">
        <f t="shared" si="19"/>
        <v>1.8021665743613393E-3</v>
      </c>
      <c r="M41" s="48">
        <v>1000000</v>
      </c>
      <c r="N41" s="48">
        <v>1000000</v>
      </c>
      <c r="O41" s="34">
        <v>12</v>
      </c>
      <c r="P41" s="53">
        <v>0.17530000000000001</v>
      </c>
      <c r="Q41" s="53">
        <v>0.17530000000000001</v>
      </c>
      <c r="R41" s="59">
        <f t="shared" si="21"/>
        <v>0.39193015521941349</v>
      </c>
      <c r="S41" s="59">
        <f t="shared" si="22"/>
        <v>0</v>
      </c>
      <c r="T41" s="59">
        <f t="shared" si="23"/>
        <v>0</v>
      </c>
      <c r="U41" s="60">
        <f t="shared" si="24"/>
        <v>-5.4699999999999999E-2</v>
      </c>
      <c r="V41" s="61">
        <f t="shared" si="25"/>
        <v>-5.4699999999999999E-2</v>
      </c>
    </row>
    <row r="42" spans="1:22">
      <c r="A42" s="143">
        <v>34</v>
      </c>
      <c r="B42" s="140" t="s">
        <v>74</v>
      </c>
      <c r="C42" s="141" t="s">
        <v>75</v>
      </c>
      <c r="D42" s="47">
        <v>3803688206.6999998</v>
      </c>
      <c r="E42" s="32">
        <f t="shared" si="20"/>
        <v>1.8354925888111379E-3</v>
      </c>
      <c r="F42" s="33">
        <v>1</v>
      </c>
      <c r="G42" s="33">
        <v>1</v>
      </c>
      <c r="H42" s="34">
        <v>841</v>
      </c>
      <c r="I42" s="53">
        <v>0.22159999999999999</v>
      </c>
      <c r="J42" s="53">
        <v>0.22159999999999999</v>
      </c>
      <c r="K42" s="47">
        <v>3973726437.4000001</v>
      </c>
      <c r="L42" s="32">
        <f t="shared" si="19"/>
        <v>1.9175455582723714E-3</v>
      </c>
      <c r="M42" s="33">
        <v>1</v>
      </c>
      <c r="N42" s="33">
        <v>1</v>
      </c>
      <c r="O42" s="34">
        <v>849</v>
      </c>
      <c r="P42" s="53">
        <v>0.22500000000000001</v>
      </c>
      <c r="Q42" s="53">
        <v>0.22500000000000001</v>
      </c>
      <c r="R42" s="59">
        <f t="shared" si="21"/>
        <v>4.4703514446974582E-2</v>
      </c>
      <c r="S42" s="59">
        <f t="shared" si="22"/>
        <v>0</v>
      </c>
      <c r="T42" s="59">
        <f t="shared" si="23"/>
        <v>9.512485136741973E-3</v>
      </c>
      <c r="U42" s="60">
        <f t="shared" si="24"/>
        <v>3.4000000000000141E-3</v>
      </c>
      <c r="V42" s="61">
        <f t="shared" si="25"/>
        <v>3.4000000000000141E-3</v>
      </c>
    </row>
    <row r="43" spans="1:22">
      <c r="A43" s="143">
        <v>35</v>
      </c>
      <c r="B43" s="140" t="s">
        <v>76</v>
      </c>
      <c r="C43" s="141" t="s">
        <v>31</v>
      </c>
      <c r="D43" s="47">
        <v>402241600658.01001</v>
      </c>
      <c r="E43" s="32">
        <f t="shared" si="20"/>
        <v>0.19410410023061545</v>
      </c>
      <c r="F43" s="33">
        <v>100</v>
      </c>
      <c r="G43" s="33">
        <v>100</v>
      </c>
      <c r="H43" s="34">
        <v>15957</v>
      </c>
      <c r="I43" s="53">
        <v>0.22559999999999999</v>
      </c>
      <c r="J43" s="53">
        <v>0.22559999999999999</v>
      </c>
      <c r="K43" s="47">
        <v>405579119722.42999</v>
      </c>
      <c r="L43" s="32">
        <f t="shared" si="19"/>
        <v>0.19571464010004222</v>
      </c>
      <c r="M43" s="33">
        <v>100</v>
      </c>
      <c r="N43" s="33">
        <v>100</v>
      </c>
      <c r="O43" s="34">
        <v>16144</v>
      </c>
      <c r="P43" s="53">
        <v>0.22370000000000001</v>
      </c>
      <c r="Q43" s="53">
        <v>0.22370000000000001</v>
      </c>
      <c r="R43" s="59">
        <f t="shared" si="21"/>
        <v>8.2972995805512817E-3</v>
      </c>
      <c r="S43" s="59">
        <f t="shared" si="22"/>
        <v>0</v>
      </c>
      <c r="T43" s="59">
        <f t="shared" si="23"/>
        <v>1.1718994798521025E-2</v>
      </c>
      <c r="U43" s="60">
        <f t="shared" si="24"/>
        <v>-1.899999999999985E-3</v>
      </c>
      <c r="V43" s="61">
        <f t="shared" si="25"/>
        <v>-1.899999999999985E-3</v>
      </c>
    </row>
    <row r="44" spans="1:22">
      <c r="A44" s="143">
        <v>36</v>
      </c>
      <c r="B44" s="140" t="s">
        <v>77</v>
      </c>
      <c r="C44" s="141" t="s">
        <v>78</v>
      </c>
      <c r="D44" s="47">
        <v>1345973570.6300001</v>
      </c>
      <c r="E44" s="32">
        <f t="shared" si="20"/>
        <v>6.4950763032451742E-4</v>
      </c>
      <c r="F44" s="33">
        <v>1</v>
      </c>
      <c r="G44" s="33">
        <v>1</v>
      </c>
      <c r="H44" s="49">
        <v>985</v>
      </c>
      <c r="I44" s="56">
        <v>1.1999999999999999E-3</v>
      </c>
      <c r="J44" s="56">
        <v>-9.9000000000000008E-3</v>
      </c>
      <c r="K44" s="47">
        <v>1396399009.3399999</v>
      </c>
      <c r="L44" s="32">
        <f t="shared" si="19"/>
        <v>6.7384072862545672E-4</v>
      </c>
      <c r="M44" s="33">
        <v>1</v>
      </c>
      <c r="N44" s="33">
        <v>1</v>
      </c>
      <c r="O44" s="49">
        <v>1007</v>
      </c>
      <c r="P44" s="56">
        <v>0.20050000000000001</v>
      </c>
      <c r="Q44" s="56">
        <v>0.20050000000000001</v>
      </c>
      <c r="R44" s="59">
        <f t="shared" si="21"/>
        <v>3.7463914455911289E-2</v>
      </c>
      <c r="S44" s="59">
        <f t="shared" si="22"/>
        <v>0</v>
      </c>
      <c r="T44" s="59">
        <f t="shared" si="23"/>
        <v>2.2335025380710659E-2</v>
      </c>
      <c r="U44" s="60">
        <f t="shared" si="24"/>
        <v>0.1993</v>
      </c>
      <c r="V44" s="61">
        <f t="shared" si="25"/>
        <v>0.2104</v>
      </c>
    </row>
    <row r="45" spans="1:22">
      <c r="A45" s="143">
        <v>37</v>
      </c>
      <c r="B45" s="140" t="s">
        <v>79</v>
      </c>
      <c r="C45" s="141" t="s">
        <v>80</v>
      </c>
      <c r="D45" s="47">
        <v>718738069.0695504</v>
      </c>
      <c r="E45" s="32">
        <f t="shared" si="20"/>
        <v>3.4683137191681942E-4</v>
      </c>
      <c r="F45" s="33">
        <v>10</v>
      </c>
      <c r="G45" s="33">
        <v>10</v>
      </c>
      <c r="H45" s="34">
        <v>418</v>
      </c>
      <c r="I45" s="53">
        <v>0.16239999999999999</v>
      </c>
      <c r="J45" s="53">
        <v>0.16239999999999999</v>
      </c>
      <c r="K45" s="47">
        <v>730743111.44000006</v>
      </c>
      <c r="L45" s="32">
        <f t="shared" si="19"/>
        <v>3.5262447721407018E-4</v>
      </c>
      <c r="M45" s="33">
        <v>10</v>
      </c>
      <c r="N45" s="33">
        <v>10</v>
      </c>
      <c r="O45" s="34">
        <v>424</v>
      </c>
      <c r="P45" s="53">
        <v>0.17560000000000001</v>
      </c>
      <c r="Q45" s="53">
        <v>0.17560000000000001</v>
      </c>
      <c r="R45" s="59">
        <f t="shared" si="21"/>
        <v>1.6702944907302477E-2</v>
      </c>
      <c r="S45" s="59">
        <f t="shared" si="22"/>
        <v>0</v>
      </c>
      <c r="T45" s="59">
        <f t="shared" si="23"/>
        <v>1.4354066985645933E-2</v>
      </c>
      <c r="U45" s="60">
        <f t="shared" si="24"/>
        <v>1.3200000000000017E-2</v>
      </c>
      <c r="V45" s="61">
        <f t="shared" si="25"/>
        <v>1.3200000000000017E-2</v>
      </c>
    </row>
    <row r="46" spans="1:22">
      <c r="A46" s="143">
        <v>38</v>
      </c>
      <c r="B46" s="140" t="s">
        <v>81</v>
      </c>
      <c r="C46" s="141" t="s">
        <v>82</v>
      </c>
      <c r="D46" s="47">
        <v>5854512062.3599997</v>
      </c>
      <c r="E46" s="32">
        <f t="shared" si="20"/>
        <v>2.8251299574551928E-3</v>
      </c>
      <c r="F46" s="33">
        <v>100</v>
      </c>
      <c r="G46" s="33">
        <v>100</v>
      </c>
      <c r="H46" s="34">
        <v>849</v>
      </c>
      <c r="I46" s="53">
        <v>0.2044</v>
      </c>
      <c r="J46" s="53">
        <v>0.2044</v>
      </c>
      <c r="K46" s="47">
        <v>5913814102.1800003</v>
      </c>
      <c r="L46" s="32">
        <f t="shared" si="19"/>
        <v>2.8537465129339686E-3</v>
      </c>
      <c r="M46" s="33">
        <v>100</v>
      </c>
      <c r="N46" s="33">
        <v>100</v>
      </c>
      <c r="O46" s="34">
        <v>849</v>
      </c>
      <c r="P46" s="53">
        <v>0.2044</v>
      </c>
      <c r="Q46" s="53">
        <v>0.2044</v>
      </c>
      <c r="R46" s="59">
        <f t="shared" si="21"/>
        <v>1.0129288177791461E-2</v>
      </c>
      <c r="S46" s="59">
        <f t="shared" si="22"/>
        <v>0</v>
      </c>
      <c r="T46" s="59">
        <f t="shared" si="23"/>
        <v>0</v>
      </c>
      <c r="U46" s="60">
        <f t="shared" si="24"/>
        <v>0</v>
      </c>
      <c r="V46" s="61">
        <f t="shared" si="25"/>
        <v>0</v>
      </c>
    </row>
    <row r="47" spans="1:22">
      <c r="A47" s="143">
        <v>39</v>
      </c>
      <c r="B47" s="140" t="s">
        <v>83</v>
      </c>
      <c r="C47" s="140" t="s">
        <v>84</v>
      </c>
      <c r="D47" s="152">
        <v>84652931.198343799</v>
      </c>
      <c r="E47" s="32">
        <f>(D47/$D$182)</f>
        <v>1.4532030216994087E-3</v>
      </c>
      <c r="F47" s="35">
        <v>1</v>
      </c>
      <c r="G47" s="35">
        <v>1</v>
      </c>
      <c r="H47" s="34">
        <v>57</v>
      </c>
      <c r="I47" s="53">
        <v>3.0000000000000001E-3</v>
      </c>
      <c r="J47" s="53">
        <v>0.16314909845782599</v>
      </c>
      <c r="K47" s="152">
        <v>84915543.082215995</v>
      </c>
      <c r="L47" s="57">
        <f>(K47/$K$182)</f>
        <v>1.4625484410046362E-3</v>
      </c>
      <c r="M47" s="35">
        <v>1</v>
      </c>
      <c r="N47" s="35">
        <v>1</v>
      </c>
      <c r="O47" s="34">
        <v>57</v>
      </c>
      <c r="P47" s="53">
        <v>0.16350000000000001</v>
      </c>
      <c r="Q47" s="53">
        <v>0.16350000000000001</v>
      </c>
      <c r="R47" s="60">
        <f t="shared" si="21"/>
        <v>3.1022184365582131E-3</v>
      </c>
      <c r="S47" s="60">
        <f t="shared" si="22"/>
        <v>0</v>
      </c>
      <c r="T47" s="60">
        <f t="shared" si="23"/>
        <v>0</v>
      </c>
      <c r="U47" s="60">
        <f t="shared" si="24"/>
        <v>0.1605</v>
      </c>
      <c r="V47" s="61">
        <f t="shared" si="25"/>
        <v>3.509015421740147E-4</v>
      </c>
    </row>
    <row r="48" spans="1:22">
      <c r="A48" s="143">
        <v>40</v>
      </c>
      <c r="B48" s="140" t="s">
        <v>291</v>
      </c>
      <c r="C48" s="141" t="s">
        <v>37</v>
      </c>
      <c r="D48" s="47">
        <v>238325907.56999999</v>
      </c>
      <c r="E48" s="32">
        <f t="shared" ref="E48" si="28">(D48/$K$66)</f>
        <v>1.1500559806555274E-4</v>
      </c>
      <c r="F48" s="33">
        <v>1</v>
      </c>
      <c r="G48" s="33">
        <v>1</v>
      </c>
      <c r="H48" s="34">
        <v>1140</v>
      </c>
      <c r="I48" s="53">
        <v>0.21153195</v>
      </c>
      <c r="J48" s="53">
        <v>0.21153195</v>
      </c>
      <c r="K48" s="47">
        <v>290917762.86000001</v>
      </c>
      <c r="L48" s="32">
        <f t="shared" ref="L48" si="29">(K48/$K$66)</f>
        <v>1.4038411369850785E-4</v>
      </c>
      <c r="M48" s="33">
        <v>1</v>
      </c>
      <c r="N48" s="33">
        <v>1</v>
      </c>
      <c r="O48" s="34">
        <v>1248</v>
      </c>
      <c r="P48" s="53">
        <v>0.19652676999999999</v>
      </c>
      <c r="Q48" s="53">
        <v>0.19652676999999999</v>
      </c>
      <c r="R48" s="59">
        <f t="shared" ref="R48" si="30">((K48-D48)/D48)</f>
        <v>0.22067200257929567</v>
      </c>
      <c r="S48" s="59">
        <f t="shared" ref="S48" si="31">((N48-G48)/G48)</f>
        <v>0</v>
      </c>
      <c r="T48" s="59">
        <f t="shared" ref="T48" si="32">((O48-H48)/H48)</f>
        <v>9.4736842105263161E-2</v>
      </c>
      <c r="U48" s="60">
        <f t="shared" ref="U48" si="33">P48-I48</f>
        <v>-1.5005180000000007E-2</v>
      </c>
      <c r="V48" s="61">
        <f t="shared" ref="V48" si="34">Q48-J48</f>
        <v>-1.5005180000000007E-2</v>
      </c>
    </row>
    <row r="49" spans="1:22">
      <c r="A49" s="143">
        <v>41</v>
      </c>
      <c r="B49" s="140" t="s">
        <v>85</v>
      </c>
      <c r="C49" s="141" t="s">
        <v>37</v>
      </c>
      <c r="D49" s="47">
        <v>58047249969.93</v>
      </c>
      <c r="E49" s="32">
        <f t="shared" si="20"/>
        <v>2.8011049100449412E-2</v>
      </c>
      <c r="F49" s="33">
        <v>100</v>
      </c>
      <c r="G49" s="33">
        <v>100</v>
      </c>
      <c r="H49" s="34">
        <v>13063</v>
      </c>
      <c r="I49" s="53">
        <v>0.20959997999999999</v>
      </c>
      <c r="J49" s="53">
        <v>0.20959997999999999</v>
      </c>
      <c r="K49" s="47">
        <v>57815955987.160004</v>
      </c>
      <c r="L49" s="32">
        <f t="shared" si="19"/>
        <v>2.7899436799929317E-2</v>
      </c>
      <c r="M49" s="33">
        <v>100</v>
      </c>
      <c r="N49" s="33">
        <v>100</v>
      </c>
      <c r="O49" s="34">
        <v>12791</v>
      </c>
      <c r="P49" s="53">
        <v>0.20400024999999999</v>
      </c>
      <c r="Q49" s="53">
        <v>0.20400024999999999</v>
      </c>
      <c r="R49" s="59">
        <f t="shared" si="21"/>
        <v>-3.9845812314935336E-3</v>
      </c>
      <c r="S49" s="59">
        <f t="shared" si="22"/>
        <v>0</v>
      </c>
      <c r="T49" s="59">
        <f t="shared" si="23"/>
        <v>-2.0822169486335453E-2</v>
      </c>
      <c r="U49" s="60">
        <f t="shared" si="24"/>
        <v>-5.5997299999999972E-3</v>
      </c>
      <c r="V49" s="61">
        <f t="shared" si="25"/>
        <v>-5.5997299999999972E-3</v>
      </c>
    </row>
    <row r="50" spans="1:22">
      <c r="A50" s="143">
        <v>42</v>
      </c>
      <c r="B50" s="140" t="s">
        <v>86</v>
      </c>
      <c r="C50" s="141" t="s">
        <v>41</v>
      </c>
      <c r="D50" s="47">
        <v>10522969280.99</v>
      </c>
      <c r="E50" s="32">
        <f t="shared" si="20"/>
        <v>5.0779220267114259E-3</v>
      </c>
      <c r="F50" s="33">
        <v>1</v>
      </c>
      <c r="G50" s="33">
        <v>1</v>
      </c>
      <c r="H50" s="34">
        <v>1311</v>
      </c>
      <c r="I50" s="53">
        <v>0.2515</v>
      </c>
      <c r="J50" s="53">
        <v>0.2515</v>
      </c>
      <c r="K50" s="47">
        <v>10869152561.91</v>
      </c>
      <c r="L50" s="32">
        <f t="shared" si="19"/>
        <v>5.2449748480703721E-3</v>
      </c>
      <c r="M50" s="33">
        <v>1</v>
      </c>
      <c r="N50" s="33">
        <v>1</v>
      </c>
      <c r="O50" s="34">
        <v>1341</v>
      </c>
      <c r="P50" s="53">
        <v>0.21920000000000001</v>
      </c>
      <c r="Q50" s="53">
        <v>0.21920000000000001</v>
      </c>
      <c r="R50" s="59">
        <f t="shared" si="21"/>
        <v>3.2897870522665934E-2</v>
      </c>
      <c r="S50" s="59">
        <f t="shared" si="22"/>
        <v>0</v>
      </c>
      <c r="T50" s="59">
        <f t="shared" si="23"/>
        <v>2.2883295194508008E-2</v>
      </c>
      <c r="U50" s="60">
        <f t="shared" si="24"/>
        <v>-3.2299999999999995E-2</v>
      </c>
      <c r="V50" s="61">
        <f t="shared" si="25"/>
        <v>-3.2299999999999995E-2</v>
      </c>
    </row>
    <row r="51" spans="1:22">
      <c r="A51" s="143">
        <v>43</v>
      </c>
      <c r="B51" s="140" t="s">
        <v>87</v>
      </c>
      <c r="C51" s="141" t="s">
        <v>43</v>
      </c>
      <c r="D51" s="50">
        <v>23917087273.260002</v>
      </c>
      <c r="E51" s="32">
        <f t="shared" si="20"/>
        <v>1.1541334107956321E-2</v>
      </c>
      <c r="F51" s="33">
        <v>10</v>
      </c>
      <c r="G51" s="33">
        <v>10</v>
      </c>
      <c r="H51" s="34">
        <v>3632</v>
      </c>
      <c r="I51" s="53">
        <v>0.24129999999999999</v>
      </c>
      <c r="J51" s="53">
        <v>0.24129999999999999</v>
      </c>
      <c r="K51" s="50">
        <v>23339114041.960003</v>
      </c>
      <c r="L51" s="32">
        <f t="shared" si="19"/>
        <v>1.1262429653928329E-2</v>
      </c>
      <c r="M51" s="33">
        <v>10</v>
      </c>
      <c r="N51" s="33">
        <v>10</v>
      </c>
      <c r="O51" s="34">
        <v>3677</v>
      </c>
      <c r="P51" s="53">
        <v>0.24379999999999999</v>
      </c>
      <c r="Q51" s="53">
        <v>0.24379999999999999</v>
      </c>
      <c r="R51" s="59">
        <f t="shared" si="21"/>
        <v>-2.4165703151745828E-2</v>
      </c>
      <c r="S51" s="59">
        <f t="shared" si="22"/>
        <v>0</v>
      </c>
      <c r="T51" s="59">
        <f t="shared" si="23"/>
        <v>1.2389867841409691E-2</v>
      </c>
      <c r="U51" s="60">
        <f t="shared" si="24"/>
        <v>2.5000000000000022E-3</v>
      </c>
      <c r="V51" s="61">
        <f t="shared" si="25"/>
        <v>2.5000000000000022E-3</v>
      </c>
    </row>
    <row r="52" spans="1:22">
      <c r="A52" s="143">
        <v>44</v>
      </c>
      <c r="B52" s="140" t="s">
        <v>88</v>
      </c>
      <c r="C52" s="141" t="s">
        <v>89</v>
      </c>
      <c r="D52" s="47">
        <v>13548192256</v>
      </c>
      <c r="E52" s="32">
        <f t="shared" si="20"/>
        <v>6.5377615425663569E-3</v>
      </c>
      <c r="F52" s="33">
        <v>100</v>
      </c>
      <c r="G52" s="33">
        <v>100</v>
      </c>
      <c r="H52" s="34">
        <v>3532</v>
      </c>
      <c r="I52" s="53">
        <v>0.22700000000000001</v>
      </c>
      <c r="J52" s="53">
        <v>0.22700000000000001</v>
      </c>
      <c r="K52" s="47">
        <v>15207886240</v>
      </c>
      <c r="L52" s="32">
        <f t="shared" si="19"/>
        <v>7.3386568425440031E-3</v>
      </c>
      <c r="M52" s="33">
        <v>100</v>
      </c>
      <c r="N52" s="33">
        <v>100</v>
      </c>
      <c r="O52" s="34">
        <v>3575</v>
      </c>
      <c r="P52" s="53">
        <v>0.24679999999999999</v>
      </c>
      <c r="Q52" s="53">
        <v>0.24679999999999999</v>
      </c>
      <c r="R52" s="59">
        <f t="shared" si="21"/>
        <v>0.12250298435682311</v>
      </c>
      <c r="S52" s="59">
        <f t="shared" si="22"/>
        <v>0</v>
      </c>
      <c r="T52" s="59">
        <f t="shared" si="23"/>
        <v>1.2174405436013591E-2</v>
      </c>
      <c r="U52" s="60">
        <f t="shared" si="24"/>
        <v>1.9799999999999984E-2</v>
      </c>
      <c r="V52" s="61">
        <f t="shared" si="25"/>
        <v>1.9799999999999984E-2</v>
      </c>
    </row>
    <row r="53" spans="1:22">
      <c r="A53" s="143">
        <v>45</v>
      </c>
      <c r="B53" s="140" t="s">
        <v>90</v>
      </c>
      <c r="C53" s="141" t="s">
        <v>91</v>
      </c>
      <c r="D53" s="47">
        <v>237346947.00999999</v>
      </c>
      <c r="E53" s="32">
        <f t="shared" si="20"/>
        <v>1.1453319476776054E-4</v>
      </c>
      <c r="F53" s="33">
        <v>1</v>
      </c>
      <c r="G53" s="33">
        <v>1</v>
      </c>
      <c r="H53" s="34">
        <v>87</v>
      </c>
      <c r="I53" s="53">
        <v>0.1996</v>
      </c>
      <c r="J53" s="53">
        <v>0.1996</v>
      </c>
      <c r="K53" s="47">
        <v>236406459.09</v>
      </c>
      <c r="L53" s="32">
        <f t="shared" si="19"/>
        <v>1.1407935667346414E-4</v>
      </c>
      <c r="M53" s="33">
        <v>1</v>
      </c>
      <c r="N53" s="33">
        <v>1</v>
      </c>
      <c r="O53" s="34">
        <v>84</v>
      </c>
      <c r="P53" s="53">
        <v>0.20039999999999999</v>
      </c>
      <c r="Q53" s="53">
        <v>0.20039999999999999</v>
      </c>
      <c r="R53" s="59">
        <f t="shared" si="21"/>
        <v>-3.9625027068933057E-3</v>
      </c>
      <c r="S53" s="59">
        <f t="shared" si="22"/>
        <v>0</v>
      </c>
      <c r="T53" s="59">
        <f t="shared" si="23"/>
        <v>-3.4482758620689655E-2</v>
      </c>
      <c r="U53" s="60">
        <f t="shared" si="24"/>
        <v>7.9999999999999516E-4</v>
      </c>
      <c r="V53" s="61">
        <f t="shared" si="25"/>
        <v>7.9999999999999516E-4</v>
      </c>
    </row>
    <row r="54" spans="1:22">
      <c r="A54" s="143">
        <v>46</v>
      </c>
      <c r="B54" s="140" t="s">
        <v>92</v>
      </c>
      <c r="C54" s="141" t="s">
        <v>45</v>
      </c>
      <c r="D54" s="50">
        <v>1073862317.6800001</v>
      </c>
      <c r="E54" s="32">
        <f t="shared" si="20"/>
        <v>5.1819871093357773E-4</v>
      </c>
      <c r="F54" s="33">
        <v>10</v>
      </c>
      <c r="G54" s="33">
        <v>10</v>
      </c>
      <c r="H54" s="34">
        <v>748</v>
      </c>
      <c r="I54" s="53">
        <v>0.16400000000000001</v>
      </c>
      <c r="J54" s="53">
        <v>0.16400000000000001</v>
      </c>
      <c r="K54" s="50">
        <v>1064714451.9299999</v>
      </c>
      <c r="L54" s="32">
        <f t="shared" si="19"/>
        <v>5.1378435337451486E-4</v>
      </c>
      <c r="M54" s="33">
        <v>10</v>
      </c>
      <c r="N54" s="33">
        <v>10</v>
      </c>
      <c r="O54" s="34">
        <v>750</v>
      </c>
      <c r="P54" s="53">
        <v>0.16400000000000001</v>
      </c>
      <c r="Q54" s="53">
        <v>0.16400000000000001</v>
      </c>
      <c r="R54" s="59">
        <f t="shared" si="21"/>
        <v>-8.5186579316456554E-3</v>
      </c>
      <c r="S54" s="59">
        <f t="shared" si="22"/>
        <v>0</v>
      </c>
      <c r="T54" s="59">
        <f t="shared" si="23"/>
        <v>2.6737967914438501E-3</v>
      </c>
      <c r="U54" s="60">
        <f t="shared" si="24"/>
        <v>0</v>
      </c>
      <c r="V54" s="61">
        <f t="shared" si="25"/>
        <v>0</v>
      </c>
    </row>
    <row r="55" spans="1:22">
      <c r="A55" s="143">
        <v>47</v>
      </c>
      <c r="B55" s="140" t="s">
        <v>93</v>
      </c>
      <c r="C55" s="141" t="s">
        <v>94</v>
      </c>
      <c r="D55" s="50">
        <v>755167817.77999997</v>
      </c>
      <c r="E55" s="32">
        <f t="shared" si="20"/>
        <v>3.6441076595140415E-4</v>
      </c>
      <c r="F55" s="33">
        <v>1</v>
      </c>
      <c r="G55" s="33">
        <v>1</v>
      </c>
      <c r="H55" s="34">
        <v>74</v>
      </c>
      <c r="I55" s="53">
        <v>0.22489999999999999</v>
      </c>
      <c r="J55" s="53">
        <v>0.22489999999999999</v>
      </c>
      <c r="K55" s="50">
        <v>760202817.77999997</v>
      </c>
      <c r="L55" s="32">
        <f t="shared" si="19"/>
        <v>3.6684043544123911E-4</v>
      </c>
      <c r="M55" s="33">
        <v>1</v>
      </c>
      <c r="N55" s="33">
        <v>1</v>
      </c>
      <c r="O55" s="34">
        <v>74</v>
      </c>
      <c r="P55" s="53">
        <v>0.21160000000000001</v>
      </c>
      <c r="Q55" s="53">
        <v>0.21160000000000001</v>
      </c>
      <c r="R55" s="59">
        <f t="shared" si="21"/>
        <v>6.667392176220659E-3</v>
      </c>
      <c r="S55" s="59">
        <f t="shared" si="22"/>
        <v>0</v>
      </c>
      <c r="T55" s="59">
        <f t="shared" si="23"/>
        <v>0</v>
      </c>
      <c r="U55" s="60">
        <f t="shared" si="24"/>
        <v>-1.3299999999999979E-2</v>
      </c>
      <c r="V55" s="61">
        <f t="shared" si="25"/>
        <v>-1.3299999999999979E-2</v>
      </c>
    </row>
    <row r="56" spans="1:22">
      <c r="A56" s="143">
        <v>48</v>
      </c>
      <c r="B56" s="140" t="s">
        <v>95</v>
      </c>
      <c r="C56" s="141" t="s">
        <v>96</v>
      </c>
      <c r="D56" s="50">
        <v>8345117595.7466002</v>
      </c>
      <c r="E56" s="32">
        <f t="shared" si="20"/>
        <v>4.026986615982219E-3</v>
      </c>
      <c r="F56" s="33">
        <v>100</v>
      </c>
      <c r="G56" s="33">
        <v>100</v>
      </c>
      <c r="H56" s="34">
        <v>96</v>
      </c>
      <c r="I56" s="53">
        <v>0.2291</v>
      </c>
      <c r="J56" s="53">
        <v>0.2291</v>
      </c>
      <c r="K56" s="50">
        <v>8703343777.8564987</v>
      </c>
      <c r="L56" s="32">
        <f t="shared" si="19"/>
        <v>4.1998508116391177E-3</v>
      </c>
      <c r="M56" s="33">
        <v>100</v>
      </c>
      <c r="N56" s="33">
        <v>100</v>
      </c>
      <c r="O56" s="34">
        <v>99</v>
      </c>
      <c r="P56" s="53">
        <v>0.22500000000000001</v>
      </c>
      <c r="Q56" s="53">
        <v>0.22500000000000001</v>
      </c>
      <c r="R56" s="59">
        <f t="shared" si="21"/>
        <v>4.2926439082474031E-2</v>
      </c>
      <c r="S56" s="59">
        <f t="shared" si="22"/>
        <v>0</v>
      </c>
      <c r="T56" s="59">
        <f t="shared" si="23"/>
        <v>3.125E-2</v>
      </c>
      <c r="U56" s="60">
        <f t="shared" si="24"/>
        <v>-4.0999999999999925E-3</v>
      </c>
      <c r="V56" s="61">
        <f t="shared" si="25"/>
        <v>-4.0999999999999925E-3</v>
      </c>
    </row>
    <row r="57" spans="1:22">
      <c r="A57" s="143">
        <v>49</v>
      </c>
      <c r="B57" s="140" t="s">
        <v>97</v>
      </c>
      <c r="C57" s="141" t="s">
        <v>98</v>
      </c>
      <c r="D57" s="50">
        <v>51613000</v>
      </c>
      <c r="E57" s="32">
        <f t="shared" si="20"/>
        <v>2.4906163133833622E-5</v>
      </c>
      <c r="F57" s="33">
        <v>1000</v>
      </c>
      <c r="G57" s="33">
        <v>1000</v>
      </c>
      <c r="H57" s="34">
        <v>23</v>
      </c>
      <c r="I57" s="53">
        <v>0.186</v>
      </c>
      <c r="J57" s="53">
        <v>0.186</v>
      </c>
      <c r="K57" s="50">
        <v>51613000</v>
      </c>
      <c r="L57" s="32">
        <f t="shared" si="19"/>
        <v>2.4906163133833622E-5</v>
      </c>
      <c r="M57" s="33">
        <v>1000</v>
      </c>
      <c r="N57" s="33">
        <v>1000</v>
      </c>
      <c r="O57" s="34">
        <v>23</v>
      </c>
      <c r="P57" s="53">
        <v>0.185</v>
      </c>
      <c r="Q57" s="53">
        <v>0.185</v>
      </c>
      <c r="R57" s="59">
        <f t="shared" si="21"/>
        <v>0</v>
      </c>
      <c r="S57" s="59">
        <f t="shared" si="22"/>
        <v>0</v>
      </c>
      <c r="T57" s="59">
        <f t="shared" si="23"/>
        <v>0</v>
      </c>
      <c r="U57" s="60">
        <f t="shared" si="24"/>
        <v>-1.0000000000000009E-3</v>
      </c>
      <c r="V57" s="61">
        <f t="shared" si="25"/>
        <v>-1.0000000000000009E-3</v>
      </c>
    </row>
    <row r="58" spans="1:22">
      <c r="A58" s="143">
        <v>50</v>
      </c>
      <c r="B58" s="140" t="s">
        <v>99</v>
      </c>
      <c r="C58" s="141" t="s">
        <v>49</v>
      </c>
      <c r="D58" s="47">
        <v>941831254853.96997</v>
      </c>
      <c r="E58" s="32">
        <f t="shared" si="20"/>
        <v>0.45448632859814786</v>
      </c>
      <c r="F58" s="33">
        <v>100</v>
      </c>
      <c r="G58" s="33">
        <v>100</v>
      </c>
      <c r="H58" s="34">
        <v>158316</v>
      </c>
      <c r="I58" s="53">
        <v>0.223</v>
      </c>
      <c r="J58" s="53">
        <v>0.223</v>
      </c>
      <c r="K58" s="47">
        <v>966822594212.44995</v>
      </c>
      <c r="L58" s="32">
        <f t="shared" si="19"/>
        <v>0.46654604950170514</v>
      </c>
      <c r="M58" s="33">
        <v>100</v>
      </c>
      <c r="N58" s="33">
        <v>100</v>
      </c>
      <c r="O58" s="34">
        <v>160034</v>
      </c>
      <c r="P58" s="53">
        <v>0.223</v>
      </c>
      <c r="Q58" s="53">
        <v>0.223</v>
      </c>
      <c r="R58" s="59">
        <f t="shared" si="21"/>
        <v>2.6534837562122382E-2</v>
      </c>
      <c r="S58" s="59">
        <f t="shared" si="22"/>
        <v>0</v>
      </c>
      <c r="T58" s="59">
        <f t="shared" si="23"/>
        <v>1.0851714292933121E-2</v>
      </c>
      <c r="U58" s="60">
        <f t="shared" si="24"/>
        <v>0</v>
      </c>
      <c r="V58" s="61">
        <f t="shared" si="25"/>
        <v>0</v>
      </c>
    </row>
    <row r="59" spans="1:22">
      <c r="A59" s="143">
        <v>51</v>
      </c>
      <c r="B59" s="140" t="s">
        <v>100</v>
      </c>
      <c r="C59" s="140" t="s">
        <v>101</v>
      </c>
      <c r="D59" s="47">
        <v>2025221490.5599999</v>
      </c>
      <c r="E59" s="32">
        <f t="shared" si="20"/>
        <v>9.7728279359915243E-4</v>
      </c>
      <c r="F59" s="33">
        <v>100</v>
      </c>
      <c r="G59" s="33">
        <v>100</v>
      </c>
      <c r="H59" s="34">
        <v>419</v>
      </c>
      <c r="I59" s="53">
        <v>0.22239999999999999</v>
      </c>
      <c r="J59" s="53">
        <v>0.22239999999999999</v>
      </c>
      <c r="K59" s="47">
        <v>2044822618.6199999</v>
      </c>
      <c r="L59" s="32">
        <f t="shared" si="19"/>
        <v>9.8674143566742051E-4</v>
      </c>
      <c r="M59" s="33">
        <v>100</v>
      </c>
      <c r="N59" s="33">
        <v>100</v>
      </c>
      <c r="O59" s="34">
        <v>434</v>
      </c>
      <c r="P59" s="53">
        <v>0.22239999999999999</v>
      </c>
      <c r="Q59" s="53">
        <v>0.22239999999999999</v>
      </c>
      <c r="R59" s="59">
        <f t="shared" si="21"/>
        <v>9.6785107956660968E-3</v>
      </c>
      <c r="S59" s="59">
        <f t="shared" si="22"/>
        <v>0</v>
      </c>
      <c r="T59" s="59">
        <f t="shared" si="23"/>
        <v>3.5799522673031027E-2</v>
      </c>
      <c r="U59" s="60">
        <f t="shared" si="24"/>
        <v>0</v>
      </c>
      <c r="V59" s="61">
        <f t="shared" si="25"/>
        <v>0</v>
      </c>
    </row>
    <row r="60" spans="1:22">
      <c r="A60" s="143">
        <v>52</v>
      </c>
      <c r="B60" s="140" t="s">
        <v>102</v>
      </c>
      <c r="C60" s="141" t="s">
        <v>103</v>
      </c>
      <c r="D60" s="47">
        <v>3692560685.2800002</v>
      </c>
      <c r="E60" s="32">
        <f t="shared" si="20"/>
        <v>1.7818673359263008E-3</v>
      </c>
      <c r="F60" s="33">
        <v>1</v>
      </c>
      <c r="G60" s="33">
        <v>1</v>
      </c>
      <c r="H60" s="34">
        <v>421</v>
      </c>
      <c r="I60" s="53">
        <v>0.21822170159999998</v>
      </c>
      <c r="J60" s="53">
        <v>0.21822170159999998</v>
      </c>
      <c r="K60" s="47">
        <v>3779145458.6700001</v>
      </c>
      <c r="L60" s="32">
        <f t="shared" si="19"/>
        <v>1.823649338347345E-3</v>
      </c>
      <c r="M60" s="33">
        <v>1</v>
      </c>
      <c r="N60" s="33">
        <v>1</v>
      </c>
      <c r="O60" s="34">
        <v>427</v>
      </c>
      <c r="P60" s="53">
        <v>0.2196430707</v>
      </c>
      <c r="Q60" s="53">
        <v>0.2196430707</v>
      </c>
      <c r="R60" s="59">
        <f t="shared" si="21"/>
        <v>2.3448436131371066E-2</v>
      </c>
      <c r="S60" s="59">
        <f t="shared" si="22"/>
        <v>0</v>
      </c>
      <c r="T60" s="59">
        <f t="shared" si="23"/>
        <v>1.4251781472684086E-2</v>
      </c>
      <c r="U60" s="60">
        <f t="shared" si="24"/>
        <v>1.4213691000000139E-3</v>
      </c>
      <c r="V60" s="61">
        <f t="shared" si="25"/>
        <v>1.4213691000000139E-3</v>
      </c>
    </row>
    <row r="61" spans="1:22">
      <c r="A61" s="143">
        <v>53</v>
      </c>
      <c r="B61" s="140" t="s">
        <v>104</v>
      </c>
      <c r="C61" s="141" t="s">
        <v>52</v>
      </c>
      <c r="D61" s="47">
        <v>91465233540.679993</v>
      </c>
      <c r="E61" s="32">
        <f t="shared" si="20"/>
        <v>4.4137097778435018E-2</v>
      </c>
      <c r="F61" s="33">
        <v>1</v>
      </c>
      <c r="G61" s="33">
        <v>1</v>
      </c>
      <c r="H61" s="34">
        <v>43884</v>
      </c>
      <c r="I61" s="53">
        <v>0.21829999999999999</v>
      </c>
      <c r="J61" s="53">
        <v>0.21829999999999999</v>
      </c>
      <c r="K61" s="47">
        <v>91465233540.679993</v>
      </c>
      <c r="L61" s="32">
        <f t="shared" si="19"/>
        <v>4.4137097778435018E-2</v>
      </c>
      <c r="M61" s="33">
        <v>1</v>
      </c>
      <c r="N61" s="33">
        <v>1</v>
      </c>
      <c r="O61" s="34">
        <v>43884</v>
      </c>
      <c r="P61" s="53">
        <v>0.21160000000000001</v>
      </c>
      <c r="Q61" s="53">
        <v>0.21160000000000001</v>
      </c>
      <c r="R61" s="59">
        <f t="shared" si="21"/>
        <v>0</v>
      </c>
      <c r="S61" s="59">
        <f t="shared" si="22"/>
        <v>0</v>
      </c>
      <c r="T61" s="59">
        <f t="shared" si="23"/>
        <v>0</v>
      </c>
      <c r="U61" s="60">
        <f t="shared" si="24"/>
        <v>-6.6999999999999837E-3</v>
      </c>
      <c r="V61" s="61">
        <f t="shared" si="25"/>
        <v>-6.6999999999999837E-3</v>
      </c>
    </row>
    <row r="62" spans="1:22">
      <c r="A62" s="143">
        <v>54</v>
      </c>
      <c r="B62" s="140" t="s">
        <v>105</v>
      </c>
      <c r="C62" s="141" t="s">
        <v>106</v>
      </c>
      <c r="D62" s="47">
        <v>1541691715.6700001</v>
      </c>
      <c r="E62" s="32">
        <f t="shared" si="20"/>
        <v>7.4395259668217045E-4</v>
      </c>
      <c r="F62" s="33">
        <v>1</v>
      </c>
      <c r="G62" s="33">
        <v>1</v>
      </c>
      <c r="H62" s="34">
        <v>148</v>
      </c>
      <c r="I62" s="53">
        <v>0.21560000000000001</v>
      </c>
      <c r="J62" s="53">
        <v>0.21560000000000001</v>
      </c>
      <c r="K62" s="47">
        <v>1543726494.5599999</v>
      </c>
      <c r="L62" s="32">
        <f t="shared" si="19"/>
        <v>7.4493449145627037E-4</v>
      </c>
      <c r="M62" s="33">
        <v>1</v>
      </c>
      <c r="N62" s="33">
        <v>1</v>
      </c>
      <c r="O62" s="34">
        <v>148</v>
      </c>
      <c r="P62" s="53">
        <v>0.2016</v>
      </c>
      <c r="Q62" s="53">
        <v>0.2016</v>
      </c>
      <c r="R62" s="59">
        <f t="shared" si="21"/>
        <v>1.3198351326131222E-3</v>
      </c>
      <c r="S62" s="59">
        <f t="shared" si="22"/>
        <v>0</v>
      </c>
      <c r="T62" s="59">
        <f t="shared" si="23"/>
        <v>0</v>
      </c>
      <c r="U62" s="60">
        <f t="shared" si="24"/>
        <v>-1.4000000000000012E-2</v>
      </c>
      <c r="V62" s="61">
        <f t="shared" si="25"/>
        <v>-1.4000000000000012E-2</v>
      </c>
    </row>
    <row r="63" spans="1:22">
      <c r="A63" s="143">
        <v>55</v>
      </c>
      <c r="B63" s="140" t="s">
        <v>107</v>
      </c>
      <c r="C63" s="141" t="s">
        <v>108</v>
      </c>
      <c r="D63" s="47">
        <v>3259166237.0900002</v>
      </c>
      <c r="E63" s="32">
        <f t="shared" si="20"/>
        <v>1.5727302420174417E-3</v>
      </c>
      <c r="F63" s="33">
        <v>1</v>
      </c>
      <c r="G63" s="33">
        <v>1</v>
      </c>
      <c r="H63" s="34">
        <v>342</v>
      </c>
      <c r="I63" s="53">
        <v>0.20200000000000001</v>
      </c>
      <c r="J63" s="53">
        <v>0.20200000000000001</v>
      </c>
      <c r="K63" s="47">
        <v>3396411875.77</v>
      </c>
      <c r="L63" s="32">
        <f t="shared" si="19"/>
        <v>1.6389589492495588E-3</v>
      </c>
      <c r="M63" s="33">
        <v>1</v>
      </c>
      <c r="N63" s="33">
        <v>1</v>
      </c>
      <c r="O63" s="34">
        <v>342</v>
      </c>
      <c r="P63" s="53">
        <v>0.21590000000000001</v>
      </c>
      <c r="Q63" s="53">
        <v>0.21590000000000001</v>
      </c>
      <c r="R63" s="59">
        <f t="shared" si="21"/>
        <v>4.2110659198084308E-2</v>
      </c>
      <c r="S63" s="59">
        <f t="shared" si="22"/>
        <v>0</v>
      </c>
      <c r="T63" s="59">
        <f t="shared" si="23"/>
        <v>0</v>
      </c>
      <c r="U63" s="60">
        <f t="shared" si="24"/>
        <v>1.3899999999999996E-2</v>
      </c>
      <c r="V63" s="61">
        <f t="shared" si="25"/>
        <v>1.3899999999999996E-2</v>
      </c>
    </row>
    <row r="64" spans="1:22">
      <c r="A64" s="143">
        <v>56</v>
      </c>
      <c r="B64" s="140" t="s">
        <v>109</v>
      </c>
      <c r="C64" s="141" t="s">
        <v>110</v>
      </c>
      <c r="D64" s="47">
        <v>3873996808.5100002</v>
      </c>
      <c r="E64" s="32">
        <f t="shared" si="20"/>
        <v>1.8694204268827792E-3</v>
      </c>
      <c r="F64" s="33">
        <v>1</v>
      </c>
      <c r="G64" s="33">
        <v>1</v>
      </c>
      <c r="H64" s="34">
        <v>2498</v>
      </c>
      <c r="I64" s="53">
        <v>0.23330000000000001</v>
      </c>
      <c r="J64" s="53">
        <v>0.23330000000000001</v>
      </c>
      <c r="K64" s="47">
        <v>4394805952.9899998</v>
      </c>
      <c r="L64" s="32">
        <f t="shared" si="19"/>
        <v>2.1207400074925325E-3</v>
      </c>
      <c r="M64" s="33">
        <v>1</v>
      </c>
      <c r="N64" s="33">
        <v>1</v>
      </c>
      <c r="O64" s="34">
        <v>2570</v>
      </c>
      <c r="P64" s="53">
        <v>0.22409999999999999</v>
      </c>
      <c r="Q64" s="53">
        <v>0.22409999999999999</v>
      </c>
      <c r="R64" s="59">
        <f t="shared" si="21"/>
        <v>0.13443716405133305</v>
      </c>
      <c r="S64" s="59">
        <f t="shared" si="22"/>
        <v>0</v>
      </c>
      <c r="T64" s="59">
        <f t="shared" si="23"/>
        <v>2.8823058446757407E-2</v>
      </c>
      <c r="U64" s="60">
        <f t="shared" si="24"/>
        <v>-9.2000000000000137E-3</v>
      </c>
      <c r="V64" s="61">
        <f t="shared" si="25"/>
        <v>-9.2000000000000137E-3</v>
      </c>
    </row>
    <row r="65" spans="1:22">
      <c r="A65" s="143">
        <v>57</v>
      </c>
      <c r="B65" s="140" t="s">
        <v>111</v>
      </c>
      <c r="C65" s="141" t="s">
        <v>112</v>
      </c>
      <c r="D65" s="47">
        <v>68288357092.18</v>
      </c>
      <c r="E65" s="32">
        <f t="shared" si="20"/>
        <v>3.2952956849617722E-2</v>
      </c>
      <c r="F65" s="33">
        <v>1</v>
      </c>
      <c r="G65" s="33">
        <v>1</v>
      </c>
      <c r="H65" s="34">
        <v>4698</v>
      </c>
      <c r="I65" s="53">
        <v>0.22109999999999999</v>
      </c>
      <c r="J65" s="53">
        <v>0.22109999999999999</v>
      </c>
      <c r="K65" s="47">
        <v>70465110472.449997</v>
      </c>
      <c r="L65" s="32">
        <f t="shared" si="19"/>
        <v>3.4003362266685676E-2</v>
      </c>
      <c r="M65" s="33">
        <v>1</v>
      </c>
      <c r="N65" s="33">
        <v>1</v>
      </c>
      <c r="O65" s="34">
        <v>4738</v>
      </c>
      <c r="P65" s="53">
        <v>0.2233</v>
      </c>
      <c r="Q65" s="53">
        <v>0.2233</v>
      </c>
      <c r="R65" s="59">
        <f t="shared" si="21"/>
        <v>3.1875907884731734E-2</v>
      </c>
      <c r="S65" s="59">
        <f t="shared" si="22"/>
        <v>0</v>
      </c>
      <c r="T65" s="59">
        <f t="shared" si="23"/>
        <v>8.5142613878246062E-3</v>
      </c>
      <c r="U65" s="60">
        <f t="shared" si="24"/>
        <v>2.2000000000000075E-3</v>
      </c>
      <c r="V65" s="61">
        <f t="shared" si="25"/>
        <v>2.2000000000000075E-3</v>
      </c>
    </row>
    <row r="66" spans="1:22">
      <c r="A66" s="38"/>
      <c r="B66" s="39"/>
      <c r="C66" s="40" t="s">
        <v>53</v>
      </c>
      <c r="D66" s="51">
        <f>SUM(D28:D65)</f>
        <v>2038200432744.7246</v>
      </c>
      <c r="E66" s="42">
        <f>(D66/$D$214)</f>
        <v>0.47738043121284729</v>
      </c>
      <c r="F66" s="43"/>
      <c r="G66" s="48"/>
      <c r="H66" s="45">
        <f>SUM(H28:H65)</f>
        <v>377111</v>
      </c>
      <c r="I66" s="58"/>
      <c r="J66" s="58"/>
      <c r="K66" s="51">
        <f>SUM(K28:K65)</f>
        <v>2072298319201.4285</v>
      </c>
      <c r="L66" s="42">
        <f>(K66/$K$214)</f>
        <v>0.48143193501268561</v>
      </c>
      <c r="M66" s="43"/>
      <c r="N66" s="48"/>
      <c r="O66" s="45">
        <f>SUM(O28:O65)</f>
        <v>379797</v>
      </c>
      <c r="P66" s="58"/>
      <c r="Q66" s="58"/>
      <c r="R66" s="59">
        <f t="shared" si="21"/>
        <v>1.6729407917349049E-2</v>
      </c>
      <c r="S66" s="59" t="e">
        <f t="shared" si="22"/>
        <v>#DIV/0!</v>
      </c>
      <c r="T66" s="59">
        <f t="shared" si="23"/>
        <v>7.1225713384122976E-3</v>
      </c>
      <c r="U66" s="60">
        <f t="shared" si="24"/>
        <v>0</v>
      </c>
      <c r="V66" s="61">
        <f t="shared" si="25"/>
        <v>0</v>
      </c>
    </row>
    <row r="67" spans="1:22" ht="3" customHeight="1">
      <c r="A67" s="38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</row>
    <row r="68" spans="1:22" ht="15" customHeight="1">
      <c r="A68" s="164" t="s">
        <v>113</v>
      </c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</row>
    <row r="69" spans="1:22">
      <c r="A69" s="143">
        <v>58</v>
      </c>
      <c r="B69" s="140" t="s">
        <v>114</v>
      </c>
      <c r="C69" s="141" t="s">
        <v>21</v>
      </c>
      <c r="D69" s="31">
        <v>509332299.92000002</v>
      </c>
      <c r="E69" s="32">
        <f>(D69/$D$106)</f>
        <v>2.6366991909036815E-3</v>
      </c>
      <c r="F69" s="63">
        <v>1.3331999999999999</v>
      </c>
      <c r="G69" s="63">
        <v>1.3331999999999999</v>
      </c>
      <c r="H69" s="34">
        <v>468</v>
      </c>
      <c r="I69" s="53">
        <v>4.4999999999999999E-4</v>
      </c>
      <c r="J69" s="53">
        <v>2.2599999999999999E-2</v>
      </c>
      <c r="K69" s="31">
        <v>513169195.61000001</v>
      </c>
      <c r="L69" s="32">
        <f t="shared" ref="L69:L91" si="35">(K69/$K$106)</f>
        <v>2.6606172044307663E-3</v>
      </c>
      <c r="M69" s="63">
        <v>1.3431999999999999</v>
      </c>
      <c r="N69" s="63">
        <v>1.3431999999999999</v>
      </c>
      <c r="O69" s="34">
        <v>470</v>
      </c>
      <c r="P69" s="53">
        <v>-1.7770000000000001E-2</v>
      </c>
      <c r="Q69" s="53">
        <v>3.0300000000000001E-2</v>
      </c>
      <c r="R69" s="59">
        <f>((K69-D69)/D69)</f>
        <v>7.5331874507127321E-3</v>
      </c>
      <c r="S69" s="59">
        <f>((N69-G69)/G69)</f>
        <v>7.5007500750075076E-3</v>
      </c>
      <c r="T69" s="59">
        <f>((O69-H69)/H69)</f>
        <v>4.2735042735042739E-3</v>
      </c>
      <c r="U69" s="60">
        <f>P69-I69</f>
        <v>-1.822E-2</v>
      </c>
      <c r="V69" s="61">
        <f>Q69-J69</f>
        <v>7.700000000000002E-3</v>
      </c>
    </row>
    <row r="70" spans="1:22">
      <c r="A70" s="143">
        <v>59</v>
      </c>
      <c r="B70" s="140" t="s">
        <v>115</v>
      </c>
      <c r="C70" s="141" t="s">
        <v>23</v>
      </c>
      <c r="D70" s="31">
        <v>1310866526.8699999</v>
      </c>
      <c r="E70" s="32">
        <f>(D70/$D$106)</f>
        <v>6.7860622845315969E-3</v>
      </c>
      <c r="F70" s="63">
        <v>1.2030000000000001</v>
      </c>
      <c r="G70" s="63">
        <v>1.2030000000000001</v>
      </c>
      <c r="H70" s="34">
        <v>859</v>
      </c>
      <c r="I70" s="53">
        <v>0.27450000000000002</v>
      </c>
      <c r="J70" s="53">
        <v>0.1497</v>
      </c>
      <c r="K70" s="31">
        <v>1319231457</v>
      </c>
      <c r="L70" s="32">
        <f t="shared" si="35"/>
        <v>6.8397907379225947E-3</v>
      </c>
      <c r="M70" s="63">
        <v>1.2143999999999999</v>
      </c>
      <c r="N70" s="63">
        <v>1.2143999999999999</v>
      </c>
      <c r="O70" s="34">
        <v>861</v>
      </c>
      <c r="P70" s="53">
        <v>0.49409999999999998</v>
      </c>
      <c r="Q70" s="53">
        <v>0.1973</v>
      </c>
      <c r="R70" s="59">
        <f t="shared" ref="R70:R106" si="36">((K70-D70)/D70)</f>
        <v>6.3812218548087727E-3</v>
      </c>
      <c r="S70" s="59">
        <f t="shared" ref="S70:S106" si="37">((N70-G70)/G70)</f>
        <v>9.4763092269325461E-3</v>
      </c>
      <c r="T70" s="59">
        <f t="shared" ref="T70:T106" si="38">((O70-H70)/H70)</f>
        <v>2.3282887077997671E-3</v>
      </c>
      <c r="U70" s="60">
        <f t="shared" ref="U70:U106" si="39">P70-I70</f>
        <v>0.21959999999999996</v>
      </c>
      <c r="V70" s="61">
        <f t="shared" ref="V70:V106" si="40">Q70-J70</f>
        <v>4.7600000000000003E-2</v>
      </c>
    </row>
    <row r="71" spans="1:22">
      <c r="A71" s="143">
        <v>60</v>
      </c>
      <c r="B71" s="140" t="s">
        <v>116</v>
      </c>
      <c r="C71" s="141" t="s">
        <v>23</v>
      </c>
      <c r="D71" s="31">
        <v>843160026.01999998</v>
      </c>
      <c r="E71" s="32">
        <f>(D71/$D$106)</f>
        <v>4.36485052834554E-3</v>
      </c>
      <c r="F71" s="63">
        <v>1.0892999999999999</v>
      </c>
      <c r="G71" s="63">
        <v>1.0892999999999999</v>
      </c>
      <c r="H71" s="34">
        <v>220</v>
      </c>
      <c r="I71" s="53">
        <v>0.1217</v>
      </c>
      <c r="J71" s="53">
        <v>0.11990000000000001</v>
      </c>
      <c r="K71" s="31">
        <v>844277605.39999998</v>
      </c>
      <c r="L71" s="32">
        <f t="shared" si="35"/>
        <v>4.3773077991805251E-3</v>
      </c>
      <c r="M71" s="63">
        <v>1.0916999999999999</v>
      </c>
      <c r="N71" s="63">
        <v>1.0916999999999999</v>
      </c>
      <c r="O71" s="34">
        <v>223</v>
      </c>
      <c r="P71" s="53">
        <v>0.1149</v>
      </c>
      <c r="Q71" s="53">
        <v>0.121</v>
      </c>
      <c r="R71" s="59">
        <f t="shared" si="36"/>
        <v>1.3254653274721137E-3</v>
      </c>
      <c r="S71" s="59">
        <f t="shared" si="37"/>
        <v>2.203249793445293E-3</v>
      </c>
      <c r="T71" s="59">
        <f t="shared" si="38"/>
        <v>1.3636363636363636E-2</v>
      </c>
      <c r="U71" s="60">
        <f t="shared" si="39"/>
        <v>-6.8000000000000005E-3</v>
      </c>
      <c r="V71" s="61">
        <f t="shared" si="40"/>
        <v>1.0999999999999899E-3</v>
      </c>
    </row>
    <row r="72" spans="1:22">
      <c r="A72" s="143">
        <v>61</v>
      </c>
      <c r="B72" s="140" t="s">
        <v>117</v>
      </c>
      <c r="C72" s="141" t="s">
        <v>118</v>
      </c>
      <c r="D72" s="31">
        <v>278036011.57999998</v>
      </c>
      <c r="E72" s="32">
        <f>(D72/$D$106)</f>
        <v>1.4393301325877409E-3</v>
      </c>
      <c r="F72" s="37">
        <v>1109.04</v>
      </c>
      <c r="G72" s="37">
        <v>1109.04</v>
      </c>
      <c r="H72" s="34">
        <v>111</v>
      </c>
      <c r="I72" s="53">
        <v>1.8339999999999999E-3</v>
      </c>
      <c r="J72" s="53">
        <v>-3.4150000000000001E-3</v>
      </c>
      <c r="K72" s="31">
        <v>279172377.37</v>
      </c>
      <c r="L72" s="32">
        <f t="shared" si="35"/>
        <v>1.4474189732872308E-3</v>
      </c>
      <c r="M72" s="37">
        <v>1113.57</v>
      </c>
      <c r="N72" s="37">
        <v>1113.57</v>
      </c>
      <c r="O72" s="34">
        <v>111</v>
      </c>
      <c r="P72" s="53">
        <v>2.6129999999999999E-3</v>
      </c>
      <c r="Q72" s="53">
        <v>-1.7100000000000001E-4</v>
      </c>
      <c r="R72" s="59">
        <f t="shared" si="36"/>
        <v>4.0871172893841203E-3</v>
      </c>
      <c r="S72" s="59">
        <f t="shared" si="37"/>
        <v>4.0846137199740075E-3</v>
      </c>
      <c r="T72" s="59">
        <f t="shared" si="38"/>
        <v>0</v>
      </c>
      <c r="U72" s="60">
        <f t="shared" si="39"/>
        <v>7.7899999999999996E-4</v>
      </c>
      <c r="V72" s="61">
        <f t="shared" si="40"/>
        <v>3.2439999999999999E-3</v>
      </c>
    </row>
    <row r="73" spans="1:22" ht="15" customHeight="1">
      <c r="A73" s="143">
        <v>62</v>
      </c>
      <c r="B73" s="140" t="s">
        <v>119</v>
      </c>
      <c r="C73" s="141" t="s">
        <v>27</v>
      </c>
      <c r="D73" s="31">
        <v>1648171474.74</v>
      </c>
      <c r="E73" s="32">
        <f>(D73/$K$106)</f>
        <v>8.5452389174152897E-3</v>
      </c>
      <c r="F73" s="37">
        <v>1.0559000000000001</v>
      </c>
      <c r="G73" s="37">
        <v>1.0559000000000001</v>
      </c>
      <c r="H73" s="34">
        <v>889</v>
      </c>
      <c r="I73" s="53">
        <v>8.0999999999999996E-3</v>
      </c>
      <c r="J73" s="53">
        <v>1.1299999999999999E-2</v>
      </c>
      <c r="K73" s="31">
        <v>1625888425.1500001</v>
      </c>
      <c r="L73" s="32">
        <f t="shared" si="35"/>
        <v>8.4297084732391468E-3</v>
      </c>
      <c r="M73" s="37">
        <v>1.0592999999999999</v>
      </c>
      <c r="N73" s="37">
        <v>1.0592999999999999</v>
      </c>
      <c r="O73" s="34">
        <v>891</v>
      </c>
      <c r="P73" s="53">
        <v>3.2000000000000002E-3</v>
      </c>
      <c r="Q73" s="53">
        <v>1.44E-2</v>
      </c>
      <c r="R73" s="59">
        <f t="shared" si="36"/>
        <v>-1.3519861210748765E-2</v>
      </c>
      <c r="S73" s="59">
        <f t="shared" si="37"/>
        <v>3.2200018941186169E-3</v>
      </c>
      <c r="T73" s="59">
        <f t="shared" si="38"/>
        <v>2.2497187851518562E-3</v>
      </c>
      <c r="U73" s="60">
        <f t="shared" si="39"/>
        <v>-4.8999999999999998E-3</v>
      </c>
      <c r="V73" s="61">
        <f t="shared" si="40"/>
        <v>3.1000000000000003E-3</v>
      </c>
    </row>
    <row r="74" spans="1:22">
      <c r="A74" s="143">
        <v>63</v>
      </c>
      <c r="B74" s="140" t="s">
        <v>120</v>
      </c>
      <c r="C74" s="141" t="s">
        <v>121</v>
      </c>
      <c r="D74" s="31">
        <v>435020192.02626574</v>
      </c>
      <c r="E74" s="32">
        <f t="shared" ref="E74:E91" si="41">(D74/$D$106)</f>
        <v>2.2520020594071475E-3</v>
      </c>
      <c r="F74" s="37">
        <v>2.5032999999999999</v>
      </c>
      <c r="G74" s="37">
        <v>2.5032999999999999</v>
      </c>
      <c r="H74" s="34">
        <v>1390</v>
      </c>
      <c r="I74" s="53">
        <v>0.13569999999999999</v>
      </c>
      <c r="J74" s="53">
        <v>0.1331</v>
      </c>
      <c r="K74" s="31">
        <v>436105062.04284024</v>
      </c>
      <c r="L74" s="32">
        <f t="shared" si="35"/>
        <v>2.2610644616563123E-3</v>
      </c>
      <c r="M74" s="37">
        <v>2.5095000000000001</v>
      </c>
      <c r="N74" s="37">
        <v>2.5095000000000001</v>
      </c>
      <c r="O74" s="34">
        <v>1390</v>
      </c>
      <c r="P74" s="53">
        <v>0.12909999999999999</v>
      </c>
      <c r="Q74" s="53">
        <v>0.1328</v>
      </c>
      <c r="R74" s="59">
        <f t="shared" si="36"/>
        <v>2.4938383009793703E-3</v>
      </c>
      <c r="S74" s="59">
        <f t="shared" si="37"/>
        <v>2.4767307154556807E-3</v>
      </c>
      <c r="T74" s="59">
        <f t="shared" si="38"/>
        <v>0</v>
      </c>
      <c r="U74" s="60">
        <f t="shared" si="39"/>
        <v>-6.5999999999999948E-3</v>
      </c>
      <c r="V74" s="61">
        <f t="shared" si="40"/>
        <v>-2.9999999999999472E-4</v>
      </c>
    </row>
    <row r="75" spans="1:22">
      <c r="A75" s="143">
        <v>64</v>
      </c>
      <c r="B75" s="140" t="s">
        <v>122</v>
      </c>
      <c r="C75" s="141" t="s">
        <v>63</v>
      </c>
      <c r="D75" s="31">
        <v>146413377.09999999</v>
      </c>
      <c r="E75" s="32">
        <f t="shared" si="41"/>
        <v>7.5794924648933811E-4</v>
      </c>
      <c r="F75" s="37">
        <v>11.22</v>
      </c>
      <c r="G75" s="37">
        <v>11.27</v>
      </c>
      <c r="H75" s="34">
        <v>29</v>
      </c>
      <c r="I75" s="53">
        <v>0.1681</v>
      </c>
      <c r="J75" s="53">
        <v>0.26140000000000002</v>
      </c>
      <c r="K75" s="31">
        <v>146814195.38</v>
      </c>
      <c r="L75" s="32"/>
      <c r="M75" s="37">
        <v>11.25</v>
      </c>
      <c r="N75" s="37">
        <v>11.3</v>
      </c>
      <c r="O75" s="34">
        <v>29</v>
      </c>
      <c r="P75" s="53">
        <v>0.16</v>
      </c>
      <c r="Q75" s="53">
        <v>0.24</v>
      </c>
      <c r="R75" s="59">
        <f t="shared" si="36"/>
        <v>2.7375796388211387E-3</v>
      </c>
      <c r="S75" s="59">
        <f t="shared" si="37"/>
        <v>2.6619343389530734E-3</v>
      </c>
      <c r="T75" s="59">
        <f t="shared" si="38"/>
        <v>0</v>
      </c>
      <c r="U75" s="60">
        <f t="shared" si="39"/>
        <v>-8.0999999999999961E-3</v>
      </c>
      <c r="V75" s="61">
        <f t="shared" si="40"/>
        <v>-2.140000000000003E-2</v>
      </c>
    </row>
    <row r="76" spans="1:22">
      <c r="A76" s="143">
        <v>65</v>
      </c>
      <c r="B76" s="140" t="s">
        <v>123</v>
      </c>
      <c r="C76" s="141" t="s">
        <v>65</v>
      </c>
      <c r="D76" s="31">
        <v>2017774767.2774701</v>
      </c>
      <c r="E76" s="32">
        <f t="shared" si="41"/>
        <v>1.0445567848616739E-2</v>
      </c>
      <c r="F76" s="31">
        <v>4439.3124159926501</v>
      </c>
      <c r="G76" s="31">
        <v>4439.3124159926501</v>
      </c>
      <c r="H76" s="34">
        <v>1064</v>
      </c>
      <c r="I76" s="53">
        <v>9.6755457762098804E-2</v>
      </c>
      <c r="J76" s="53">
        <v>0.10181049719881377</v>
      </c>
      <c r="K76" s="31">
        <v>2024233334.8768799</v>
      </c>
      <c r="L76" s="32">
        <f t="shared" si="35"/>
        <v>1.0494998691715589E-2</v>
      </c>
      <c r="M76" s="31">
        <v>4447.8404718500597</v>
      </c>
      <c r="N76" s="31">
        <v>4447.8404718500597</v>
      </c>
      <c r="O76" s="34">
        <v>1066</v>
      </c>
      <c r="P76" s="53">
        <v>0.10016803428325043</v>
      </c>
      <c r="Q76" s="53">
        <v>0.10175864929699524</v>
      </c>
      <c r="R76" s="59">
        <f t="shared" si="36"/>
        <v>3.200836735670053E-3</v>
      </c>
      <c r="S76" s="59">
        <f t="shared" si="37"/>
        <v>1.9210307944732957E-3</v>
      </c>
      <c r="T76" s="59">
        <f t="shared" si="38"/>
        <v>1.8796992481203006E-3</v>
      </c>
      <c r="U76" s="60">
        <f t="shared" si="39"/>
        <v>3.4125765211516224E-3</v>
      </c>
      <c r="V76" s="61">
        <f t="shared" si="40"/>
        <v>-5.1847901818530273E-5</v>
      </c>
    </row>
    <row r="77" spans="1:22">
      <c r="A77" s="143">
        <v>66</v>
      </c>
      <c r="B77" s="140" t="s">
        <v>124</v>
      </c>
      <c r="C77" s="141" t="s">
        <v>67</v>
      </c>
      <c r="D77" s="31">
        <v>366570402.81</v>
      </c>
      <c r="E77" s="32">
        <f t="shared" si="41"/>
        <v>1.8976528381376477E-3</v>
      </c>
      <c r="F77" s="63">
        <v>111.57</v>
      </c>
      <c r="G77" s="63">
        <v>111.57</v>
      </c>
      <c r="H77" s="34">
        <v>136</v>
      </c>
      <c r="I77" s="53">
        <v>2.3E-3</v>
      </c>
      <c r="J77" s="53">
        <v>0.13200000000000001</v>
      </c>
      <c r="K77" s="31">
        <v>372758054.88</v>
      </c>
      <c r="L77" s="32">
        <f t="shared" si="35"/>
        <v>1.9326306068020529E-3</v>
      </c>
      <c r="M77" s="63">
        <v>111.88</v>
      </c>
      <c r="N77" s="63">
        <v>111.88</v>
      </c>
      <c r="O77" s="34">
        <v>136</v>
      </c>
      <c r="P77" s="53">
        <v>2.8E-3</v>
      </c>
      <c r="Q77" s="53">
        <v>0.13220000000000001</v>
      </c>
      <c r="R77" s="59">
        <f t="shared" si="36"/>
        <v>1.6879846333931012E-2</v>
      </c>
      <c r="S77" s="59">
        <f t="shared" si="37"/>
        <v>2.7785246930178567E-3</v>
      </c>
      <c r="T77" s="59">
        <f t="shared" si="38"/>
        <v>0</v>
      </c>
      <c r="U77" s="60">
        <f t="shared" si="39"/>
        <v>5.0000000000000001E-4</v>
      </c>
      <c r="V77" s="61">
        <f t="shared" si="40"/>
        <v>2.0000000000000573E-4</v>
      </c>
    </row>
    <row r="78" spans="1:22" ht="13.5" customHeight="1">
      <c r="A78" s="143">
        <v>67</v>
      </c>
      <c r="B78" s="140" t="s">
        <v>125</v>
      </c>
      <c r="C78" s="141" t="s">
        <v>303</v>
      </c>
      <c r="D78" s="31">
        <v>358963076.95999998</v>
      </c>
      <c r="E78" s="32">
        <f t="shared" si="41"/>
        <v>1.8582714167811262E-3</v>
      </c>
      <c r="F78" s="63">
        <v>1.3797999999999999</v>
      </c>
      <c r="G78" s="63">
        <v>1.3797999999999999</v>
      </c>
      <c r="H78" s="34">
        <v>385</v>
      </c>
      <c r="I78" s="53">
        <v>-3.7129596572653689E-3</v>
      </c>
      <c r="J78" s="53">
        <v>6.3095255082151858E-2</v>
      </c>
      <c r="K78" s="31">
        <v>362239300.18000001</v>
      </c>
      <c r="L78" s="32">
        <f t="shared" si="35"/>
        <v>1.8780942473256433E-3</v>
      </c>
      <c r="M78" s="63">
        <v>1.3918999999999999</v>
      </c>
      <c r="N78" s="63">
        <v>1.3918999999999999</v>
      </c>
      <c r="O78" s="34">
        <v>386</v>
      </c>
      <c r="P78" s="53">
        <v>8.7693868676619324E-3</v>
      </c>
      <c r="Q78" s="53">
        <v>6.0612597177807204E-2</v>
      </c>
      <c r="R78" s="59">
        <f t="shared" si="36"/>
        <v>9.1269086719052862E-3</v>
      </c>
      <c r="S78" s="59">
        <f t="shared" si="37"/>
        <v>8.769386867661981E-3</v>
      </c>
      <c r="T78" s="59">
        <f t="shared" si="38"/>
        <v>2.5974025974025974E-3</v>
      </c>
      <c r="U78" s="60">
        <f t="shared" si="39"/>
        <v>1.2482346524927301E-2</v>
      </c>
      <c r="V78" s="61">
        <f t="shared" si="40"/>
        <v>-2.4826579043446539E-3</v>
      </c>
    </row>
    <row r="79" spans="1:22" ht="13.5" customHeight="1">
      <c r="A79" s="143">
        <v>68</v>
      </c>
      <c r="B79" s="140" t="s">
        <v>301</v>
      </c>
      <c r="C79" s="141" t="s">
        <v>303</v>
      </c>
      <c r="D79" s="31">
        <v>24939675.449999999</v>
      </c>
      <c r="E79" s="32">
        <f t="shared" ref="E79" si="42">(D79/$D$106)</f>
        <v>1.2910711158656927E-4</v>
      </c>
      <c r="F79" s="63">
        <v>0.89270000000000005</v>
      </c>
      <c r="G79" s="63">
        <v>0.89270000000000005</v>
      </c>
      <c r="H79" s="34">
        <v>1</v>
      </c>
      <c r="I79" s="53">
        <v>-2.2393908856788158E-4</v>
      </c>
      <c r="J79" s="53">
        <v>-8.5816692268305128E-2</v>
      </c>
      <c r="K79" s="31">
        <v>25018856.510000002</v>
      </c>
      <c r="L79" s="32">
        <f t="shared" ref="L79" si="43">(K79/$K$106)</f>
        <v>1.2971472300975646E-4</v>
      </c>
      <c r="M79" s="63">
        <v>0.89239999999999997</v>
      </c>
      <c r="N79" s="63">
        <v>0.89239999999999997</v>
      </c>
      <c r="O79" s="34">
        <v>2</v>
      </c>
      <c r="P79" s="53">
        <v>-3.3605914640988388E-4</v>
      </c>
      <c r="Q79" s="53">
        <v>-8.6123911930363617E-2</v>
      </c>
      <c r="R79" s="59">
        <f t="shared" ref="R79" si="44">((K79-D79)/D79)</f>
        <v>3.1749033847191617E-3</v>
      </c>
      <c r="S79" s="59">
        <f t="shared" ref="S79" si="45">((N79-G79)/G79)</f>
        <v>-3.3605914640985547E-4</v>
      </c>
      <c r="T79" s="59">
        <f t="shared" ref="T79" si="46">((O79-H79)/H79)</f>
        <v>1</v>
      </c>
      <c r="U79" s="60">
        <f t="shared" ref="U79" si="47">P79-I79</f>
        <v>-1.121200578420023E-4</v>
      </c>
      <c r="V79" s="61">
        <f t="shared" ref="V79" si="48">Q79-J79</f>
        <v>-3.0721966205848883E-4</v>
      </c>
    </row>
    <row r="80" spans="1:22">
      <c r="A80" s="143">
        <v>69</v>
      </c>
      <c r="B80" s="140" t="s">
        <v>127</v>
      </c>
      <c r="C80" s="141" t="s">
        <v>29</v>
      </c>
      <c r="D80" s="31">
        <v>125674839.75</v>
      </c>
      <c r="E80" s="32">
        <f t="shared" si="41"/>
        <v>6.5059048549998119E-4</v>
      </c>
      <c r="F80" s="63">
        <v>132.75829999999999</v>
      </c>
      <c r="G80" s="63">
        <v>132.75829999999999</v>
      </c>
      <c r="H80" s="34">
        <v>188</v>
      </c>
      <c r="I80" s="53">
        <v>1.7489000000000001E-2</v>
      </c>
      <c r="J80" s="53">
        <v>1.5299999999999999E-2</v>
      </c>
      <c r="K80" s="31">
        <v>127297908.34</v>
      </c>
      <c r="L80" s="32">
        <f t="shared" si="35"/>
        <v>6.5999870591385652E-4</v>
      </c>
      <c r="M80" s="63">
        <v>133.35489999999999</v>
      </c>
      <c r="N80" s="63">
        <v>133.35489999999999</v>
      </c>
      <c r="O80" s="34">
        <v>200</v>
      </c>
      <c r="P80" s="53">
        <v>8.0499999999999999E-3</v>
      </c>
      <c r="Q80" s="53">
        <v>1.9900000000000001E-2</v>
      </c>
      <c r="R80" s="59">
        <f t="shared" si="36"/>
        <v>1.2914825220614642E-2</v>
      </c>
      <c r="S80" s="59">
        <f t="shared" si="37"/>
        <v>4.4938809852189667E-3</v>
      </c>
      <c r="T80" s="59">
        <f t="shared" si="38"/>
        <v>6.3829787234042548E-2</v>
      </c>
      <c r="U80" s="60">
        <f t="shared" si="39"/>
        <v>-9.4390000000000012E-3</v>
      </c>
      <c r="V80" s="61">
        <f t="shared" si="40"/>
        <v>4.6000000000000017E-3</v>
      </c>
    </row>
    <row r="81" spans="1:22">
      <c r="A81" s="143">
        <v>70</v>
      </c>
      <c r="B81" s="140" t="s">
        <v>128</v>
      </c>
      <c r="C81" s="141" t="s">
        <v>98</v>
      </c>
      <c r="D81" s="31">
        <v>1541620584.7900004</v>
      </c>
      <c r="E81" s="32">
        <f t="shared" si="41"/>
        <v>7.9806243374604437E-3</v>
      </c>
      <c r="F81" s="37">
        <v>1000</v>
      </c>
      <c r="G81" s="37">
        <v>1000</v>
      </c>
      <c r="H81" s="34">
        <v>337</v>
      </c>
      <c r="I81" s="53">
        <v>1.0200000000000001E-2</v>
      </c>
      <c r="J81" s="53">
        <v>0.20399999999999999</v>
      </c>
      <c r="K81" s="31">
        <v>1540193033.1900003</v>
      </c>
      <c r="L81" s="32">
        <f t="shared" si="35"/>
        <v>7.985405432176464E-3</v>
      </c>
      <c r="M81" s="37">
        <v>1000</v>
      </c>
      <c r="N81" s="37">
        <v>1000</v>
      </c>
      <c r="O81" s="34">
        <v>337</v>
      </c>
      <c r="P81" s="53">
        <v>1.03E-2</v>
      </c>
      <c r="Q81" s="53">
        <v>0.20599999999999999</v>
      </c>
      <c r="R81" s="59">
        <f t="shared" si="36"/>
        <v>-9.2600709544534538E-4</v>
      </c>
      <c r="S81" s="59">
        <f t="shared" si="37"/>
        <v>0</v>
      </c>
      <c r="T81" s="59">
        <f t="shared" si="38"/>
        <v>0</v>
      </c>
      <c r="U81" s="60">
        <f t="shared" si="39"/>
        <v>9.9999999999999395E-5</v>
      </c>
      <c r="V81" s="61">
        <f t="shared" si="40"/>
        <v>2.0000000000000018E-3</v>
      </c>
    </row>
    <row r="82" spans="1:22">
      <c r="A82" s="143">
        <v>71</v>
      </c>
      <c r="B82" s="140" t="s">
        <v>129</v>
      </c>
      <c r="C82" s="141" t="s">
        <v>72</v>
      </c>
      <c r="D82" s="31">
        <v>191735824.44999999</v>
      </c>
      <c r="E82" s="32">
        <f t="shared" si="41"/>
        <v>9.9257340104676487E-4</v>
      </c>
      <c r="F82" s="37">
        <v>1028.83</v>
      </c>
      <c r="G82" s="37">
        <v>1032.94</v>
      </c>
      <c r="H82" s="34">
        <v>73</v>
      </c>
      <c r="I82" s="53">
        <v>3.5000000000000001E-3</v>
      </c>
      <c r="J82" s="53">
        <v>1.9900000000000001E-2</v>
      </c>
      <c r="K82" s="31">
        <v>172007472.96000001</v>
      </c>
      <c r="L82" s="32">
        <f t="shared" si="35"/>
        <v>8.9180341642299031E-4</v>
      </c>
      <c r="M82" s="37">
        <v>1029.74</v>
      </c>
      <c r="N82" s="37">
        <v>1034.19</v>
      </c>
      <c r="O82" s="34">
        <v>73</v>
      </c>
      <c r="P82" s="53">
        <v>1.1000000000000001E-3</v>
      </c>
      <c r="Q82" s="53">
        <v>2.0899999999999998E-2</v>
      </c>
      <c r="R82" s="59">
        <f t="shared" si="36"/>
        <v>-0.10289340318425809</v>
      </c>
      <c r="S82" s="59">
        <f t="shared" si="37"/>
        <v>1.2101380525490347E-3</v>
      </c>
      <c r="T82" s="59">
        <f t="shared" si="38"/>
        <v>0</v>
      </c>
      <c r="U82" s="60">
        <f t="shared" si="39"/>
        <v>-2.4000000000000002E-3</v>
      </c>
      <c r="V82" s="61">
        <f t="shared" si="40"/>
        <v>9.9999999999999742E-4</v>
      </c>
    </row>
    <row r="83" spans="1:22">
      <c r="A83" s="143">
        <v>72</v>
      </c>
      <c r="B83" s="140" t="s">
        <v>130</v>
      </c>
      <c r="C83" s="141" t="s">
        <v>75</v>
      </c>
      <c r="D83" s="31">
        <v>626048294.24000001</v>
      </c>
      <c r="E83" s="32">
        <f t="shared" si="41"/>
        <v>3.2409117410156607E-3</v>
      </c>
      <c r="F83" s="64">
        <v>1.1458999999999999</v>
      </c>
      <c r="G83" s="64">
        <v>1.1458999999999999</v>
      </c>
      <c r="H83" s="34">
        <v>46</v>
      </c>
      <c r="I83" s="53">
        <v>1.6999999999999999E-3</v>
      </c>
      <c r="J83" s="53">
        <v>7.7999999999999996E-3</v>
      </c>
      <c r="K83" s="31">
        <v>627546379.59000003</v>
      </c>
      <c r="L83" s="32">
        <f t="shared" si="35"/>
        <v>3.2536261108398806E-3</v>
      </c>
      <c r="M83" s="64">
        <v>1.1487000000000001</v>
      </c>
      <c r="N83" s="64">
        <v>1.1487000000000001</v>
      </c>
      <c r="O83" s="34">
        <v>47</v>
      </c>
      <c r="P83" s="53">
        <v>1.6999999999999999E-3</v>
      </c>
      <c r="Q83" s="53">
        <v>2.4199999999999999E-2</v>
      </c>
      <c r="R83" s="59">
        <f t="shared" si="36"/>
        <v>2.3929229801969913E-3</v>
      </c>
      <c r="S83" s="59">
        <f t="shared" si="37"/>
        <v>2.4434941967014013E-3</v>
      </c>
      <c r="T83" s="59">
        <f t="shared" si="38"/>
        <v>2.1739130434782608E-2</v>
      </c>
      <c r="U83" s="60">
        <f t="shared" si="39"/>
        <v>0</v>
      </c>
      <c r="V83" s="61">
        <f t="shared" si="40"/>
        <v>1.6399999999999998E-2</v>
      </c>
    </row>
    <row r="84" spans="1:22">
      <c r="A84" s="143">
        <v>73</v>
      </c>
      <c r="B84" s="140" t="s">
        <v>131</v>
      </c>
      <c r="C84" s="141" t="s">
        <v>31</v>
      </c>
      <c r="D84" s="31">
        <v>13124307654.469999</v>
      </c>
      <c r="E84" s="32">
        <f t="shared" si="41"/>
        <v>6.7941599971467287E-2</v>
      </c>
      <c r="F84" s="64">
        <v>1698.99</v>
      </c>
      <c r="G84" s="64">
        <v>1698.99</v>
      </c>
      <c r="H84" s="34">
        <v>2158</v>
      </c>
      <c r="I84" s="53">
        <v>5.0000000000000001E-4</v>
      </c>
      <c r="J84" s="53">
        <v>3.5000000000000001E-3</v>
      </c>
      <c r="K84" s="31">
        <v>13061651034.48</v>
      </c>
      <c r="L84" s="32">
        <f t="shared" si="35"/>
        <v>6.7720458979029174E-2</v>
      </c>
      <c r="M84" s="64">
        <v>1699.83</v>
      </c>
      <c r="N84" s="64">
        <v>1699.83</v>
      </c>
      <c r="O84" s="34">
        <v>2151</v>
      </c>
      <c r="P84" s="53">
        <v>5.0000000000000001E-4</v>
      </c>
      <c r="Q84" s="53">
        <v>4.0000000000000001E-3</v>
      </c>
      <c r="R84" s="59">
        <f t="shared" si="36"/>
        <v>-4.7740895473948747E-3</v>
      </c>
      <c r="S84" s="59">
        <f t="shared" si="37"/>
        <v>4.9441138558785997E-4</v>
      </c>
      <c r="T84" s="59">
        <f t="shared" si="38"/>
        <v>-3.2437442075996291E-3</v>
      </c>
      <c r="U84" s="60">
        <f t="shared" si="39"/>
        <v>0</v>
      </c>
      <c r="V84" s="61">
        <f t="shared" si="40"/>
        <v>5.0000000000000001E-4</v>
      </c>
    </row>
    <row r="85" spans="1:22">
      <c r="A85" s="143">
        <v>74</v>
      </c>
      <c r="B85" s="140" t="s">
        <v>132</v>
      </c>
      <c r="C85" s="141" t="s">
        <v>80</v>
      </c>
      <c r="D85" s="31">
        <v>23510943.440000001</v>
      </c>
      <c r="E85" s="32">
        <f t="shared" si="41"/>
        <v>1.217108861059216E-4</v>
      </c>
      <c r="F85" s="63">
        <v>0.71699999999999997</v>
      </c>
      <c r="G85" s="63">
        <v>0.71699999999999997</v>
      </c>
      <c r="H85" s="34">
        <v>746</v>
      </c>
      <c r="I85" s="53">
        <v>1.4E-3</v>
      </c>
      <c r="J85" s="53">
        <v>4.0000000000000002E-4</v>
      </c>
      <c r="K85" s="31">
        <v>24019530.559999999</v>
      </c>
      <c r="L85" s="32">
        <f t="shared" si="35"/>
        <v>1.2453353941933537E-4</v>
      </c>
      <c r="M85" s="63">
        <v>0.71850000000000003</v>
      </c>
      <c r="N85" s="63">
        <v>0.71850000000000003</v>
      </c>
      <c r="O85" s="34">
        <v>746</v>
      </c>
      <c r="P85" s="53">
        <v>2.0999999999999999E-3</v>
      </c>
      <c r="Q85" s="53">
        <v>2.5000000000000001E-3</v>
      </c>
      <c r="R85" s="59">
        <f t="shared" si="36"/>
        <v>2.1631931585302529E-2</v>
      </c>
      <c r="S85" s="59">
        <f t="shared" si="37"/>
        <v>2.0920502092051001E-3</v>
      </c>
      <c r="T85" s="59">
        <f t="shared" si="38"/>
        <v>0</v>
      </c>
      <c r="U85" s="60">
        <f t="shared" si="39"/>
        <v>6.9999999999999988E-4</v>
      </c>
      <c r="V85" s="61">
        <f t="shared" si="40"/>
        <v>2.0999999999999999E-3</v>
      </c>
    </row>
    <row r="86" spans="1:22">
      <c r="A86" s="143">
        <v>75</v>
      </c>
      <c r="B86" s="140" t="s">
        <v>133</v>
      </c>
      <c r="C86" s="141" t="s">
        <v>37</v>
      </c>
      <c r="D86" s="31">
        <v>10835886459.76</v>
      </c>
      <c r="E86" s="32">
        <f t="shared" si="41"/>
        <v>5.6094956211614588E-2</v>
      </c>
      <c r="F86" s="63">
        <v>1</v>
      </c>
      <c r="G86" s="63">
        <v>1</v>
      </c>
      <c r="H86" s="34">
        <v>4291</v>
      </c>
      <c r="I86" s="53">
        <v>0.06</v>
      </c>
      <c r="J86" s="53">
        <v>0.06</v>
      </c>
      <c r="K86" s="31">
        <v>10902776309.059999</v>
      </c>
      <c r="L86" s="32">
        <f t="shared" si="35"/>
        <v>5.6527387988407014E-2</v>
      </c>
      <c r="M86" s="63">
        <v>1</v>
      </c>
      <c r="N86" s="63">
        <v>1</v>
      </c>
      <c r="O86" s="34">
        <v>4290</v>
      </c>
      <c r="P86" s="53">
        <v>0.06</v>
      </c>
      <c r="Q86" s="53">
        <v>0.06</v>
      </c>
      <c r="R86" s="59">
        <f t="shared" si="36"/>
        <v>6.1729928186679021E-3</v>
      </c>
      <c r="S86" s="59">
        <f t="shared" si="37"/>
        <v>0</v>
      </c>
      <c r="T86" s="59">
        <f t="shared" si="38"/>
        <v>-2.3304591004427873E-4</v>
      </c>
      <c r="U86" s="60">
        <f t="shared" si="39"/>
        <v>0</v>
      </c>
      <c r="V86" s="61">
        <f t="shared" si="40"/>
        <v>0</v>
      </c>
    </row>
    <row r="87" spans="1:22">
      <c r="A87" s="143">
        <v>76</v>
      </c>
      <c r="B87" s="140" t="s">
        <v>134</v>
      </c>
      <c r="C87" s="141" t="s">
        <v>135</v>
      </c>
      <c r="D87" s="31">
        <v>1205895012.4000001</v>
      </c>
      <c r="E87" s="32">
        <f t="shared" si="41"/>
        <v>6.2426482750245309E-3</v>
      </c>
      <c r="F87" s="31">
        <v>240.44</v>
      </c>
      <c r="G87" s="31">
        <v>244.81</v>
      </c>
      <c r="H87" s="34">
        <v>508</v>
      </c>
      <c r="I87" s="53">
        <v>2.8E-3</v>
      </c>
      <c r="J87" s="53">
        <v>0.1825</v>
      </c>
      <c r="K87" s="31">
        <v>1223847698.4400001</v>
      </c>
      <c r="L87" s="32">
        <f t="shared" si="35"/>
        <v>6.3452566325651206E-3</v>
      </c>
      <c r="M87" s="31">
        <v>241.39</v>
      </c>
      <c r="N87" s="31">
        <v>245.85</v>
      </c>
      <c r="O87" s="34">
        <v>508</v>
      </c>
      <c r="P87" s="53">
        <v>3.0000000000000001E-3</v>
      </c>
      <c r="Q87" s="53">
        <v>0.1865</v>
      </c>
      <c r="R87" s="59">
        <f t="shared" si="36"/>
        <v>1.4887437011842442E-2</v>
      </c>
      <c r="S87" s="59">
        <f t="shared" si="37"/>
        <v>4.2481924757975251E-3</v>
      </c>
      <c r="T87" s="59">
        <f t="shared" si="38"/>
        <v>0</v>
      </c>
      <c r="U87" s="60">
        <f t="shared" si="39"/>
        <v>2.0000000000000009E-4</v>
      </c>
      <c r="V87" s="61">
        <f t="shared" si="40"/>
        <v>4.0000000000000036E-3</v>
      </c>
    </row>
    <row r="88" spans="1:22">
      <c r="A88" s="143">
        <v>77</v>
      </c>
      <c r="B88" s="140" t="s">
        <v>136</v>
      </c>
      <c r="C88" s="141" t="s">
        <v>41</v>
      </c>
      <c r="D88" s="31">
        <v>1099086735.6300001</v>
      </c>
      <c r="E88" s="32">
        <f t="shared" si="41"/>
        <v>5.6897257586525883E-3</v>
      </c>
      <c r="F88" s="63">
        <v>3.66</v>
      </c>
      <c r="G88" s="63">
        <v>3.66</v>
      </c>
      <c r="H88" s="49">
        <v>771</v>
      </c>
      <c r="I88" s="56">
        <v>1.9E-3</v>
      </c>
      <c r="J88" s="56">
        <v>9.11E-2</v>
      </c>
      <c r="K88" s="31">
        <v>1101154850.3</v>
      </c>
      <c r="L88" s="32">
        <f t="shared" si="35"/>
        <v>5.7091336824455982E-3</v>
      </c>
      <c r="M88" s="63">
        <v>3.67</v>
      </c>
      <c r="N88" s="63">
        <v>3.67</v>
      </c>
      <c r="O88" s="49">
        <v>771</v>
      </c>
      <c r="P88" s="56">
        <v>1.9E-3</v>
      </c>
      <c r="Q88" s="56">
        <v>9.2100000000000001E-2</v>
      </c>
      <c r="R88" s="59">
        <f t="shared" si="36"/>
        <v>1.8816664808663966E-3</v>
      </c>
      <c r="S88" s="59">
        <f t="shared" si="37"/>
        <v>2.7322404371584114E-3</v>
      </c>
      <c r="T88" s="59">
        <f t="shared" si="38"/>
        <v>0</v>
      </c>
      <c r="U88" s="60">
        <f t="shared" si="39"/>
        <v>0</v>
      </c>
      <c r="V88" s="61">
        <f t="shared" si="40"/>
        <v>1.0000000000000009E-3</v>
      </c>
    </row>
    <row r="89" spans="1:22">
      <c r="A89" s="143">
        <v>78</v>
      </c>
      <c r="B89" s="140" t="s">
        <v>137</v>
      </c>
      <c r="C89" s="141" t="s">
        <v>43</v>
      </c>
      <c r="D89" s="31">
        <v>561533749.11000001</v>
      </c>
      <c r="E89" s="32">
        <f t="shared" si="41"/>
        <v>2.9069343966129824E-3</v>
      </c>
      <c r="F89" s="63">
        <v>106.22790000000001</v>
      </c>
      <c r="G89" s="63">
        <v>106.22790000000001</v>
      </c>
      <c r="H89" s="49">
        <v>59</v>
      </c>
      <c r="I89" s="56">
        <v>0.1467</v>
      </c>
      <c r="J89" s="56">
        <v>0.17030000000000001</v>
      </c>
      <c r="K89" s="31">
        <v>562519350.75999999</v>
      </c>
      <c r="L89" s="32">
        <f t="shared" si="35"/>
        <v>2.9164818840659887E-3</v>
      </c>
      <c r="M89" s="63">
        <v>106.48584</v>
      </c>
      <c r="N89" s="63">
        <v>106.48584</v>
      </c>
      <c r="O89" s="49">
        <v>59</v>
      </c>
      <c r="P89" s="56">
        <v>0.1482</v>
      </c>
      <c r="Q89" s="56">
        <v>0.17180000000000001</v>
      </c>
      <c r="R89" s="59">
        <f t="shared" si="36"/>
        <v>1.7551957501434248E-3</v>
      </c>
      <c r="S89" s="59">
        <f t="shared" si="37"/>
        <v>2.4281756487701507E-3</v>
      </c>
      <c r="T89" s="59">
        <f t="shared" si="38"/>
        <v>0</v>
      </c>
      <c r="U89" s="60">
        <f t="shared" si="39"/>
        <v>1.5000000000000013E-3</v>
      </c>
      <c r="V89" s="61">
        <f t="shared" si="40"/>
        <v>1.5000000000000013E-3</v>
      </c>
    </row>
    <row r="90" spans="1:22">
      <c r="A90" s="143">
        <v>79</v>
      </c>
      <c r="B90" s="141" t="s">
        <v>138</v>
      </c>
      <c r="C90" s="145" t="s">
        <v>47</v>
      </c>
      <c r="D90" s="31">
        <v>1409419513.29</v>
      </c>
      <c r="E90" s="32">
        <f t="shared" si="41"/>
        <v>7.2962490125195343E-3</v>
      </c>
      <c r="F90" s="63">
        <v>98.46</v>
      </c>
      <c r="G90" s="63">
        <v>98.46</v>
      </c>
      <c r="H90" s="34">
        <v>289</v>
      </c>
      <c r="I90" s="53">
        <v>2.0999999999999999E-3</v>
      </c>
      <c r="J90" s="53">
        <v>1.21E-2</v>
      </c>
      <c r="K90" s="31">
        <v>1408867614.74</v>
      </c>
      <c r="L90" s="32">
        <f t="shared" si="35"/>
        <v>7.304525381900252E-3</v>
      </c>
      <c r="M90" s="63">
        <v>98.66</v>
      </c>
      <c r="N90" s="63">
        <v>98.66</v>
      </c>
      <c r="O90" s="34">
        <v>289</v>
      </c>
      <c r="P90" s="53">
        <v>1.8E-3</v>
      </c>
      <c r="Q90" s="53">
        <v>1.5599999999999999E-2</v>
      </c>
      <c r="R90" s="59">
        <f t="shared" si="36"/>
        <v>-3.9157862140822691E-4</v>
      </c>
      <c r="S90" s="59">
        <f t="shared" si="37"/>
        <v>2.0312817387771972E-3</v>
      </c>
      <c r="T90" s="59">
        <f t="shared" si="38"/>
        <v>0</v>
      </c>
      <c r="U90" s="60">
        <f t="shared" si="39"/>
        <v>-2.9999999999999992E-4</v>
      </c>
      <c r="V90" s="61">
        <f t="shared" si="40"/>
        <v>3.4999999999999996E-3</v>
      </c>
    </row>
    <row r="91" spans="1:22">
      <c r="A91" s="143">
        <v>80</v>
      </c>
      <c r="B91" s="140" t="s">
        <v>139</v>
      </c>
      <c r="C91" s="141" t="s">
        <v>19</v>
      </c>
      <c r="D91" s="31">
        <v>1378842374.54</v>
      </c>
      <c r="E91" s="32">
        <f t="shared" si="41"/>
        <v>7.1379580166118766E-3</v>
      </c>
      <c r="F91" s="63">
        <v>348.5367</v>
      </c>
      <c r="G91" s="63">
        <v>348.5367</v>
      </c>
      <c r="H91" s="34">
        <v>196</v>
      </c>
      <c r="I91" s="53">
        <v>3.0999999999999999E-3</v>
      </c>
      <c r="J91" s="53">
        <v>1.6799999999999999E-2</v>
      </c>
      <c r="K91" s="31">
        <v>1378842374.54</v>
      </c>
      <c r="L91" s="32">
        <f t="shared" si="35"/>
        <v>7.1488541698971099E-3</v>
      </c>
      <c r="M91" s="63">
        <v>348.5367</v>
      </c>
      <c r="N91" s="63">
        <v>348.5367</v>
      </c>
      <c r="O91" s="34">
        <v>196</v>
      </c>
      <c r="P91" s="53">
        <v>3.0999999999999999E-3</v>
      </c>
      <c r="Q91" s="53">
        <v>1.6799999999999999E-2</v>
      </c>
      <c r="R91" s="59">
        <f t="shared" si="36"/>
        <v>0</v>
      </c>
      <c r="S91" s="59">
        <f t="shared" si="37"/>
        <v>0</v>
      </c>
      <c r="T91" s="59">
        <f t="shared" si="38"/>
        <v>0</v>
      </c>
      <c r="U91" s="60">
        <f t="shared" si="39"/>
        <v>0</v>
      </c>
      <c r="V91" s="61">
        <f t="shared" si="40"/>
        <v>0</v>
      </c>
    </row>
    <row r="92" spans="1:22">
      <c r="A92" s="143">
        <v>81</v>
      </c>
      <c r="B92" s="140" t="s">
        <v>140</v>
      </c>
      <c r="C92" s="141" t="s">
        <v>89</v>
      </c>
      <c r="D92" s="47">
        <v>1388777904</v>
      </c>
      <c r="E92" s="32">
        <f>(D92/$K$66)</f>
        <v>6.7016311847184875E-4</v>
      </c>
      <c r="F92" s="63">
        <v>102.52</v>
      </c>
      <c r="G92" s="63">
        <v>102.52</v>
      </c>
      <c r="H92" s="34">
        <v>386</v>
      </c>
      <c r="I92" s="53">
        <v>2.5999999999999999E-3</v>
      </c>
      <c r="J92" s="53">
        <v>0.1424</v>
      </c>
      <c r="K92" s="47">
        <v>1338205377</v>
      </c>
      <c r="L92" s="32">
        <f>(K92/$K$66)</f>
        <v>6.4575904183316853E-4</v>
      </c>
      <c r="M92" s="63">
        <v>102.77</v>
      </c>
      <c r="N92" s="63">
        <v>102.77</v>
      </c>
      <c r="O92" s="34">
        <v>386</v>
      </c>
      <c r="P92" s="53">
        <v>2.7000000000000001E-3</v>
      </c>
      <c r="Q92" s="53">
        <v>0.14080000000000001</v>
      </c>
      <c r="R92" s="59">
        <f t="shared" si="36"/>
        <v>-3.6415129340940322E-2</v>
      </c>
      <c r="S92" s="59">
        <f t="shared" si="37"/>
        <v>2.4385485758876319E-3</v>
      </c>
      <c r="T92" s="59">
        <f t="shared" si="38"/>
        <v>0</v>
      </c>
      <c r="U92" s="60">
        <f t="shared" si="39"/>
        <v>1.0000000000000026E-4</v>
      </c>
      <c r="V92" s="61">
        <f t="shared" si="40"/>
        <v>-1.5999999999999903E-3</v>
      </c>
    </row>
    <row r="93" spans="1:22">
      <c r="A93" s="143">
        <v>82</v>
      </c>
      <c r="B93" s="140" t="s">
        <v>141</v>
      </c>
      <c r="C93" s="141" t="s">
        <v>45</v>
      </c>
      <c r="D93" s="31">
        <v>59296849.659999996</v>
      </c>
      <c r="E93" s="32">
        <f t="shared" ref="E93:E105" si="49">(D93/$D$106)</f>
        <v>3.0696650408037454E-4</v>
      </c>
      <c r="F93" s="31">
        <v>12.315526</v>
      </c>
      <c r="G93" s="31">
        <v>12.653319</v>
      </c>
      <c r="H93" s="34">
        <v>56</v>
      </c>
      <c r="I93" s="53">
        <v>0</v>
      </c>
      <c r="J93" s="53">
        <v>4.4000000000000003E-3</v>
      </c>
      <c r="K93" s="31">
        <v>59351251.149999999</v>
      </c>
      <c r="L93" s="32">
        <f t="shared" ref="L93:L105" si="50">(K93/$K$106)</f>
        <v>3.0771714527111051E-4</v>
      </c>
      <c r="M93" s="31">
        <v>12.336309</v>
      </c>
      <c r="N93" s="31">
        <v>12.336309</v>
      </c>
      <c r="O93" s="34">
        <v>56</v>
      </c>
      <c r="P93" s="53">
        <v>0</v>
      </c>
      <c r="Q93" s="53">
        <v>4.4000000000000003E-3</v>
      </c>
      <c r="R93" s="59">
        <f t="shared" si="36"/>
        <v>9.1744317467003342E-4</v>
      </c>
      <c r="S93" s="59">
        <f t="shared" si="37"/>
        <v>-2.5053505724466428E-2</v>
      </c>
      <c r="T93" s="59">
        <f t="shared" si="38"/>
        <v>0</v>
      </c>
      <c r="U93" s="60">
        <f t="shared" si="39"/>
        <v>0</v>
      </c>
      <c r="V93" s="61">
        <f t="shared" si="40"/>
        <v>0</v>
      </c>
    </row>
    <row r="94" spans="1:22">
      <c r="A94" s="143">
        <v>83</v>
      </c>
      <c r="B94" s="140" t="s">
        <v>142</v>
      </c>
      <c r="C94" s="141" t="s">
        <v>143</v>
      </c>
      <c r="D94" s="31">
        <v>420133900.99000001</v>
      </c>
      <c r="E94" s="32">
        <f t="shared" si="49"/>
        <v>2.1749390662746805E-3</v>
      </c>
      <c r="F94" s="31">
        <v>133.93</v>
      </c>
      <c r="G94" s="31">
        <v>133.93</v>
      </c>
      <c r="H94" s="34">
        <v>121</v>
      </c>
      <c r="I94" s="53">
        <v>0.1837</v>
      </c>
      <c r="J94" s="53">
        <v>0.1908</v>
      </c>
      <c r="K94" s="31">
        <v>421026363.5</v>
      </c>
      <c r="L94" s="32">
        <f t="shared" si="50"/>
        <v>2.1828862601845399E-3</v>
      </c>
      <c r="M94" s="31">
        <v>134.43</v>
      </c>
      <c r="N94" s="31">
        <v>134.43</v>
      </c>
      <c r="O94" s="34">
        <v>120</v>
      </c>
      <c r="P94" s="53">
        <v>0.22739999999999999</v>
      </c>
      <c r="Q94" s="53">
        <v>0.19389999999999999</v>
      </c>
      <c r="R94" s="59">
        <f t="shared" si="36"/>
        <v>2.1242335072151979E-3</v>
      </c>
      <c r="S94" s="59">
        <f t="shared" si="37"/>
        <v>3.733293511535877E-3</v>
      </c>
      <c r="T94" s="59">
        <f t="shared" si="38"/>
        <v>-8.2644628099173556E-3</v>
      </c>
      <c r="U94" s="60">
        <f t="shared" si="39"/>
        <v>4.3699999999999989E-2</v>
      </c>
      <c r="V94" s="61">
        <f t="shared" si="40"/>
        <v>3.0999999999999917E-3</v>
      </c>
    </row>
    <row r="95" spans="1:22">
      <c r="A95" s="143">
        <v>84</v>
      </c>
      <c r="B95" s="140" t="s">
        <v>144</v>
      </c>
      <c r="C95" s="141" t="s">
        <v>145</v>
      </c>
      <c r="D95" s="31">
        <v>8037257833.905714</v>
      </c>
      <c r="E95" s="32">
        <f t="shared" si="49"/>
        <v>4.1607082902600206E-2</v>
      </c>
      <c r="F95" s="31">
        <v>1.0195753262995404</v>
      </c>
      <c r="G95" s="31">
        <v>1.0195753262995404</v>
      </c>
      <c r="H95" s="34">
        <v>4540</v>
      </c>
      <c r="I95" s="53">
        <v>0.19040000000000001</v>
      </c>
      <c r="J95" s="53">
        <v>0.19040000000000001</v>
      </c>
      <c r="K95" s="31">
        <v>8068723294.7126703</v>
      </c>
      <c r="L95" s="32">
        <f t="shared" si="50"/>
        <v>4.1833734759128022E-2</v>
      </c>
      <c r="M95" s="31">
        <v>1.0265036315135623</v>
      </c>
      <c r="N95" s="31">
        <v>1.0265036315135623</v>
      </c>
      <c r="O95" s="34">
        <v>4547</v>
      </c>
      <c r="P95" s="53">
        <v>0.1903</v>
      </c>
      <c r="Q95" s="53">
        <v>0.1903</v>
      </c>
      <c r="R95" s="59">
        <f t="shared" si="36"/>
        <v>3.914949782277374E-3</v>
      </c>
      <c r="S95" s="59">
        <f t="shared" si="37"/>
        <v>6.7952852872259651E-3</v>
      </c>
      <c r="T95" s="59">
        <f t="shared" si="38"/>
        <v>1.5418502202643172E-3</v>
      </c>
      <c r="U95" s="60">
        <f t="shared" si="39"/>
        <v>-1.0000000000001674E-4</v>
      </c>
      <c r="V95" s="61">
        <f t="shared" si="40"/>
        <v>-1.0000000000001674E-4</v>
      </c>
    </row>
    <row r="96" spans="1:22" ht="14.25" customHeight="1">
      <c r="A96" s="143">
        <v>85</v>
      </c>
      <c r="B96" s="140" t="s">
        <v>146</v>
      </c>
      <c r="C96" s="141" t="s">
        <v>49</v>
      </c>
      <c r="D96" s="31">
        <v>5148931982.0900002</v>
      </c>
      <c r="E96" s="32">
        <f t="shared" si="49"/>
        <v>2.665486715318699E-2</v>
      </c>
      <c r="F96" s="31">
        <v>5168.91</v>
      </c>
      <c r="G96" s="31">
        <v>5168.91</v>
      </c>
      <c r="H96" s="34">
        <v>271</v>
      </c>
      <c r="I96" s="53">
        <v>1E-4</v>
      </c>
      <c r="J96" s="53">
        <v>2.9999999999999997E-4</v>
      </c>
      <c r="K96" s="31">
        <v>4862217927.8900003</v>
      </c>
      <c r="L96" s="32">
        <f t="shared" si="50"/>
        <v>2.5209035891677663E-2</v>
      </c>
      <c r="M96" s="31">
        <v>5169.2</v>
      </c>
      <c r="N96" s="31">
        <v>5169.2</v>
      </c>
      <c r="O96" s="34">
        <v>265</v>
      </c>
      <c r="P96" s="53">
        <v>1E-4</v>
      </c>
      <c r="Q96" s="53">
        <v>4.0000000000000002E-4</v>
      </c>
      <c r="R96" s="59">
        <f t="shared" si="36"/>
        <v>-5.5684179786663228E-2</v>
      </c>
      <c r="S96" s="59">
        <f t="shared" si="37"/>
        <v>5.6104671971453094E-5</v>
      </c>
      <c r="T96" s="59">
        <f t="shared" si="38"/>
        <v>-2.2140221402214021E-2</v>
      </c>
      <c r="U96" s="60">
        <f t="shared" si="39"/>
        <v>0</v>
      </c>
      <c r="V96" s="61">
        <f t="shared" si="40"/>
        <v>1.0000000000000005E-4</v>
      </c>
    </row>
    <row r="97" spans="1:28" ht="13.5" customHeight="1">
      <c r="A97" s="143">
        <v>86</v>
      </c>
      <c r="B97" s="140" t="s">
        <v>147</v>
      </c>
      <c r="C97" s="141" t="s">
        <v>49</v>
      </c>
      <c r="D97" s="31">
        <v>20966496478.130001</v>
      </c>
      <c r="E97" s="32">
        <f t="shared" si="49"/>
        <v>0.10853885431702126</v>
      </c>
      <c r="F97" s="63">
        <v>258.98</v>
      </c>
      <c r="G97" s="63">
        <v>258.98</v>
      </c>
      <c r="H97" s="34">
        <v>6306</v>
      </c>
      <c r="I97" s="53">
        <v>0</v>
      </c>
      <c r="J97" s="53">
        <v>5.0000000000000001E-4</v>
      </c>
      <c r="K97" s="31">
        <v>20724356935.630001</v>
      </c>
      <c r="L97" s="32">
        <f t="shared" si="50"/>
        <v>0.10744912415905496</v>
      </c>
      <c r="M97" s="63">
        <v>258.99</v>
      </c>
      <c r="N97" s="63">
        <v>258.99</v>
      </c>
      <c r="O97" s="34">
        <v>6299</v>
      </c>
      <c r="P97" s="53">
        <v>0</v>
      </c>
      <c r="Q97" s="53">
        <v>5.0000000000000001E-4</v>
      </c>
      <c r="R97" s="59">
        <f t="shared" si="36"/>
        <v>-1.1548879554224713E-2</v>
      </c>
      <c r="S97" s="59">
        <f t="shared" si="37"/>
        <v>3.8613020310413559E-5</v>
      </c>
      <c r="T97" s="59">
        <f t="shared" si="38"/>
        <v>-1.1100539169045353E-3</v>
      </c>
      <c r="U97" s="60">
        <f t="shared" si="39"/>
        <v>0</v>
      </c>
      <c r="V97" s="61">
        <f t="shared" si="40"/>
        <v>0</v>
      </c>
    </row>
    <row r="98" spans="1:28" ht="13.5" customHeight="1">
      <c r="A98" s="143">
        <v>87</v>
      </c>
      <c r="B98" s="140" t="s">
        <v>148</v>
      </c>
      <c r="C98" s="141" t="s">
        <v>49</v>
      </c>
      <c r="D98" s="31">
        <v>418660481.33999997</v>
      </c>
      <c r="E98" s="32">
        <f t="shared" si="49"/>
        <v>2.1673115028948853E-3</v>
      </c>
      <c r="F98" s="37">
        <v>7239.78</v>
      </c>
      <c r="G98" s="37">
        <v>7275.01</v>
      </c>
      <c r="H98" s="34">
        <v>15</v>
      </c>
      <c r="I98" s="53">
        <v>1.5800000000000002E-2</v>
      </c>
      <c r="J98" s="53">
        <v>6.6199999999999995E-2</v>
      </c>
      <c r="K98" s="31">
        <v>420411828.17000002</v>
      </c>
      <c r="L98" s="32">
        <f t="shared" si="50"/>
        <v>2.1797000921804669E-3</v>
      </c>
      <c r="M98" s="37">
        <v>7270.36</v>
      </c>
      <c r="N98" s="37">
        <v>7305.24</v>
      </c>
      <c r="O98" s="34">
        <v>15</v>
      </c>
      <c r="P98" s="53">
        <v>4.1999999999999997E-3</v>
      </c>
      <c r="Q98" s="53">
        <v>7.0599999999999996E-2</v>
      </c>
      <c r="R98" s="59">
        <f t="shared" si="36"/>
        <v>4.1832150586425896E-3</v>
      </c>
      <c r="S98" s="59">
        <f t="shared" si="37"/>
        <v>4.155320748699942E-3</v>
      </c>
      <c r="T98" s="59">
        <f t="shared" si="38"/>
        <v>0</v>
      </c>
      <c r="U98" s="60">
        <f t="shared" si="39"/>
        <v>-1.1600000000000003E-2</v>
      </c>
      <c r="V98" s="61">
        <f t="shared" si="40"/>
        <v>4.4000000000000011E-3</v>
      </c>
    </row>
    <row r="99" spans="1:28" ht="15" customHeight="1">
      <c r="A99" s="143">
        <v>88</v>
      </c>
      <c r="B99" s="140" t="s">
        <v>149</v>
      </c>
      <c r="C99" s="141" t="s">
        <v>49</v>
      </c>
      <c r="D99" s="31">
        <v>7745350395.9899998</v>
      </c>
      <c r="E99" s="32">
        <f t="shared" si="49"/>
        <v>4.0095943504034628E-2</v>
      </c>
      <c r="F99" s="63">
        <v>140.75</v>
      </c>
      <c r="G99" s="63">
        <v>140.75</v>
      </c>
      <c r="H99" s="34">
        <v>4482</v>
      </c>
      <c r="I99" s="53">
        <v>3.3999999999999998E-3</v>
      </c>
      <c r="J99" s="53">
        <v>2.0799999999999999E-2</v>
      </c>
      <c r="K99" s="31">
        <v>7767284098.6099997</v>
      </c>
      <c r="L99" s="32">
        <f t="shared" si="50"/>
        <v>4.0270869493438805E-2</v>
      </c>
      <c r="M99" s="63">
        <v>141.19999999999999</v>
      </c>
      <c r="N99" s="63">
        <v>141.19999999999999</v>
      </c>
      <c r="O99" s="34">
        <v>4486</v>
      </c>
      <c r="P99" s="53">
        <v>3.2000000000000002E-3</v>
      </c>
      <c r="Q99" s="53">
        <v>2.41E-2</v>
      </c>
      <c r="R99" s="59">
        <f t="shared" si="36"/>
        <v>2.8318541445659607E-3</v>
      </c>
      <c r="S99" s="59">
        <f t="shared" si="37"/>
        <v>3.1971580817050701E-3</v>
      </c>
      <c r="T99" s="59">
        <f t="shared" si="38"/>
        <v>8.9245872378402495E-4</v>
      </c>
      <c r="U99" s="60">
        <f t="shared" si="39"/>
        <v>-1.9999999999999966E-4</v>
      </c>
      <c r="V99" s="61">
        <f t="shared" si="40"/>
        <v>3.3000000000000008E-3</v>
      </c>
    </row>
    <row r="100" spans="1:28" ht="15" customHeight="1">
      <c r="A100" s="143">
        <v>89</v>
      </c>
      <c r="B100" s="140" t="s">
        <v>150</v>
      </c>
      <c r="C100" s="141" t="s">
        <v>49</v>
      </c>
      <c r="D100" s="31">
        <v>7786570701</v>
      </c>
      <c r="E100" s="32">
        <f t="shared" si="49"/>
        <v>4.030933178686244E-2</v>
      </c>
      <c r="F100" s="63">
        <v>361.91</v>
      </c>
      <c r="G100" s="63">
        <v>362.58</v>
      </c>
      <c r="H100" s="34">
        <v>10158</v>
      </c>
      <c r="I100" s="53">
        <v>1E-4</v>
      </c>
      <c r="J100" s="53">
        <v>2.35E-2</v>
      </c>
      <c r="K100" s="31">
        <v>7633932979.6800003</v>
      </c>
      <c r="L100" s="32">
        <f t="shared" si="50"/>
        <v>3.9579486837795365E-2</v>
      </c>
      <c r="M100" s="63">
        <v>360.53</v>
      </c>
      <c r="N100" s="63">
        <v>361.18</v>
      </c>
      <c r="O100" s="34">
        <v>10160</v>
      </c>
      <c r="P100" s="53">
        <v>-3.8999999999999998E-3</v>
      </c>
      <c r="Q100" s="53">
        <v>1.9599999999999999E-2</v>
      </c>
      <c r="R100" s="59">
        <f t="shared" si="36"/>
        <v>-1.960268867787934E-2</v>
      </c>
      <c r="S100" s="59">
        <f t="shared" si="37"/>
        <v>-3.8612168349053378E-3</v>
      </c>
      <c r="T100" s="59">
        <f t="shared" si="38"/>
        <v>1.9688915140775743E-4</v>
      </c>
      <c r="U100" s="60">
        <f t="shared" si="39"/>
        <v>-4.0000000000000001E-3</v>
      </c>
      <c r="V100" s="61">
        <f t="shared" si="40"/>
        <v>-3.9000000000000007E-3</v>
      </c>
    </row>
    <row r="101" spans="1:28">
      <c r="A101" s="143">
        <v>90</v>
      </c>
      <c r="B101" s="140" t="s">
        <v>151</v>
      </c>
      <c r="C101" s="141" t="s">
        <v>52</v>
      </c>
      <c r="D101" s="31">
        <v>87848274497.630005</v>
      </c>
      <c r="E101" s="32">
        <f t="shared" si="49"/>
        <v>0.45477083296419096</v>
      </c>
      <c r="F101" s="31">
        <v>1.9812000000000001</v>
      </c>
      <c r="G101" s="31">
        <v>1.9812000000000001</v>
      </c>
      <c r="H101" s="34">
        <v>6410</v>
      </c>
      <c r="I101" s="53">
        <v>8.5099999999999995E-2</v>
      </c>
      <c r="J101" s="53">
        <v>7.5499999999999998E-2</v>
      </c>
      <c r="K101" s="31">
        <v>88089021416.179993</v>
      </c>
      <c r="L101" s="32">
        <f t="shared" si="50"/>
        <v>0.45671323981706191</v>
      </c>
      <c r="M101" s="31">
        <v>1.9843</v>
      </c>
      <c r="N101" s="31">
        <v>1.9843</v>
      </c>
      <c r="O101" s="34">
        <v>6410</v>
      </c>
      <c r="P101" s="53">
        <v>8.4900000000000003E-2</v>
      </c>
      <c r="Q101" s="53">
        <v>7.6700000000000004E-2</v>
      </c>
      <c r="R101" s="59">
        <f t="shared" si="36"/>
        <v>2.7404854554824833E-3</v>
      </c>
      <c r="S101" s="59">
        <f t="shared" si="37"/>
        <v>1.5647082576215831E-3</v>
      </c>
      <c r="T101" s="59">
        <f t="shared" si="38"/>
        <v>0</v>
      </c>
      <c r="U101" s="60">
        <f t="shared" si="39"/>
        <v>-1.9999999999999185E-4</v>
      </c>
      <c r="V101" s="61">
        <f t="shared" si="40"/>
        <v>1.2000000000000066E-3</v>
      </c>
    </row>
    <row r="102" spans="1:28">
      <c r="A102" s="143">
        <v>91</v>
      </c>
      <c r="B102" s="140" t="s">
        <v>152</v>
      </c>
      <c r="C102" s="141" t="s">
        <v>52</v>
      </c>
      <c r="D102" s="31">
        <v>10796405805.870001</v>
      </c>
      <c r="E102" s="32">
        <f t="shared" si="49"/>
        <v>5.5890573712832438E-2</v>
      </c>
      <c r="F102" s="31">
        <v>111.5227</v>
      </c>
      <c r="G102" s="31">
        <v>111.5227</v>
      </c>
      <c r="H102" s="34">
        <v>330</v>
      </c>
      <c r="I102" s="53">
        <v>0.2243</v>
      </c>
      <c r="J102" s="53">
        <v>0.23319999999999999</v>
      </c>
      <c r="K102" s="31">
        <v>10913979524.299999</v>
      </c>
      <c r="L102" s="32">
        <f t="shared" si="50"/>
        <v>5.6585473055608002E-2</v>
      </c>
      <c r="M102" s="31">
        <v>111.9272</v>
      </c>
      <c r="N102" s="31">
        <v>111.9272</v>
      </c>
      <c r="O102" s="34">
        <v>330</v>
      </c>
      <c r="P102" s="53">
        <v>0.20979999999999999</v>
      </c>
      <c r="Q102" s="53">
        <v>0.22800000000000001</v>
      </c>
      <c r="R102" s="59">
        <f t="shared" ref="R102:R104" si="51">((K102-D102)/D102)</f>
        <v>1.0890079582417476E-2</v>
      </c>
      <c r="S102" s="59">
        <f t="shared" ref="S102:S104" si="52">((N102-G102)/G102)</f>
        <v>3.6270642658400376E-3</v>
      </c>
      <c r="T102" s="59">
        <f t="shared" ref="T102:T104" si="53">((O102-H102)/H102)</f>
        <v>0</v>
      </c>
      <c r="U102" s="60">
        <f t="shared" ref="U102:U104" si="54">P102-I102</f>
        <v>-1.4500000000000013E-2</v>
      </c>
      <c r="V102" s="61">
        <f t="shared" ref="V102:V104" si="55">Q102-J102</f>
        <v>-5.1999999999999824E-3</v>
      </c>
    </row>
    <row r="103" spans="1:28">
      <c r="A103" s="143">
        <v>92</v>
      </c>
      <c r="B103" s="140" t="s">
        <v>153</v>
      </c>
      <c r="C103" s="140" t="s">
        <v>154</v>
      </c>
      <c r="D103" s="31">
        <v>97400323.060000002</v>
      </c>
      <c r="E103" s="32">
        <f t="shared" si="49"/>
        <v>5.0421964804980314E-4</v>
      </c>
      <c r="F103" s="31">
        <v>111.89901974141463</v>
      </c>
      <c r="G103" s="31">
        <v>111.89901974141463</v>
      </c>
      <c r="H103" s="65">
        <v>57</v>
      </c>
      <c r="I103" s="66">
        <v>2.2268437087384816E-3</v>
      </c>
      <c r="J103" s="66">
        <v>1.354686306232078E-2</v>
      </c>
      <c r="K103" s="31">
        <v>97656865.769999996</v>
      </c>
      <c r="L103" s="67">
        <f t="shared" si="50"/>
        <v>5.0631943503466354E-4</v>
      </c>
      <c r="M103" s="31">
        <v>112.14772317025077</v>
      </c>
      <c r="N103" s="31">
        <v>111.65039176892581</v>
      </c>
      <c r="O103" s="65">
        <v>56</v>
      </c>
      <c r="P103" s="66">
        <v>4.4999999999999997E-3</v>
      </c>
      <c r="Q103" s="66">
        <v>1.5800000000000002E-2</v>
      </c>
      <c r="R103" s="59">
        <f t="shared" si="51"/>
        <v>2.6338999906803124E-3</v>
      </c>
      <c r="S103" s="59">
        <f t="shared" si="52"/>
        <v>-2.2218958938457992E-3</v>
      </c>
      <c r="T103" s="59">
        <f t="shared" si="53"/>
        <v>-1.7543859649122806E-2</v>
      </c>
      <c r="U103" s="60">
        <f t="shared" si="54"/>
        <v>2.2731562912615181E-3</v>
      </c>
      <c r="V103" s="61">
        <f t="shared" si="55"/>
        <v>2.2531369376792218E-3</v>
      </c>
    </row>
    <row r="104" spans="1:28">
      <c r="A104" s="143">
        <v>93</v>
      </c>
      <c r="B104" s="140" t="s">
        <v>155</v>
      </c>
      <c r="C104" s="141" t="s">
        <v>110</v>
      </c>
      <c r="D104" s="31">
        <v>262612183.37</v>
      </c>
      <c r="E104" s="32">
        <f t="shared" si="49"/>
        <v>1.3594844299524829E-3</v>
      </c>
      <c r="F104" s="31">
        <v>1.1012</v>
      </c>
      <c r="G104" s="31">
        <v>1.1012</v>
      </c>
      <c r="H104" s="34">
        <v>416</v>
      </c>
      <c r="I104" s="53">
        <v>-9.6000000000000002E-4</v>
      </c>
      <c r="J104" s="53">
        <v>2.188E-2</v>
      </c>
      <c r="K104" s="31">
        <v>284749745.52999997</v>
      </c>
      <c r="L104" s="32">
        <f t="shared" si="50"/>
        <v>1.4763358330849062E-3</v>
      </c>
      <c r="M104" s="31">
        <v>1.1591</v>
      </c>
      <c r="N104" s="31">
        <v>1.1591</v>
      </c>
      <c r="O104" s="34">
        <v>416</v>
      </c>
      <c r="P104" s="53">
        <v>5.262E-2</v>
      </c>
      <c r="Q104" s="53">
        <v>7.6708999999999999E-2</v>
      </c>
      <c r="R104" s="59">
        <f t="shared" si="51"/>
        <v>8.4297544294850466E-2</v>
      </c>
      <c r="S104" s="59">
        <f t="shared" si="52"/>
        <v>5.2579004722121382E-2</v>
      </c>
      <c r="T104" s="59">
        <f t="shared" si="53"/>
        <v>0</v>
      </c>
      <c r="U104" s="60">
        <f t="shared" si="54"/>
        <v>5.3580000000000003E-2</v>
      </c>
      <c r="V104" s="61">
        <f t="shared" si="55"/>
        <v>5.4829000000000003E-2</v>
      </c>
    </row>
    <row r="105" spans="1:28">
      <c r="A105" s="143">
        <v>94</v>
      </c>
      <c r="B105" s="140" t="s">
        <v>156</v>
      </c>
      <c r="C105" s="141" t="s">
        <v>112</v>
      </c>
      <c r="D105" s="31">
        <v>2131444562.9100001</v>
      </c>
      <c r="E105" s="32">
        <f t="shared" si="49"/>
        <v>1.1034010910683593E-2</v>
      </c>
      <c r="F105" s="63">
        <v>28.5322</v>
      </c>
      <c r="G105" s="63">
        <v>28.5322</v>
      </c>
      <c r="H105" s="34">
        <v>1300</v>
      </c>
      <c r="I105" s="53">
        <v>0.12509999999999999</v>
      </c>
      <c r="J105" s="53">
        <v>0.12509999999999999</v>
      </c>
      <c r="K105" s="31">
        <v>2115447846.51</v>
      </c>
      <c r="L105" s="32">
        <f t="shared" si="50"/>
        <v>1.0967916592908683E-2</v>
      </c>
      <c r="M105" s="63">
        <v>28.590599999999998</v>
      </c>
      <c r="N105" s="63">
        <v>28.590599999999998</v>
      </c>
      <c r="O105" s="34">
        <v>1299</v>
      </c>
      <c r="P105" s="53">
        <v>0.1258</v>
      </c>
      <c r="Q105" s="53">
        <v>0.1258</v>
      </c>
      <c r="R105" s="59">
        <f t="shared" si="36"/>
        <v>-7.5051055412673918E-3</v>
      </c>
      <c r="S105" s="59">
        <f t="shared" si="37"/>
        <v>2.0468102705013596E-3</v>
      </c>
      <c r="T105" s="59">
        <f t="shared" si="38"/>
        <v>-7.6923076923076923E-4</v>
      </c>
      <c r="U105" s="60">
        <f t="shared" si="39"/>
        <v>7.0000000000000617E-4</v>
      </c>
      <c r="V105" s="61">
        <f t="shared" si="40"/>
        <v>7.0000000000000617E-4</v>
      </c>
    </row>
    <row r="106" spans="1:28">
      <c r="A106" s="38"/>
      <c r="B106" s="39"/>
      <c r="C106" s="40" t="s">
        <v>53</v>
      </c>
      <c r="D106" s="51">
        <f>SUM(D69:D105)</f>
        <v>193170423716.56946</v>
      </c>
      <c r="E106" s="42">
        <f>(D106/$D$214)</f>
        <v>4.5243725145913537E-2</v>
      </c>
      <c r="F106" s="43"/>
      <c r="G106" s="48"/>
      <c r="H106" s="45">
        <f>SUM(H69:H105)</f>
        <v>50062</v>
      </c>
      <c r="I106" s="56"/>
      <c r="J106" s="56"/>
      <c r="K106" s="51">
        <f>SUM(K69:K105)</f>
        <v>192875996875.99237</v>
      </c>
      <c r="L106" s="42">
        <f>(K106/$K$214)</f>
        <v>4.4808541093298064E-2</v>
      </c>
      <c r="M106" s="43"/>
      <c r="N106" s="48"/>
      <c r="O106" s="45">
        <f>SUM(O69:O105)</f>
        <v>50077</v>
      </c>
      <c r="P106" s="56"/>
      <c r="Q106" s="56"/>
      <c r="R106" s="59">
        <f t="shared" si="36"/>
        <v>-1.5241817816224654E-3</v>
      </c>
      <c r="S106" s="59" t="e">
        <f t="shared" si="37"/>
        <v>#DIV/0!</v>
      </c>
      <c r="T106" s="59">
        <f t="shared" si="38"/>
        <v>2.996284607087212E-4</v>
      </c>
      <c r="U106" s="60">
        <f t="shared" si="39"/>
        <v>0</v>
      </c>
      <c r="V106" s="61">
        <f t="shared" si="40"/>
        <v>0</v>
      </c>
    </row>
    <row r="107" spans="1:28" ht="3.75" customHeight="1">
      <c r="A107" s="38"/>
      <c r="B107" s="160"/>
      <c r="C107" s="160"/>
      <c r="D107" s="160"/>
      <c r="E107" s="160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</row>
    <row r="108" spans="1:28" ht="15" customHeight="1">
      <c r="A108" s="164" t="s">
        <v>157</v>
      </c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</row>
    <row r="109" spans="1:28">
      <c r="A109" s="163" t="s">
        <v>158</v>
      </c>
      <c r="B109" s="163"/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Z109" s="68"/>
      <c r="AB109" s="71"/>
    </row>
    <row r="110" spans="1:28" ht="16.5" customHeight="1">
      <c r="A110" s="143">
        <v>95</v>
      </c>
      <c r="B110" s="140" t="s">
        <v>159</v>
      </c>
      <c r="C110" s="141" t="s">
        <v>19</v>
      </c>
      <c r="D110" s="31">
        <f>1898334.63*1508.6637</f>
        <v>2863948546.7339311</v>
      </c>
      <c r="E110" s="32">
        <f t="shared" ref="E110:E115" si="56">(D110/$D$143)</f>
        <v>1.6096911623556948E-3</v>
      </c>
      <c r="F110" s="31">
        <f>111.0074*1508.6637</f>
        <v>167472.83481138002</v>
      </c>
      <c r="G110" s="31">
        <f>111.0074*1508.6637</f>
        <v>167472.83481138002</v>
      </c>
      <c r="H110" s="34">
        <v>298</v>
      </c>
      <c r="I110" s="53">
        <v>2.5000000000000001E-3</v>
      </c>
      <c r="J110" s="53">
        <v>8.3999999999999995E-3</v>
      </c>
      <c r="K110" s="31">
        <f>1898334.63*1500.7304</f>
        <v>2848888488.6137519</v>
      </c>
      <c r="L110" s="32">
        <f t="shared" ref="L110:L125" si="57">(K110/$K$143)</f>
        <v>1.5999631690069448E-3</v>
      </c>
      <c r="M110" s="31">
        <f>111.0074*1500.7304</f>
        <v>166592.17980496</v>
      </c>
      <c r="N110" s="31">
        <f>111.0074*1500.7304</f>
        <v>166592.17980496</v>
      </c>
      <c r="O110" s="34">
        <v>298</v>
      </c>
      <c r="P110" s="53">
        <v>2.5000000000000001E-3</v>
      </c>
      <c r="Q110" s="53">
        <v>8.3999999999999995E-3</v>
      </c>
      <c r="R110" s="60">
        <f>((K110-D110)/D110)</f>
        <v>-5.2584946532484959E-3</v>
      </c>
      <c r="S110" s="60">
        <f>((N110-G110)/G110)</f>
        <v>-5.2584946532485098E-3</v>
      </c>
      <c r="T110" s="60">
        <f>((O110-H110)/H110)</f>
        <v>0</v>
      </c>
      <c r="U110" s="60">
        <f>P110-I110</f>
        <v>0</v>
      </c>
      <c r="V110" s="61">
        <f>Q110-J110</f>
        <v>0</v>
      </c>
      <c r="X110" s="68"/>
      <c r="Y110" s="72"/>
      <c r="Z110" s="68"/>
      <c r="AA110" s="73"/>
    </row>
    <row r="111" spans="1:28" ht="16.5" customHeight="1">
      <c r="A111" s="143">
        <v>96</v>
      </c>
      <c r="B111" s="140" t="s">
        <v>160</v>
      </c>
      <c r="C111" s="141" t="s">
        <v>57</v>
      </c>
      <c r="D111" s="31">
        <f>1716332.84*1508.6637</f>
        <v>2589369052.8259082</v>
      </c>
      <c r="E111" s="32">
        <f t="shared" si="56"/>
        <v>1.4553629062800434E-3</v>
      </c>
      <c r="F111" s="31">
        <f>100*1508.6637</f>
        <v>150866.37</v>
      </c>
      <c r="G111" s="31">
        <f>100*1508.6637</f>
        <v>150866.37</v>
      </c>
      <c r="H111" s="34">
        <v>44</v>
      </c>
      <c r="I111" s="53">
        <v>9.2599999999999996E-4</v>
      </c>
      <c r="J111" s="53">
        <v>6.9578000000000001E-2</v>
      </c>
      <c r="K111" s="31">
        <f>1762553.53*1500.7304</f>
        <v>2645117664.0983119</v>
      </c>
      <c r="L111" s="32">
        <f t="shared" si="57"/>
        <v>1.4855235145782369E-3</v>
      </c>
      <c r="M111" s="31">
        <f>100*1500.7304</f>
        <v>150073.03999999998</v>
      </c>
      <c r="N111" s="31">
        <f>100*1500.7304</f>
        <v>150073.03999999998</v>
      </c>
      <c r="O111" s="34">
        <v>47</v>
      </c>
      <c r="P111" s="53">
        <v>1.204E-3</v>
      </c>
      <c r="Q111" s="53">
        <v>7.0781999999999998E-2</v>
      </c>
      <c r="R111" s="60">
        <f>((K111-D111)/D111)</f>
        <v>2.1529805190018188E-2</v>
      </c>
      <c r="S111" s="60">
        <f>((N111-G111)/G111)</f>
        <v>-5.2584946532485428E-3</v>
      </c>
      <c r="T111" s="60">
        <f>((O111-H111)/H111)</f>
        <v>6.8181818181818177E-2</v>
      </c>
      <c r="U111" s="60">
        <f>P111-I111</f>
        <v>2.7800000000000004E-4</v>
      </c>
      <c r="V111" s="61">
        <f>Q111-J111</f>
        <v>1.2039999999999967E-3</v>
      </c>
      <c r="X111" s="68"/>
      <c r="Y111" s="72"/>
      <c r="Z111" s="68"/>
      <c r="AA111" s="73"/>
    </row>
    <row r="112" spans="1:28">
      <c r="A112" s="143">
        <v>97</v>
      </c>
      <c r="B112" s="140" t="s">
        <v>161</v>
      </c>
      <c r="C112" s="141" t="s">
        <v>23</v>
      </c>
      <c r="D112" s="31">
        <f>10145115.04*1515</f>
        <v>15369849285.599998</v>
      </c>
      <c r="E112" s="32">
        <f t="shared" si="56"/>
        <v>8.6386714558764691E-3</v>
      </c>
      <c r="F112" s="31">
        <f>1.1451*1515</f>
        <v>1734.8265000000001</v>
      </c>
      <c r="G112" s="31">
        <f>1.1451*1515</f>
        <v>1734.8265000000001</v>
      </c>
      <c r="H112" s="34">
        <v>306</v>
      </c>
      <c r="I112" s="53">
        <v>6.5699999999999995E-2</v>
      </c>
      <c r="J112" s="53">
        <v>6.3799999999999996E-2</v>
      </c>
      <c r="K112" s="31">
        <f>10112409.93*1502.26</f>
        <v>15191468941.441799</v>
      </c>
      <c r="L112" s="32">
        <f t="shared" si="57"/>
        <v>8.5316750327587634E-3</v>
      </c>
      <c r="M112" s="31">
        <f>1.1479*1502.26</f>
        <v>1724.4442539999998</v>
      </c>
      <c r="N112" s="31">
        <f>1.1479*1502.26</f>
        <v>1724.4442539999998</v>
      </c>
      <c r="O112" s="34">
        <v>303</v>
      </c>
      <c r="P112" s="53">
        <v>0.1275</v>
      </c>
      <c r="Q112" s="53">
        <v>7.4200000000000002E-2</v>
      </c>
      <c r="R112" s="60">
        <f t="shared" ref="R112:R123" si="58">((K112-D112)/D112)</f>
        <v>-1.1605861634916859E-2</v>
      </c>
      <c r="S112" s="60">
        <f t="shared" ref="S112:S123" si="59">((N112-G112)/G112)</f>
        <v>-5.9846019184052988E-3</v>
      </c>
      <c r="T112" s="60">
        <f t="shared" ref="T112:T123" si="60">((O112-H112)/H112)</f>
        <v>-9.8039215686274508E-3</v>
      </c>
      <c r="U112" s="60">
        <f t="shared" ref="U112:U123" si="61">P112-I112</f>
        <v>6.1800000000000008E-2</v>
      </c>
      <c r="V112" s="61">
        <f t="shared" ref="V112:V123" si="62">Q112-J112</f>
        <v>1.0400000000000006E-2</v>
      </c>
    </row>
    <row r="113" spans="1:24">
      <c r="A113" s="143">
        <v>98</v>
      </c>
      <c r="B113" s="140" t="s">
        <v>294</v>
      </c>
      <c r="C113" s="141" t="s">
        <v>23</v>
      </c>
      <c r="D113" s="31">
        <f>1392016.26*1515</f>
        <v>2108904633.9000001</v>
      </c>
      <c r="E113" s="32">
        <f t="shared" si="56"/>
        <v>1.1853163896087195E-3</v>
      </c>
      <c r="F113" s="31">
        <f>1.0042*1515</f>
        <v>1521.3630000000001</v>
      </c>
      <c r="G113" s="31">
        <f>1.0042*1515</f>
        <v>1521.3630000000001</v>
      </c>
      <c r="H113" s="34">
        <v>30</v>
      </c>
      <c r="I113" s="53">
        <v>4.1599999999999998E-2</v>
      </c>
      <c r="J113" s="53">
        <v>3.4099999999999998E-2</v>
      </c>
      <c r="K113" s="31">
        <f>1549203.72*1502.26</f>
        <v>2327306780.4071999</v>
      </c>
      <c r="L113" s="32">
        <f t="shared" si="57"/>
        <v>1.3070378663517055E-3</v>
      </c>
      <c r="M113" s="31">
        <f>1.0051*1502.26</f>
        <v>1509.9215260000001</v>
      </c>
      <c r="N113" s="31">
        <f>1.0051*1502.26</f>
        <v>1509.9215260000001</v>
      </c>
      <c r="O113" s="34">
        <v>37</v>
      </c>
      <c r="P113" s="53">
        <v>4.6699999999999998E-2</v>
      </c>
      <c r="Q113" s="53">
        <v>3.5799999999999998E-2</v>
      </c>
      <c r="R113" s="60">
        <f t="shared" si="58"/>
        <v>0.10356188847824209</v>
      </c>
      <c r="S113" s="60">
        <f t="shared" ref="S113" si="63">((N113-G113)/G113)</f>
        <v>-7.5205417773404311E-3</v>
      </c>
      <c r="T113" s="60">
        <f t="shared" ref="T113" si="64">((O113-H113)/H113)</f>
        <v>0.23333333333333334</v>
      </c>
      <c r="U113" s="60">
        <f t="shared" ref="U113" si="65">P113-I113</f>
        <v>5.1000000000000004E-3</v>
      </c>
      <c r="V113" s="61">
        <f t="shared" ref="V113" si="66">Q113-J113</f>
        <v>1.7000000000000001E-3</v>
      </c>
    </row>
    <row r="114" spans="1:24">
      <c r="A114" s="143">
        <v>99</v>
      </c>
      <c r="B114" s="140" t="s">
        <v>162</v>
      </c>
      <c r="C114" s="141" t="s">
        <v>27</v>
      </c>
      <c r="D114" s="31">
        <f>4100583.05*1508.6637</f>
        <v>6186400796.370285</v>
      </c>
      <c r="E114" s="32">
        <f t="shared" si="56"/>
        <v>3.4770857528372435E-3</v>
      </c>
      <c r="F114" s="31">
        <f>1.0857*1508.6637</f>
        <v>1637.9561790900002</v>
      </c>
      <c r="G114" s="31">
        <f>1.0857*1508.6637</f>
        <v>1637.9561790900002</v>
      </c>
      <c r="H114" s="34">
        <v>325</v>
      </c>
      <c r="I114" s="53">
        <v>3.0000000000000001E-3</v>
      </c>
      <c r="J114" s="53">
        <v>9.9000000000000008E-3</v>
      </c>
      <c r="K114" s="31">
        <f>4320453.33*1500.7304</f>
        <v>6483835654.1122322</v>
      </c>
      <c r="L114" s="32">
        <f t="shared" si="57"/>
        <v>3.6413844493862536E-3</v>
      </c>
      <c r="M114" s="31">
        <f>1.0876*1500.7304</f>
        <v>1632.1943830399998</v>
      </c>
      <c r="N114" s="31">
        <f>1.0876*1500.7304</f>
        <v>1632.1943830399998</v>
      </c>
      <c r="O114" s="34">
        <v>330</v>
      </c>
      <c r="P114" s="53">
        <v>4.7000000000000002E-3</v>
      </c>
      <c r="Q114" s="53">
        <v>1.1599999999999999E-2</v>
      </c>
      <c r="R114" s="60">
        <f t="shared" si="58"/>
        <v>4.8078821197045554E-2</v>
      </c>
      <c r="S114" s="60">
        <f t="shared" ref="S114:T117" si="67">((N114-G114)/G114)</f>
        <v>-3.5176741133584339E-3</v>
      </c>
      <c r="T114" s="60">
        <f t="shared" si="67"/>
        <v>1.5384615384615385E-2</v>
      </c>
      <c r="U114" s="60">
        <f t="shared" si="61"/>
        <v>1.7000000000000001E-3</v>
      </c>
      <c r="V114" s="61">
        <f t="shared" si="62"/>
        <v>1.6999999999999984E-3</v>
      </c>
    </row>
    <row r="115" spans="1:24">
      <c r="A115" s="143">
        <v>100</v>
      </c>
      <c r="B115" s="140" t="s">
        <v>163</v>
      </c>
      <c r="C115" s="141" t="s">
        <v>63</v>
      </c>
      <c r="D115" s="31">
        <f>411498.01*1508.6637</f>
        <v>620812110.309237</v>
      </c>
      <c r="E115" s="32">
        <f t="shared" si="56"/>
        <v>3.4892937185893052E-4</v>
      </c>
      <c r="F115" s="31">
        <f>1.09*1508.6637</f>
        <v>1644.4434330000001</v>
      </c>
      <c r="G115" s="31">
        <f>1.1*1508.6637</f>
        <v>1659.5300700000003</v>
      </c>
      <c r="H115" s="34">
        <v>21</v>
      </c>
      <c r="I115" s="53">
        <v>0.23050000000000001</v>
      </c>
      <c r="J115" s="53">
        <v>0.36099999999999999</v>
      </c>
      <c r="K115" s="31">
        <f>426793*1500.7304</f>
        <v>640501229.60719991</v>
      </c>
      <c r="L115" s="32">
        <f t="shared" si="57"/>
        <v>3.5971164935761664E-4</v>
      </c>
      <c r="M115" s="31">
        <f>1.09*1500.7304</f>
        <v>1635.7961359999999</v>
      </c>
      <c r="N115" s="31">
        <f>1.1*1500.7304</f>
        <v>1650.8034400000001</v>
      </c>
      <c r="O115" s="34">
        <v>21</v>
      </c>
      <c r="P115" s="53">
        <v>0.57869999999999999</v>
      </c>
      <c r="Q115" s="53">
        <v>0.32600000000000001</v>
      </c>
      <c r="R115" s="60">
        <f t="shared" si="58"/>
        <v>3.1715101833557052E-2</v>
      </c>
      <c r="S115" s="60">
        <f t="shared" si="67"/>
        <v>-5.258494653248502E-3</v>
      </c>
      <c r="T115" s="60">
        <f t="shared" si="67"/>
        <v>0</v>
      </c>
      <c r="U115" s="60">
        <f t="shared" si="61"/>
        <v>0.34819999999999995</v>
      </c>
      <c r="V115" s="61">
        <f t="shared" si="62"/>
        <v>-3.4999999999999976E-2</v>
      </c>
    </row>
    <row r="116" spans="1:24">
      <c r="A116" s="143">
        <v>101</v>
      </c>
      <c r="B116" s="140" t="s">
        <v>164</v>
      </c>
      <c r="C116" s="141" t="s">
        <v>29</v>
      </c>
      <c r="D116" s="31">
        <f>247172.83*1508.6637</f>
        <v>372900676.247271</v>
      </c>
      <c r="E116" s="32">
        <v>0</v>
      </c>
      <c r="F116" s="31">
        <f>1.2235*1508.6637</f>
        <v>1845.8500369500002</v>
      </c>
      <c r="G116" s="31">
        <f>1.2235*1508.6637</f>
        <v>1845.8500369500002</v>
      </c>
      <c r="H116" s="34">
        <v>38</v>
      </c>
      <c r="I116" s="53">
        <v>1.6000000000000001E-3</v>
      </c>
      <c r="J116" s="53">
        <v>1.8599999999999998E-2</v>
      </c>
      <c r="K116" s="31">
        <f>254422.91*1500.7304</f>
        <v>381820195.49346399</v>
      </c>
      <c r="L116" s="32">
        <f t="shared" si="57"/>
        <v>2.1443389322332949E-4</v>
      </c>
      <c r="M116" s="31">
        <f>1.2272*1500.7304</f>
        <v>1841.69634688</v>
      </c>
      <c r="N116" s="31">
        <f>1.2272*1500.7304</f>
        <v>1841.69634688</v>
      </c>
      <c r="O116" s="34">
        <v>38</v>
      </c>
      <c r="P116" s="53">
        <v>2.8000000000000001E-2</v>
      </c>
      <c r="Q116" s="53">
        <v>2.1600000000000001E-2</v>
      </c>
      <c r="R116" s="60">
        <f t="shared" si="58"/>
        <v>2.3919289543681183E-2</v>
      </c>
      <c r="S116" s="60">
        <f t="shared" si="67"/>
        <v>-2.2502857690777727E-3</v>
      </c>
      <c r="T116" s="60">
        <f t="shared" si="67"/>
        <v>0</v>
      </c>
      <c r="U116" s="60">
        <f t="shared" si="61"/>
        <v>2.64E-2</v>
      </c>
      <c r="V116" s="61">
        <f t="shared" si="62"/>
        <v>3.0000000000000027E-3</v>
      </c>
    </row>
    <row r="117" spans="1:24">
      <c r="A117" s="143">
        <v>102</v>
      </c>
      <c r="B117" s="140" t="s">
        <v>165</v>
      </c>
      <c r="C117" s="141" t="s">
        <v>72</v>
      </c>
      <c r="D117" s="31">
        <f>439567.9*1508.6637</f>
        <v>663160134.41523004</v>
      </c>
      <c r="E117" s="32">
        <f t="shared" ref="E117:E125" si="68">(D117/$D$143)</f>
        <v>3.7273121013719893E-4</v>
      </c>
      <c r="F117" s="31">
        <f>107.12*1508.6637</f>
        <v>161608.055544</v>
      </c>
      <c r="G117" s="31">
        <f>107.58*1508.6637</f>
        <v>162302.04084600002</v>
      </c>
      <c r="H117" s="34">
        <v>45</v>
      </c>
      <c r="I117" s="53">
        <v>1.1000000000000001E-3</v>
      </c>
      <c r="J117" s="53">
        <v>2.0299999999999999E-2</v>
      </c>
      <c r="K117" s="31">
        <f>449642.56*1500.7304</f>
        <v>674792258.92582393</v>
      </c>
      <c r="L117" s="32">
        <f t="shared" si="57"/>
        <v>3.7896982115213018E-4</v>
      </c>
      <c r="M117" s="31">
        <f>107.2*1500.7304</f>
        <v>160878.29887999999</v>
      </c>
      <c r="N117" s="31">
        <f>107.71*1500.7304</f>
        <v>161643.67138399999</v>
      </c>
      <c r="O117" s="34">
        <v>45</v>
      </c>
      <c r="P117" s="53">
        <v>1E-3</v>
      </c>
      <c r="Q117" s="53">
        <v>2.12E-2</v>
      </c>
      <c r="R117" s="60">
        <f t="shared" si="58"/>
        <v>1.7540445975165585E-2</v>
      </c>
      <c r="S117" s="60">
        <f t="shared" si="67"/>
        <v>-4.0564459853263592E-3</v>
      </c>
      <c r="T117" s="60">
        <f t="shared" si="67"/>
        <v>0</v>
      </c>
      <c r="U117" s="60">
        <f t="shared" si="61"/>
        <v>-1.0000000000000005E-4</v>
      </c>
      <c r="V117" s="61">
        <f t="shared" si="62"/>
        <v>9.0000000000000149E-4</v>
      </c>
    </row>
    <row r="118" spans="1:24">
      <c r="A118" s="143">
        <v>103</v>
      </c>
      <c r="B118" s="140" t="s">
        <v>166</v>
      </c>
      <c r="C118" s="141" t="s">
        <v>75</v>
      </c>
      <c r="D118" s="31">
        <v>5009964268.2461996</v>
      </c>
      <c r="E118" s="32">
        <f t="shared" si="68"/>
        <v>2.8158659538456217E-3</v>
      </c>
      <c r="F118" s="31">
        <v>169162.877614</v>
      </c>
      <c r="G118" s="31">
        <v>169162.877614</v>
      </c>
      <c r="H118" s="34">
        <v>58</v>
      </c>
      <c r="I118" s="53" t="s">
        <v>296</v>
      </c>
      <c r="J118" s="53">
        <v>7.0000000000000007E-2</v>
      </c>
      <c r="K118" s="31">
        <v>4974666341.6372995</v>
      </c>
      <c r="L118" s="32">
        <f t="shared" si="57"/>
        <v>2.7938204519163635E-3</v>
      </c>
      <c r="M118" s="31">
        <v>168479.15330400001</v>
      </c>
      <c r="N118" s="31">
        <v>168479.15330400001</v>
      </c>
      <c r="O118" s="34">
        <v>58</v>
      </c>
      <c r="P118" s="53">
        <v>9.7999999999999997E-4</v>
      </c>
      <c r="Q118" s="53">
        <v>6.9400000000000003E-2</v>
      </c>
      <c r="R118" s="60">
        <f t="shared" si="58"/>
        <v>-7.0455445825478007E-3</v>
      </c>
      <c r="S118" s="60">
        <f t="shared" si="59"/>
        <v>-4.0418105889646156E-3</v>
      </c>
      <c r="T118" s="60">
        <f t="shared" si="60"/>
        <v>0</v>
      </c>
      <c r="U118" s="60">
        <f t="shared" si="61"/>
        <v>2.7999999999999998E-4</v>
      </c>
      <c r="V118" s="61">
        <f t="shared" si="62"/>
        <v>-6.0000000000000331E-4</v>
      </c>
      <c r="X118" s="69"/>
    </row>
    <row r="119" spans="1:24">
      <c r="A119" s="143">
        <v>104</v>
      </c>
      <c r="B119" s="140" t="s">
        <v>167</v>
      </c>
      <c r="C119" s="141" t="s">
        <v>31</v>
      </c>
      <c r="D119" s="31">
        <v>51173423660.800003</v>
      </c>
      <c r="E119" s="32">
        <f t="shared" si="68"/>
        <v>2.8762181467335661E-2</v>
      </c>
      <c r="F119" s="31">
        <v>192773.38</v>
      </c>
      <c r="G119" s="31">
        <v>192773.38</v>
      </c>
      <c r="H119" s="34">
        <v>2326</v>
      </c>
      <c r="I119" s="53">
        <v>1.6000000000000001E-3</v>
      </c>
      <c r="J119" s="53">
        <v>9.4000000000000004E-3</v>
      </c>
      <c r="K119" s="31">
        <v>49212984027.459999</v>
      </c>
      <c r="L119" s="32">
        <f t="shared" si="57"/>
        <v>2.7638485042697072E-2</v>
      </c>
      <c r="M119" s="31">
        <v>191989.45</v>
      </c>
      <c r="N119" s="31">
        <v>191989.45</v>
      </c>
      <c r="O119" s="34">
        <v>2331</v>
      </c>
      <c r="P119" s="53">
        <v>1.6000000000000001E-3</v>
      </c>
      <c r="Q119" s="53">
        <v>1.0999999999999999E-2</v>
      </c>
      <c r="R119" s="60">
        <f t="shared" si="58"/>
        <v>-3.8309721982540422E-2</v>
      </c>
      <c r="S119" s="60">
        <f t="shared" si="59"/>
        <v>-4.0665884470147953E-3</v>
      </c>
      <c r="T119" s="60">
        <f t="shared" si="60"/>
        <v>2.1496130696474634E-3</v>
      </c>
      <c r="U119" s="60">
        <f t="shared" si="61"/>
        <v>0</v>
      </c>
      <c r="V119" s="61">
        <f t="shared" si="62"/>
        <v>1.599999999999999E-3</v>
      </c>
    </row>
    <row r="120" spans="1:24">
      <c r="A120" s="143">
        <v>105</v>
      </c>
      <c r="B120" s="155" t="s">
        <v>168</v>
      </c>
      <c r="C120" s="155" t="s">
        <v>31</v>
      </c>
      <c r="D120" s="31">
        <v>117719341908.57001</v>
      </c>
      <c r="E120" s="32">
        <f t="shared" si="68"/>
        <v>6.6164521190386391E-2</v>
      </c>
      <c r="F120" s="31">
        <v>181244.45</v>
      </c>
      <c r="G120" s="31">
        <v>181244.45</v>
      </c>
      <c r="H120" s="34">
        <v>711</v>
      </c>
      <c r="I120" s="53">
        <v>1.6000000000000001E-3</v>
      </c>
      <c r="J120" s="53">
        <v>1.03E-2</v>
      </c>
      <c r="K120" s="31">
        <v>118723649883.91</v>
      </c>
      <c r="L120" s="32">
        <f t="shared" si="57"/>
        <v>6.6676343375153158E-2</v>
      </c>
      <c r="M120" s="31">
        <v>180555.43</v>
      </c>
      <c r="N120" s="31">
        <v>180555.43</v>
      </c>
      <c r="O120" s="34">
        <v>719</v>
      </c>
      <c r="P120" s="53">
        <v>1.8E-3</v>
      </c>
      <c r="Q120" s="53">
        <v>1.21E-2</v>
      </c>
      <c r="R120" s="60">
        <f t="shared" si="58"/>
        <v>8.5313760598493653E-3</v>
      </c>
      <c r="S120" s="60">
        <f t="shared" si="59"/>
        <v>-3.8016060629719618E-3</v>
      </c>
      <c r="T120" s="60">
        <f t="shared" si="60"/>
        <v>1.1251758087201125E-2</v>
      </c>
      <c r="U120" s="60">
        <f t="shared" si="61"/>
        <v>1.9999999999999987E-4</v>
      </c>
      <c r="V120" s="61">
        <f t="shared" si="62"/>
        <v>1.7999999999999995E-3</v>
      </c>
    </row>
    <row r="121" spans="1:24">
      <c r="A121" s="143">
        <v>106</v>
      </c>
      <c r="B121" s="140" t="s">
        <v>169</v>
      </c>
      <c r="C121" s="141" t="s">
        <v>35</v>
      </c>
      <c r="D121" s="31">
        <f>137208.33*1508.6637</f>
        <v>207001226.80862099</v>
      </c>
      <c r="E121" s="32">
        <f t="shared" si="68"/>
        <v>1.163456814790255E-4</v>
      </c>
      <c r="F121" s="31">
        <f>113.38*1508.6637</f>
        <v>171052.29030600001</v>
      </c>
      <c r="G121" s="31">
        <f>113.38*1508.6637</f>
        <v>171052.29030600001</v>
      </c>
      <c r="H121" s="34">
        <v>8</v>
      </c>
      <c r="I121" s="53">
        <v>2.3E-3</v>
      </c>
      <c r="J121" s="53">
        <v>0</v>
      </c>
      <c r="K121" s="31">
        <f>137528.39*1500.7304</f>
        <v>206393035.736056</v>
      </c>
      <c r="L121" s="32">
        <f t="shared" si="57"/>
        <v>1.1591231346436693E-4</v>
      </c>
      <c r="M121" s="31">
        <f>113.64*1500.7304</f>
        <v>170543.002656</v>
      </c>
      <c r="N121" s="31">
        <f>113.64*1500.7304</f>
        <v>170543.002656</v>
      </c>
      <c r="O121" s="34">
        <v>8</v>
      </c>
      <c r="P121" s="53">
        <v>2.3E-3</v>
      </c>
      <c r="Q121" s="53">
        <v>2.3E-3</v>
      </c>
      <c r="R121" s="60">
        <f t="shared" si="58"/>
        <v>-2.9381037105025505E-3</v>
      </c>
      <c r="S121" s="60">
        <f t="shared" si="59"/>
        <v>-2.9773798941185449E-3</v>
      </c>
      <c r="T121" s="60">
        <f t="shared" si="60"/>
        <v>0</v>
      </c>
      <c r="U121" s="60">
        <f t="shared" si="61"/>
        <v>0</v>
      </c>
      <c r="V121" s="61">
        <f t="shared" si="62"/>
        <v>2.3E-3</v>
      </c>
    </row>
    <row r="122" spans="1:24">
      <c r="A122" s="143">
        <v>107</v>
      </c>
      <c r="B122" s="140" t="s">
        <v>170</v>
      </c>
      <c r="C122" s="141" t="s">
        <v>41</v>
      </c>
      <c r="D122" s="31">
        <f>10380228.06*1508.6637</f>
        <v>15660273271.843424</v>
      </c>
      <c r="E122" s="32">
        <f t="shared" si="68"/>
        <v>8.8019051580061E-3</v>
      </c>
      <c r="F122" s="31">
        <f>1.39*1508.6637</f>
        <v>2097.042543</v>
      </c>
      <c r="G122" s="31">
        <f>1.39*1508.6637</f>
        <v>2097.042543</v>
      </c>
      <c r="H122" s="49">
        <v>115</v>
      </c>
      <c r="I122" s="56">
        <v>8.9999999999999998E-4</v>
      </c>
      <c r="J122" s="56">
        <v>4.87E-2</v>
      </c>
      <c r="K122" s="31">
        <f>10356499.64*1500.7304</f>
        <v>15542313847.337055</v>
      </c>
      <c r="L122" s="32">
        <f t="shared" si="57"/>
        <v>8.7287129054974266E-3</v>
      </c>
      <c r="M122" s="31">
        <f>1.4*1500.7304</f>
        <v>2101.0225599999999</v>
      </c>
      <c r="N122" s="31">
        <f>1.4*1500.7304</f>
        <v>2101.0225599999999</v>
      </c>
      <c r="O122" s="49">
        <v>114</v>
      </c>
      <c r="P122" s="56">
        <v>8.9999999999999998E-4</v>
      </c>
      <c r="Q122" s="56">
        <v>4.87E-2</v>
      </c>
      <c r="R122" s="60">
        <f t="shared" si="58"/>
        <v>-7.5323988578446582E-3</v>
      </c>
      <c r="S122" s="60">
        <f t="shared" si="59"/>
        <v>1.8979190542820865E-3</v>
      </c>
      <c r="T122" s="60">
        <f t="shared" si="60"/>
        <v>-8.6956521739130436E-3</v>
      </c>
      <c r="U122" s="60">
        <f t="shared" si="61"/>
        <v>0</v>
      </c>
      <c r="V122" s="61">
        <f t="shared" si="62"/>
        <v>0</v>
      </c>
    </row>
    <row r="123" spans="1:24">
      <c r="A123" s="143">
        <v>108</v>
      </c>
      <c r="B123" s="140" t="s">
        <v>171</v>
      </c>
      <c r="C123" s="141" t="s">
        <v>89</v>
      </c>
      <c r="D123" s="31">
        <f>19910323*1508.6637</f>
        <v>30037981565.375103</v>
      </c>
      <c r="E123" s="32">
        <f t="shared" si="68"/>
        <v>1.6882940692467548E-2</v>
      </c>
      <c r="F123" s="31">
        <f>104.35*1508.6637</f>
        <v>157429.057095</v>
      </c>
      <c r="G123" s="31">
        <f>104.35*1508.6637</f>
        <v>157429.057095</v>
      </c>
      <c r="H123" s="34">
        <v>543</v>
      </c>
      <c r="I123" s="56">
        <v>1.8E-3</v>
      </c>
      <c r="J123" s="53">
        <v>9.5799999999999996E-2</v>
      </c>
      <c r="K123" s="31">
        <f>20076817*1500.7304</f>
        <v>30129889607.136799</v>
      </c>
      <c r="L123" s="32">
        <f t="shared" si="57"/>
        <v>1.692123572064452E-2</v>
      </c>
      <c r="M123" s="31">
        <f>104.65*1500.7304</f>
        <v>157051.43635999999</v>
      </c>
      <c r="N123" s="31">
        <f>104.65*1500.7304</f>
        <v>157051.43635999999</v>
      </c>
      <c r="O123" s="34">
        <v>548</v>
      </c>
      <c r="P123" s="56">
        <v>2.8E-3</v>
      </c>
      <c r="Q123" s="53">
        <v>0.10290000000000001</v>
      </c>
      <c r="R123" s="60">
        <f t="shared" si="58"/>
        <v>3.0597276172390562E-3</v>
      </c>
      <c r="S123" s="60">
        <f t="shared" si="59"/>
        <v>-2.398672405006721E-3</v>
      </c>
      <c r="T123" s="60">
        <f t="shared" si="60"/>
        <v>9.2081031307550652E-3</v>
      </c>
      <c r="U123" s="60">
        <f t="shared" si="61"/>
        <v>1E-3</v>
      </c>
      <c r="V123" s="61">
        <f t="shared" si="62"/>
        <v>7.1000000000000091E-3</v>
      </c>
    </row>
    <row r="124" spans="1:24">
      <c r="A124" s="143">
        <v>109</v>
      </c>
      <c r="B124" s="140" t="s">
        <v>172</v>
      </c>
      <c r="C124" s="141" t="s">
        <v>45</v>
      </c>
      <c r="D124" s="31">
        <f>1716561.38*1508.6637</f>
        <v>2589713842.8279061</v>
      </c>
      <c r="E124" s="32">
        <f t="shared" si="68"/>
        <v>1.4555566965699276E-3</v>
      </c>
      <c r="F124" s="31">
        <f>137.311717*1508.6637</f>
        <v>207157.20302257288</v>
      </c>
      <c r="G124" s="31">
        <f>141.363506*1508.6637</f>
        <v>213269.9900069322</v>
      </c>
      <c r="H124" s="34">
        <v>51</v>
      </c>
      <c r="I124" s="53">
        <v>1E-3</v>
      </c>
      <c r="J124" s="53">
        <v>4.3499999999999997E-2</v>
      </c>
      <c r="K124" s="31">
        <f>1720919.68*1500.7304</f>
        <v>2582636479.7342715</v>
      </c>
      <c r="L124" s="32">
        <f t="shared" si="57"/>
        <v>1.4504334806446726E-3</v>
      </c>
      <c r="M124" s="31">
        <f>137.514717*1500.7304</f>
        <v>206372.51624929678</v>
      </c>
      <c r="N124" s="31">
        <f>141.607505*1500.7304</f>
        <v>212514.687621652</v>
      </c>
      <c r="O124" s="34">
        <v>51</v>
      </c>
      <c r="P124" s="53">
        <v>4.4999999999999997E-3</v>
      </c>
      <c r="Q124" s="53">
        <v>4.5199999999999997E-2</v>
      </c>
      <c r="R124" s="60">
        <f t="shared" ref="R124:R125" si="69">((K124-D124)/D124)</f>
        <v>-2.7328745657498178E-3</v>
      </c>
      <c r="S124" s="60">
        <f t="shared" ref="S124:S125" si="70">((N124-G124)/G124)</f>
        <v>-3.5415314890559577E-3</v>
      </c>
      <c r="T124" s="60">
        <f t="shared" ref="T124:T125" si="71">((O124-H124)/H124)</f>
        <v>0</v>
      </c>
      <c r="U124" s="60">
        <f t="shared" ref="U124:U125" si="72">P124-I124</f>
        <v>3.4999999999999996E-3</v>
      </c>
      <c r="V124" s="61">
        <f t="shared" ref="V124:V125" si="73">Q124-J124</f>
        <v>1.7000000000000001E-3</v>
      </c>
    </row>
    <row r="125" spans="1:24">
      <c r="A125" s="143">
        <v>110</v>
      </c>
      <c r="B125" s="140" t="s">
        <v>173</v>
      </c>
      <c r="C125" s="141" t="s">
        <v>52</v>
      </c>
      <c r="D125" s="35">
        <f>122807283.25*1509.7</f>
        <v>185402155522.52499</v>
      </c>
      <c r="E125" s="32">
        <f t="shared" si="68"/>
        <v>0.10420585647973601</v>
      </c>
      <c r="F125" s="31">
        <f>125.3791*1509.7</f>
        <v>189284.82727000001</v>
      </c>
      <c r="G125" s="31">
        <f>125.3791*1509.7</f>
        <v>189284.82727000001</v>
      </c>
      <c r="H125" s="34">
        <v>3511</v>
      </c>
      <c r="I125" s="53">
        <v>6.1699999999999998E-2</v>
      </c>
      <c r="J125" s="53">
        <v>5.57E-2</v>
      </c>
      <c r="K125" s="35">
        <f>122683951.09*1501.08</f>
        <v>184158425302.17719</v>
      </c>
      <c r="L125" s="32">
        <f t="shared" si="57"/>
        <v>0.10342514244535174</v>
      </c>
      <c r="M125" s="31">
        <f>125.8581*1501.08</f>
        <v>188923.07674799999</v>
      </c>
      <c r="N125" s="31">
        <f>125.8581*1501.08</f>
        <v>188923.07674799999</v>
      </c>
      <c r="O125" s="34">
        <v>3528</v>
      </c>
      <c r="P125" s="53">
        <v>0.21990000000000001</v>
      </c>
      <c r="Q125" s="53">
        <v>7.6399999999999996E-2</v>
      </c>
      <c r="R125" s="60">
        <f t="shared" si="69"/>
        <v>-6.7082834977973318E-3</v>
      </c>
      <c r="S125" s="60">
        <f t="shared" si="70"/>
        <v>-1.9111437890582102E-3</v>
      </c>
      <c r="T125" s="60">
        <f t="shared" si="71"/>
        <v>4.8419253773853603E-3</v>
      </c>
      <c r="U125" s="60">
        <f t="shared" si="72"/>
        <v>0.15820000000000001</v>
      </c>
      <c r="V125" s="61">
        <f t="shared" si="73"/>
        <v>2.0699999999999996E-2</v>
      </c>
    </row>
    <row r="126" spans="1:24" ht="6" customHeight="1">
      <c r="A126" s="38"/>
      <c r="B126" s="160"/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</row>
    <row r="127" spans="1:24">
      <c r="A127" s="163" t="s">
        <v>174</v>
      </c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</row>
    <row r="128" spans="1:24">
      <c r="A128" s="143">
        <v>111</v>
      </c>
      <c r="B128" s="140" t="s">
        <v>175</v>
      </c>
      <c r="C128" s="141" t="s">
        <v>118</v>
      </c>
      <c r="D128" s="35">
        <f>1280470.1*1508.6637</f>
        <v>1931798758.8053703</v>
      </c>
      <c r="E128" s="32">
        <f t="shared" ref="E128:E140" si="74">(D128/$D$143)</f>
        <v>1.0857734832718682E-3</v>
      </c>
      <c r="F128" s="31">
        <f>114.07*1508.6637</f>
        <v>172093.268259</v>
      </c>
      <c r="G128" s="31">
        <f>114.07*1508.6637</f>
        <v>172093.268259</v>
      </c>
      <c r="H128" s="34">
        <v>22</v>
      </c>
      <c r="I128" s="53">
        <v>1.0095E-2</v>
      </c>
      <c r="J128" s="53">
        <v>5.0099999999999999E-2</v>
      </c>
      <c r="K128" s="35">
        <f>1285281.16*1500.7304</f>
        <v>1928860509.3592637</v>
      </c>
      <c r="L128" s="32">
        <f t="shared" ref="L128:L142" si="75">(K128/$K$143)</f>
        <v>1.0832666092271213E-3</v>
      </c>
      <c r="M128" s="31">
        <f>114.5*1500.7304</f>
        <v>171833.63079999998</v>
      </c>
      <c r="N128" s="31">
        <f>114.5*1500.7304</f>
        <v>171833.63079999998</v>
      </c>
      <c r="O128" s="34">
        <v>22</v>
      </c>
      <c r="P128" s="53">
        <v>1.75E-4</v>
      </c>
      <c r="Q128" s="53">
        <v>5.0599999999999999E-2</v>
      </c>
      <c r="R128" s="60">
        <f>((K128-D128)/D128)</f>
        <v>-1.5209914763190415E-3</v>
      </c>
      <c r="S128" s="60">
        <f>((N128-G128)/G128)</f>
        <v>-1.5087020057592594E-3</v>
      </c>
      <c r="T128" s="60">
        <f>((O128-H128)/H128)</f>
        <v>0</v>
      </c>
      <c r="U128" s="60">
        <f>P128-I128</f>
        <v>-9.92E-3</v>
      </c>
      <c r="V128" s="61">
        <f>Q128-J128</f>
        <v>5.0000000000000044E-4</v>
      </c>
    </row>
    <row r="129" spans="1:24">
      <c r="A129" s="143">
        <v>112</v>
      </c>
      <c r="B129" s="141" t="s">
        <v>176</v>
      </c>
      <c r="C129" s="141" t="s">
        <v>25</v>
      </c>
      <c r="D129" s="31">
        <f>10838916.15*1508.6637</f>
        <v>16352279342.848757</v>
      </c>
      <c r="E129" s="32">
        <f t="shared" si="74"/>
        <v>9.1908493162606505E-3</v>
      </c>
      <c r="F129" s="35">
        <f>134.65*1508.6637</f>
        <v>203141.56720500003</v>
      </c>
      <c r="G129" s="35">
        <f>134.65*1508.6637</f>
        <v>203141.56720500003</v>
      </c>
      <c r="H129" s="34">
        <v>533</v>
      </c>
      <c r="I129" s="53">
        <v>5.0000000000000001E-4</v>
      </c>
      <c r="J129" s="53">
        <v>6.7000000000000002E-3</v>
      </c>
      <c r="K129" s="31">
        <f>10837206.92*1500.7304</f>
        <v>16263725875.934366</v>
      </c>
      <c r="L129" s="32">
        <f t="shared" si="75"/>
        <v>9.1338648375746002E-3</v>
      </c>
      <c r="M129" s="35">
        <f>134.79*1500.7304</f>
        <v>202283.45061599999</v>
      </c>
      <c r="N129" s="35">
        <f>134.79*1500.7304</f>
        <v>202283.45061599999</v>
      </c>
      <c r="O129" s="34">
        <v>537</v>
      </c>
      <c r="P129" s="53">
        <v>5.0000000000000001E-4</v>
      </c>
      <c r="Q129" s="53">
        <v>7.7999999999999996E-3</v>
      </c>
      <c r="R129" s="60">
        <f t="shared" ref="R129:R143" si="76">((K129-D129)/D129)</f>
        <v>-5.4153592326636173E-3</v>
      </c>
      <c r="S129" s="60">
        <f t="shared" ref="S129:S143" si="77">((N129-G129)/G129)</f>
        <v>-4.2242294415995819E-3</v>
      </c>
      <c r="T129" s="60">
        <f t="shared" ref="T129:T143" si="78">((O129-H129)/H129)</f>
        <v>7.5046904315196998E-3</v>
      </c>
      <c r="U129" s="60">
        <f t="shared" ref="U129:U143" si="79">P129-I129</f>
        <v>0</v>
      </c>
      <c r="V129" s="61">
        <f t="shared" ref="V129:V143" si="80">Q129-J129</f>
        <v>1.0999999999999994E-3</v>
      </c>
    </row>
    <row r="130" spans="1:24">
      <c r="A130" s="143">
        <v>113</v>
      </c>
      <c r="B130" s="140" t="s">
        <v>177</v>
      </c>
      <c r="C130" s="141" t="s">
        <v>67</v>
      </c>
      <c r="D130" s="35">
        <v>16022033910.200001</v>
      </c>
      <c r="E130" s="32">
        <f t="shared" si="74"/>
        <v>9.0052338466848191E-3</v>
      </c>
      <c r="F130" s="35">
        <v>175806.5</v>
      </c>
      <c r="G130" s="35">
        <v>175806.5</v>
      </c>
      <c r="H130" s="34">
        <v>662</v>
      </c>
      <c r="I130" s="53">
        <v>1.1000000000000001E-3</v>
      </c>
      <c r="J130" s="53">
        <v>6.3899999999999998E-2</v>
      </c>
      <c r="K130" s="35">
        <v>16076455905.450001</v>
      </c>
      <c r="L130" s="32">
        <f t="shared" si="75"/>
        <v>9.0286922214355258E-3</v>
      </c>
      <c r="M130" s="35">
        <v>176046.1</v>
      </c>
      <c r="N130" s="35">
        <v>176046.1</v>
      </c>
      <c r="O130" s="34">
        <v>667</v>
      </c>
      <c r="P130" s="53">
        <v>1.4E-3</v>
      </c>
      <c r="Q130" s="53">
        <v>6.4600000000000005E-2</v>
      </c>
      <c r="R130" s="60">
        <f t="shared" si="76"/>
        <v>3.3966970457698061E-3</v>
      </c>
      <c r="S130" s="60">
        <f t="shared" si="77"/>
        <v>1.3628620102214982E-3</v>
      </c>
      <c r="T130" s="60">
        <f t="shared" si="78"/>
        <v>7.5528700906344415E-3</v>
      </c>
      <c r="U130" s="60">
        <f t="shared" si="79"/>
        <v>2.9999999999999992E-4</v>
      </c>
      <c r="V130" s="61">
        <f t="shared" si="80"/>
        <v>7.0000000000000617E-4</v>
      </c>
    </row>
    <row r="131" spans="1:24">
      <c r="A131" s="143">
        <v>114</v>
      </c>
      <c r="B131" s="140" t="s">
        <v>302</v>
      </c>
      <c r="C131" s="141" t="s">
        <v>303</v>
      </c>
      <c r="D131" s="31">
        <f>60128.6*1508.6637</f>
        <v>90713836.151820004</v>
      </c>
      <c r="E131" s="32">
        <f t="shared" ref="E131" si="81">(D131/$D$106)</f>
        <v>4.6960520356325593E-4</v>
      </c>
      <c r="F131" s="37">
        <f>0.9852*1508.6637</f>
        <v>1486.33547724</v>
      </c>
      <c r="G131" s="37">
        <f>0.9852*1508.6637</f>
        <v>1486.33547724</v>
      </c>
      <c r="H131" s="34">
        <v>2</v>
      </c>
      <c r="I131" s="53">
        <v>1.1177725840869623E-3</v>
      </c>
      <c r="J131" s="53">
        <v>4.3849325507904324E-2</v>
      </c>
      <c r="K131" s="31">
        <f>60223.39*1500.7304</f>
        <v>90379072.164055988</v>
      </c>
      <c r="L131" s="32">
        <f t="shared" ref="L131" si="82">(K131/$K$106)</f>
        <v>4.6858641628778869E-4</v>
      </c>
      <c r="M131" s="37">
        <f>0.9863*1500.7304</f>
        <v>1480.1703935199998</v>
      </c>
      <c r="N131" s="37">
        <f>0.9863*1500.7304</f>
        <v>1480.1703935199998</v>
      </c>
      <c r="O131" s="34">
        <v>1</v>
      </c>
      <c r="P131" s="53">
        <v>1.11652456354028E-3</v>
      </c>
      <c r="Q131" s="53">
        <v>4.4953189030232488E-2</v>
      </c>
      <c r="R131" s="59">
        <f t="shared" si="76"/>
        <v>-3.6903299647007529E-3</v>
      </c>
      <c r="S131" s="59">
        <f t="shared" si="77"/>
        <v>-4.1478413281557762E-3</v>
      </c>
      <c r="T131" s="59">
        <f t="shared" si="78"/>
        <v>-0.5</v>
      </c>
      <c r="U131" s="60">
        <f t="shared" si="79"/>
        <v>-1.2480205466823286E-6</v>
      </c>
      <c r="V131" s="61">
        <f t="shared" si="80"/>
        <v>1.1038635223281634E-3</v>
      </c>
    </row>
    <row r="132" spans="1:24">
      <c r="A132" s="143">
        <v>115</v>
      </c>
      <c r="B132" s="140" t="s">
        <v>178</v>
      </c>
      <c r="C132" s="141" t="s">
        <v>65</v>
      </c>
      <c r="D132" s="35">
        <v>6459647016.4053383</v>
      </c>
      <c r="E132" s="32">
        <f t="shared" si="74"/>
        <v>3.6306646381978496E-3</v>
      </c>
      <c r="F132" s="35">
        <v>1925.7623127935635</v>
      </c>
      <c r="G132" s="35">
        <v>1925.7623127935635</v>
      </c>
      <c r="H132" s="34">
        <v>233</v>
      </c>
      <c r="I132" s="53">
        <v>5.564218312137946E-2</v>
      </c>
      <c r="J132" s="53">
        <v>5.4553165152453828E-2</v>
      </c>
      <c r="K132" s="35">
        <v>6409902280.2841501</v>
      </c>
      <c r="L132" s="32">
        <f t="shared" si="75"/>
        <v>3.5998627557298928E-3</v>
      </c>
      <c r="M132" s="35">
        <v>1915.2507280701316</v>
      </c>
      <c r="N132" s="35">
        <v>1915.2507280701316</v>
      </c>
      <c r="O132" s="34">
        <v>232</v>
      </c>
      <c r="P132" s="53">
        <v>5.6526520955554084E-2</v>
      </c>
      <c r="Q132" s="53">
        <v>5.4869987585350409E-2</v>
      </c>
      <c r="R132" s="60">
        <f t="shared" si="76"/>
        <v>-7.7008443332666947E-3</v>
      </c>
      <c r="S132" s="60">
        <f t="shared" si="77"/>
        <v>-5.4584019292513615E-3</v>
      </c>
      <c r="T132" s="60">
        <f t="shared" si="78"/>
        <v>-4.2918454935622317E-3</v>
      </c>
      <c r="U132" s="60">
        <f t="shared" si="79"/>
        <v>8.8433783417462414E-4</v>
      </c>
      <c r="V132" s="61">
        <f t="shared" si="80"/>
        <v>3.1682243289658102E-4</v>
      </c>
    </row>
    <row r="133" spans="1:24">
      <c r="A133" s="143">
        <v>116</v>
      </c>
      <c r="B133" s="140" t="s">
        <v>179</v>
      </c>
      <c r="C133" s="141" t="s">
        <v>37</v>
      </c>
      <c r="D133" s="35">
        <v>76012522869.75</v>
      </c>
      <c r="E133" s="32">
        <f t="shared" si="74"/>
        <v>4.2723074208624735E-2</v>
      </c>
      <c r="F133" s="35">
        <f>100*1475</f>
        <v>147500</v>
      </c>
      <c r="G133" s="35">
        <f>100*1475</f>
        <v>147500</v>
      </c>
      <c r="H133" s="34">
        <v>1833</v>
      </c>
      <c r="I133" s="53">
        <v>5.4100000000000002E-2</v>
      </c>
      <c r="J133" s="53">
        <v>4.4412600000000003E-2</v>
      </c>
      <c r="K133" s="35">
        <v>82327350232.5</v>
      </c>
      <c r="L133" s="32">
        <f t="shared" si="75"/>
        <v>4.6235831518287911E-2</v>
      </c>
      <c r="M133" s="35">
        <f>100*1475</f>
        <v>147500</v>
      </c>
      <c r="N133" s="35">
        <f>100*1475</f>
        <v>147500</v>
      </c>
      <c r="O133" s="34">
        <v>1848</v>
      </c>
      <c r="P133" s="53">
        <v>4.5199999999999997E-2</v>
      </c>
      <c r="Q133" s="53">
        <v>5.0511300000000002E-2</v>
      </c>
      <c r="R133" s="60">
        <f t="shared" si="76"/>
        <v>8.3076144881688352E-2</v>
      </c>
      <c r="S133" s="60">
        <f t="shared" si="77"/>
        <v>0</v>
      </c>
      <c r="T133" s="60">
        <f t="shared" si="78"/>
        <v>8.1833060556464818E-3</v>
      </c>
      <c r="U133" s="60">
        <f t="shared" si="79"/>
        <v>-8.9000000000000051E-3</v>
      </c>
      <c r="V133" s="61">
        <f t="shared" si="80"/>
        <v>6.0986999999999986E-3</v>
      </c>
    </row>
    <row r="134" spans="1:24" ht="15.6">
      <c r="A134" s="143">
        <v>117</v>
      </c>
      <c r="B134" s="140" t="s">
        <v>180</v>
      </c>
      <c r="C134" s="141" t="s">
        <v>135</v>
      </c>
      <c r="D134" s="35">
        <f>1069131.99*1508.6637</f>
        <v>1612960623.821763</v>
      </c>
      <c r="E134" s="32">
        <f t="shared" si="74"/>
        <v>9.0656952072499305E-4</v>
      </c>
      <c r="F134" s="35">
        <f>1.1*1508.6637</f>
        <v>1659.5300700000003</v>
      </c>
      <c r="G134" s="35">
        <f>1.13*1508.6637</f>
        <v>1704.7899809999999</v>
      </c>
      <c r="H134" s="34">
        <v>47</v>
      </c>
      <c r="I134" s="53">
        <v>1.9E-3</v>
      </c>
      <c r="J134" s="53">
        <v>9.9599999999999994E-2</v>
      </c>
      <c r="K134" s="35">
        <f>1070864.09*1500.7304</f>
        <v>1607078294.131336</v>
      </c>
      <c r="L134" s="32">
        <f t="shared" si="75"/>
        <v>9.0255062302273758E-4</v>
      </c>
      <c r="M134" s="35">
        <f>1.09*1500.7304</f>
        <v>1635.7961359999999</v>
      </c>
      <c r="N134" s="35">
        <f>1.13*1500.7304</f>
        <v>1695.8253519999998</v>
      </c>
      <c r="O134" s="34">
        <v>47</v>
      </c>
      <c r="P134" s="53">
        <v>1.9E-3</v>
      </c>
      <c r="Q134" s="53">
        <v>9.9599999999999994E-2</v>
      </c>
      <c r="R134" s="60">
        <f t="shared" si="76"/>
        <v>-3.6469146261546184E-3</v>
      </c>
      <c r="S134" s="60">
        <f t="shared" si="77"/>
        <v>-5.258494653248469E-3</v>
      </c>
      <c r="T134" s="60">
        <f t="shared" si="78"/>
        <v>0</v>
      </c>
      <c r="U134" s="60">
        <f t="shared" si="79"/>
        <v>0</v>
      </c>
      <c r="V134" s="61">
        <f t="shared" si="80"/>
        <v>0</v>
      </c>
      <c r="X134" s="70"/>
    </row>
    <row r="135" spans="1:24" ht="15.6">
      <c r="A135" s="143">
        <v>118</v>
      </c>
      <c r="B135" s="140" t="s">
        <v>181</v>
      </c>
      <c r="C135" s="141" t="s">
        <v>43</v>
      </c>
      <c r="D135" s="31">
        <f>2766107.18*1508.6637</f>
        <v>4173125492.7753663</v>
      </c>
      <c r="E135" s="32">
        <f t="shared" si="74"/>
        <v>2.3455181248917285E-3</v>
      </c>
      <c r="F135" s="35">
        <f>10.44403*1508.6637</f>
        <v>15756.528942711</v>
      </c>
      <c r="G135" s="35">
        <f>10.44403*1508.6637</f>
        <v>15756.528942711</v>
      </c>
      <c r="H135" s="34">
        <v>68</v>
      </c>
      <c r="I135" s="53">
        <v>7.5700000000000003E-2</v>
      </c>
      <c r="J135" s="53">
        <v>9.5600000000000004E-2</v>
      </c>
      <c r="K135" s="31">
        <f>2791881.2*1500.7304</f>
        <v>4189860990.0284801</v>
      </c>
      <c r="L135" s="32">
        <f t="shared" si="75"/>
        <v>2.3530662200704371E-3</v>
      </c>
      <c r="M135" s="35">
        <f>10.45861*1500.7304</f>
        <v>15695.553968744</v>
      </c>
      <c r="N135" s="35">
        <f>10.45861*1500.7304</f>
        <v>15695.553968744</v>
      </c>
      <c r="O135" s="34">
        <v>68</v>
      </c>
      <c r="P135" s="53">
        <v>7.6600000000000001E-2</v>
      </c>
      <c r="Q135" s="53">
        <v>9.6199999999999994E-2</v>
      </c>
      <c r="R135" s="60">
        <f t="shared" si="76"/>
        <v>4.0103028969741541E-3</v>
      </c>
      <c r="S135" s="60">
        <f t="shared" si="77"/>
        <v>-3.8698227375266992E-3</v>
      </c>
      <c r="T135" s="60">
        <f t="shared" si="78"/>
        <v>0</v>
      </c>
      <c r="U135" s="60">
        <f t="shared" si="79"/>
        <v>8.9999999999999802E-4</v>
      </c>
      <c r="V135" s="61">
        <f t="shared" si="80"/>
        <v>5.9999999999998943E-4</v>
      </c>
      <c r="X135" s="70"/>
    </row>
    <row r="136" spans="1:24" ht="15.6">
      <c r="A136" s="143">
        <v>119</v>
      </c>
      <c r="B136" s="141" t="s">
        <v>182</v>
      </c>
      <c r="C136" s="145" t="s">
        <v>47</v>
      </c>
      <c r="D136" s="35">
        <v>25009410911.09</v>
      </c>
      <c r="E136" s="32">
        <f t="shared" si="74"/>
        <v>1.4056616961646723E-2</v>
      </c>
      <c r="F136" s="35">
        <f>1.073*1508.6637</f>
        <v>1618.7961501</v>
      </c>
      <c r="G136" s="35">
        <f>1.073*1508.6637</f>
        <v>1618.7961501</v>
      </c>
      <c r="H136" s="34">
        <v>460</v>
      </c>
      <c r="I136" s="53">
        <v>4.0800000000000003E-2</v>
      </c>
      <c r="J136" s="53">
        <v>4.8300000000000003E-2</v>
      </c>
      <c r="K136" s="35">
        <v>24834306376.23</v>
      </c>
      <c r="L136" s="32">
        <f t="shared" si="75"/>
        <v>1.3947185257902664E-2</v>
      </c>
      <c r="M136" s="35">
        <f>1.071*1500.7304</f>
        <v>1607.2822583999998</v>
      </c>
      <c r="N136" s="35">
        <f>1.076*1500.7304</f>
        <v>1614.7859103999999</v>
      </c>
      <c r="O136" s="34">
        <v>460</v>
      </c>
      <c r="P136" s="53">
        <v>2E-3</v>
      </c>
      <c r="Q136" s="53">
        <v>3.2000000000000001E-2</v>
      </c>
      <c r="R136" s="60">
        <f t="shared" si="76"/>
        <v>-7.0015457574154E-3</v>
      </c>
      <c r="S136" s="60">
        <f t="shared" si="77"/>
        <v>-2.4772975273954826E-3</v>
      </c>
      <c r="T136" s="60">
        <f t="shared" si="78"/>
        <v>0</v>
      </c>
      <c r="U136" s="60">
        <f t="shared" si="79"/>
        <v>-3.8800000000000001E-2</v>
      </c>
      <c r="V136" s="61">
        <f t="shared" si="80"/>
        <v>-1.6300000000000002E-2</v>
      </c>
      <c r="X136" s="70"/>
    </row>
    <row r="137" spans="1:24">
      <c r="A137" s="143">
        <v>120</v>
      </c>
      <c r="B137" s="140" t="s">
        <v>183</v>
      </c>
      <c r="C137" s="141" t="s">
        <v>91</v>
      </c>
      <c r="D137" s="31">
        <f>329677.78*1516.36</f>
        <v>499910198.48080003</v>
      </c>
      <c r="E137" s="32">
        <f t="shared" si="74"/>
        <v>2.8097607737531189E-4</v>
      </c>
      <c r="F137" s="35">
        <f>1.09*1516.36</f>
        <v>1652.8324</v>
      </c>
      <c r="G137" s="35">
        <f>1.09*1516.36</f>
        <v>1652.8324</v>
      </c>
      <c r="H137" s="34">
        <v>3</v>
      </c>
      <c r="I137" s="53">
        <v>-4.1842999999999998E-2</v>
      </c>
      <c r="J137" s="53">
        <v>-2.2509000000000001E-2</v>
      </c>
      <c r="K137" s="31">
        <f>276022.91*1506.45</f>
        <v>415814712.76949996</v>
      </c>
      <c r="L137" s="32">
        <f t="shared" si="75"/>
        <v>2.3352554100358134E-4</v>
      </c>
      <c r="M137" s="35">
        <f>1.15*1506.45</f>
        <v>1732.4175</v>
      </c>
      <c r="N137" s="35">
        <f>1.15*1506.45</f>
        <v>1732.4175</v>
      </c>
      <c r="O137" s="34">
        <v>3</v>
      </c>
      <c r="P137" s="53">
        <v>5.9728999999999997E-2</v>
      </c>
      <c r="Q137" s="53">
        <v>3.5874999999999997E-2</v>
      </c>
      <c r="R137" s="60">
        <f t="shared" si="76"/>
        <v>-0.16822118445845213</v>
      </c>
      <c r="S137" s="60">
        <f t="shared" si="77"/>
        <v>4.8150738090565026E-2</v>
      </c>
      <c r="T137" s="60">
        <f t="shared" si="78"/>
        <v>0</v>
      </c>
      <c r="U137" s="60">
        <f t="shared" si="79"/>
        <v>0.101572</v>
      </c>
      <c r="V137" s="61">
        <f t="shared" si="80"/>
        <v>5.8383999999999998E-2</v>
      </c>
    </row>
    <row r="138" spans="1:24">
      <c r="A138" s="143">
        <v>121</v>
      </c>
      <c r="B138" s="140" t="s">
        <v>184</v>
      </c>
      <c r="C138" s="141" t="s">
        <v>49</v>
      </c>
      <c r="D138" s="31">
        <v>984871335046.85999</v>
      </c>
      <c r="E138" s="32">
        <f t="shared" si="74"/>
        <v>0.55354998814148304</v>
      </c>
      <c r="F138" s="35">
        <v>2407.83</v>
      </c>
      <c r="G138" s="35">
        <v>2407.83</v>
      </c>
      <c r="H138" s="34">
        <v>9835</v>
      </c>
      <c r="I138" s="53">
        <v>1.2999999999999999E-3</v>
      </c>
      <c r="J138" s="53">
        <v>8.3999999999999995E-3</v>
      </c>
      <c r="K138" s="31">
        <v>985169422642.22998</v>
      </c>
      <c r="L138" s="32">
        <f t="shared" si="75"/>
        <v>0.55328062076111251</v>
      </c>
      <c r="M138" s="35">
        <v>2395.41</v>
      </c>
      <c r="N138" s="35">
        <v>2395.41</v>
      </c>
      <c r="O138" s="34">
        <v>9935</v>
      </c>
      <c r="P138" s="53">
        <v>1.4E-3</v>
      </c>
      <c r="Q138" s="53">
        <v>9.7999999999999997E-3</v>
      </c>
      <c r="R138" s="60">
        <f t="shared" si="76"/>
        <v>3.0266653598544645E-4</v>
      </c>
      <c r="S138" s="60">
        <f t="shared" si="77"/>
        <v>-5.1581714655935312E-3</v>
      </c>
      <c r="T138" s="60">
        <f t="shared" si="78"/>
        <v>1.0167768174885612E-2</v>
      </c>
      <c r="U138" s="60">
        <f t="shared" si="79"/>
        <v>1.0000000000000005E-4</v>
      </c>
      <c r="V138" s="61">
        <f t="shared" si="80"/>
        <v>1.4000000000000002E-3</v>
      </c>
    </row>
    <row r="139" spans="1:24">
      <c r="A139" s="143">
        <v>122</v>
      </c>
      <c r="B139" s="140" t="s">
        <v>293</v>
      </c>
      <c r="C139" s="140" t="s">
        <v>101</v>
      </c>
      <c r="D139" s="31">
        <f>269612.97*1508.6637</f>
        <v>406755300.88818896</v>
      </c>
      <c r="E139" s="32">
        <f t="shared" si="74"/>
        <v>2.2861807829185047E-4</v>
      </c>
      <c r="F139" s="35">
        <f>101.12*1508.6637</f>
        <v>152556.073344</v>
      </c>
      <c r="G139" s="35">
        <f>101.12*1508.6637</f>
        <v>152556.073344</v>
      </c>
      <c r="H139" s="34">
        <v>14</v>
      </c>
      <c r="I139" s="53">
        <v>0</v>
      </c>
      <c r="J139" s="53">
        <v>0</v>
      </c>
      <c r="K139" s="31">
        <f>269998.52*1500.7304</f>
        <v>405194986.91900802</v>
      </c>
      <c r="L139" s="32">
        <f t="shared" si="75"/>
        <v>2.2756140085079994E-4</v>
      </c>
      <c r="M139" s="35">
        <f>101.27*1500.7304</f>
        <v>151978.96760799998</v>
      </c>
      <c r="N139" s="35">
        <f>101.27*1500.7304</f>
        <v>151978.96760799998</v>
      </c>
      <c r="O139" s="34">
        <v>14</v>
      </c>
      <c r="P139" s="53">
        <v>0</v>
      </c>
      <c r="Q139" s="53">
        <v>0</v>
      </c>
      <c r="R139" s="60">
        <f t="shared" ref="R139" si="83">((K139-D139)/D139)</f>
        <v>-3.8360015610708633E-3</v>
      </c>
      <c r="S139" s="60">
        <f t="shared" ref="S139" si="84">((N139-G139)/G139)</f>
        <v>-3.7829089550483258E-3</v>
      </c>
      <c r="T139" s="60">
        <f t="shared" ref="T139" si="85">((O139-H139)/H139)</f>
        <v>0</v>
      </c>
      <c r="U139" s="60">
        <f t="shared" ref="U139" si="86">P139-I139</f>
        <v>0</v>
      </c>
      <c r="V139" s="61">
        <f t="shared" ref="V139" si="87">Q139-J139</f>
        <v>0</v>
      </c>
    </row>
    <row r="140" spans="1:24" ht="16.5" customHeight="1">
      <c r="A140" s="143">
        <v>123</v>
      </c>
      <c r="B140" s="140" t="s">
        <v>185</v>
      </c>
      <c r="C140" s="141" t="s">
        <v>52</v>
      </c>
      <c r="D140" s="31">
        <f>135375327.38*1509.7</f>
        <v>204376131745.586</v>
      </c>
      <c r="E140" s="32">
        <f t="shared" si="74"/>
        <v>0.11487023865791411</v>
      </c>
      <c r="F140" s="35">
        <f>1.1813*1509.7</f>
        <v>1783.4086100000002</v>
      </c>
      <c r="G140" s="35">
        <f>1.1813*1509.7</f>
        <v>1783.4086100000002</v>
      </c>
      <c r="H140" s="34">
        <v>568</v>
      </c>
      <c r="I140" s="53">
        <v>6.3700000000000007E-2</v>
      </c>
      <c r="J140" s="53">
        <v>9.0800000000000006E-2</v>
      </c>
      <c r="K140" s="31">
        <f>134080539.16*1501.08</f>
        <v>201265615722.29279</v>
      </c>
      <c r="L140" s="32">
        <f t="shared" si="75"/>
        <v>0.11303270508136487</v>
      </c>
      <c r="M140" s="35">
        <f>1.1827*1501.08</f>
        <v>1775.3273160000001</v>
      </c>
      <c r="N140" s="35">
        <f>1.1827*1501.08</f>
        <v>1775.3273160000001</v>
      </c>
      <c r="O140" s="34">
        <v>568</v>
      </c>
      <c r="P140" s="53">
        <v>6.3700000000000007E-2</v>
      </c>
      <c r="Q140" s="53">
        <v>8.72E-2</v>
      </c>
      <c r="R140" s="60">
        <f t="shared" si="76"/>
        <v>-1.5219565987114795E-2</v>
      </c>
      <c r="S140" s="60">
        <f t="shared" si="77"/>
        <v>-4.5313754541086741E-3</v>
      </c>
      <c r="T140" s="60">
        <f t="shared" si="78"/>
        <v>0</v>
      </c>
      <c r="U140" s="60">
        <f t="shared" si="79"/>
        <v>0</v>
      </c>
      <c r="V140" s="61">
        <f t="shared" si="80"/>
        <v>-3.600000000000006E-3</v>
      </c>
    </row>
    <row r="141" spans="1:24" ht="16.5" customHeight="1">
      <c r="A141" s="143">
        <v>124</v>
      </c>
      <c r="B141" s="140" t="s">
        <v>186</v>
      </c>
      <c r="C141" s="141" t="s">
        <v>96</v>
      </c>
      <c r="D141" s="35">
        <v>942656525.17762101</v>
      </c>
      <c r="E141" s="32">
        <v>0</v>
      </c>
      <c r="F141" s="35">
        <v>157383.00440000001</v>
      </c>
      <c r="G141" s="35">
        <v>157383.00440000001</v>
      </c>
      <c r="H141" s="34">
        <v>23</v>
      </c>
      <c r="I141" s="53">
        <v>1.4E-3</v>
      </c>
      <c r="J141" s="53">
        <v>6.25E-2</v>
      </c>
      <c r="K141" s="35">
        <v>937529421.68512082</v>
      </c>
      <c r="L141" s="32">
        <f t="shared" si="75"/>
        <v>5.2652553813591671E-4</v>
      </c>
      <c r="M141" s="35">
        <v>156535.21950000001</v>
      </c>
      <c r="N141" s="35">
        <v>156535.21950000001</v>
      </c>
      <c r="O141" s="34">
        <v>23</v>
      </c>
      <c r="P141" s="53">
        <v>1.1999999999999999E-3</v>
      </c>
      <c r="Q141" s="53">
        <v>0.06</v>
      </c>
      <c r="R141" s="60">
        <f t="shared" si="76"/>
        <v>-5.4389943267343383E-3</v>
      </c>
      <c r="S141" s="60">
        <f t="shared" si="77"/>
        <v>-5.3867627145132747E-3</v>
      </c>
      <c r="T141" s="60">
        <f t="shared" si="78"/>
        <v>0</v>
      </c>
      <c r="U141" s="60">
        <f t="shared" si="79"/>
        <v>-2.0000000000000009E-4</v>
      </c>
      <c r="V141" s="61">
        <f t="shared" si="80"/>
        <v>-2.5000000000000022E-3</v>
      </c>
    </row>
    <row r="142" spans="1:24">
      <c r="A142" s="143">
        <v>125</v>
      </c>
      <c r="B142" s="140" t="s">
        <v>187</v>
      </c>
      <c r="C142" s="141" t="s">
        <v>110</v>
      </c>
      <c r="D142" s="35">
        <f>1229458.66*1508.6637</f>
        <v>1854839650.9926419</v>
      </c>
      <c r="E142" s="32">
        <f>(D142/$D$143)</f>
        <v>1.0425183780604977E-3</v>
      </c>
      <c r="F142" s="35">
        <f>1.2803*1508.6637</f>
        <v>1931.5421351100001</v>
      </c>
      <c r="G142" s="35">
        <f>1.2803*1508.6637</f>
        <v>1931.5421351100001</v>
      </c>
      <c r="H142" s="34">
        <v>82</v>
      </c>
      <c r="I142" s="53">
        <v>1.0682000000000001E-2</v>
      </c>
      <c r="J142" s="53">
        <v>2.9575000000000001E-2</v>
      </c>
      <c r="K142" s="35">
        <f>1299438.48*1500.7304</f>
        <v>1950106829.8657918</v>
      </c>
      <c r="L142" s="32">
        <f t="shared" si="75"/>
        <v>1.0951987471199255E-3</v>
      </c>
      <c r="M142" s="35">
        <f>1.2863*1500.7304</f>
        <v>1930.3895135199998</v>
      </c>
      <c r="N142" s="35">
        <f>1.2863*1500.7304</f>
        <v>1930.3895135199998</v>
      </c>
      <c r="O142" s="34">
        <v>84</v>
      </c>
      <c r="P142" s="53">
        <v>3.9350000000000001E-3</v>
      </c>
      <c r="Q142" s="53">
        <v>3.4001000000000003E-2</v>
      </c>
      <c r="R142" s="60">
        <f t="shared" si="76"/>
        <v>5.1361409500905585E-2</v>
      </c>
      <c r="S142" s="60">
        <f t="shared" si="77"/>
        <v>-5.9673644651539893E-4</v>
      </c>
      <c r="T142" s="60">
        <f t="shared" si="78"/>
        <v>2.4390243902439025E-2</v>
      </c>
      <c r="U142" s="60">
        <f t="shared" si="79"/>
        <v>-6.7470000000000004E-3</v>
      </c>
      <c r="V142" s="61">
        <f t="shared" si="80"/>
        <v>4.4260000000000028E-3</v>
      </c>
    </row>
    <row r="143" spans="1:24">
      <c r="A143" s="38"/>
      <c r="B143" s="39"/>
      <c r="C143" s="74" t="s">
        <v>53</v>
      </c>
      <c r="D143" s="51">
        <f>SUM(D110:D142)</f>
        <v>1779191321733.2319</v>
      </c>
      <c r="E143" s="42">
        <f>(D143/$D$214)</f>
        <v>0.4167161907798218</v>
      </c>
      <c r="F143" s="43"/>
      <c r="G143" s="48"/>
      <c r="H143" s="45">
        <f>SUM(H110:H142)</f>
        <v>22815</v>
      </c>
      <c r="I143" s="83"/>
      <c r="J143" s="83"/>
      <c r="K143" s="51">
        <f>SUM(K110:K142)</f>
        <v>1780596293589.6721</v>
      </c>
      <c r="L143" s="42">
        <f>(K143/$K$214)</f>
        <v>0.41366434125644247</v>
      </c>
      <c r="M143" s="43"/>
      <c r="N143" s="48"/>
      <c r="O143" s="45">
        <f>SUM(O110:O142)</f>
        <v>22985</v>
      </c>
      <c r="P143" s="83"/>
      <c r="Q143" s="83"/>
      <c r="R143" s="60">
        <f t="shared" si="76"/>
        <v>7.8966878900438113E-4</v>
      </c>
      <c r="S143" s="60" t="e">
        <f t="shared" si="77"/>
        <v>#DIV/0!</v>
      </c>
      <c r="T143" s="60">
        <f t="shared" si="78"/>
        <v>7.4512382204689901E-3</v>
      </c>
      <c r="U143" s="60">
        <f t="shared" si="79"/>
        <v>0</v>
      </c>
      <c r="V143" s="61">
        <f t="shared" si="80"/>
        <v>0</v>
      </c>
    </row>
    <row r="144" spans="1:24" ht="6" customHeight="1">
      <c r="A144" s="38"/>
      <c r="B144" s="160"/>
      <c r="C144" s="160"/>
      <c r="D144" s="160"/>
      <c r="E144" s="160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160"/>
    </row>
    <row r="145" spans="1:22">
      <c r="A145" s="162" t="s">
        <v>188</v>
      </c>
      <c r="B145" s="162"/>
      <c r="C145" s="162"/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</row>
    <row r="146" spans="1:22">
      <c r="A146" s="143">
        <v>126</v>
      </c>
      <c r="B146" s="140" t="s">
        <v>189</v>
      </c>
      <c r="C146" s="141" t="s">
        <v>190</v>
      </c>
      <c r="D146" s="75">
        <v>2286342821.379055</v>
      </c>
      <c r="E146" s="32">
        <f>(D146/$D$151)</f>
        <v>2.2633920192100268E-2</v>
      </c>
      <c r="F146" s="63">
        <v>107.74471354283953</v>
      </c>
      <c r="G146" s="63">
        <v>107.74471354283953</v>
      </c>
      <c r="H146" s="34">
        <v>8</v>
      </c>
      <c r="I146" s="53">
        <v>3.5954418206107785E-3</v>
      </c>
      <c r="J146" s="53">
        <v>2.2100000000000002E-2</v>
      </c>
      <c r="K146" s="75">
        <v>2294130870.512723</v>
      </c>
      <c r="L146" s="32">
        <f>(K146/$K$151)</f>
        <v>2.2698387239527242E-2</v>
      </c>
      <c r="M146" s="63">
        <v>108.1117281108729</v>
      </c>
      <c r="N146" s="63">
        <v>108.1117281108729</v>
      </c>
      <c r="O146" s="34">
        <v>8</v>
      </c>
      <c r="P146" s="53">
        <v>3.4063348072055355E-3</v>
      </c>
      <c r="Q146" s="53">
        <v>2.5600000000000001E-2</v>
      </c>
      <c r="R146" s="60">
        <f t="shared" ref="R146:R151" si="88">((K146-D146)/D146)</f>
        <v>3.406334807205519E-3</v>
      </c>
      <c r="S146" s="60">
        <f t="shared" ref="S146:T151" si="89">((N146-G146)/G146)</f>
        <v>3.4063348072055819E-3</v>
      </c>
      <c r="T146" s="60">
        <f t="shared" si="89"/>
        <v>0</v>
      </c>
      <c r="U146" s="60">
        <f t="shared" ref="U146:V151" si="90">P146-I146</f>
        <v>-1.8910701340524305E-4</v>
      </c>
      <c r="V146" s="61">
        <f t="shared" si="90"/>
        <v>3.4999999999999996E-3</v>
      </c>
    </row>
    <row r="147" spans="1:22">
      <c r="A147" s="143">
        <v>127</v>
      </c>
      <c r="B147" s="140" t="s">
        <v>191</v>
      </c>
      <c r="C147" s="141" t="s">
        <v>47</v>
      </c>
      <c r="D147" s="31">
        <v>54160728474</v>
      </c>
      <c r="E147" s="32">
        <f>(D147/$D$151)</f>
        <v>0.53617051404702287</v>
      </c>
      <c r="F147" s="63">
        <v>102.07</v>
      </c>
      <c r="G147" s="63">
        <v>102.07</v>
      </c>
      <c r="H147" s="34">
        <v>645</v>
      </c>
      <c r="I147" s="53">
        <v>8.3900000000000002E-2</v>
      </c>
      <c r="J147" s="53">
        <v>8.3900000000000002E-2</v>
      </c>
      <c r="K147" s="31">
        <v>54160728474</v>
      </c>
      <c r="L147" s="32">
        <f>(K147/$K$151)</f>
        <v>0.53587230086964799</v>
      </c>
      <c r="M147" s="63">
        <v>102.07</v>
      </c>
      <c r="N147" s="63">
        <v>102.07</v>
      </c>
      <c r="O147" s="34">
        <v>645</v>
      </c>
      <c r="P147" s="53">
        <v>8.3900000000000002E-2</v>
      </c>
      <c r="Q147" s="53">
        <v>8.3900000000000002E-2</v>
      </c>
      <c r="R147" s="60">
        <f t="shared" si="88"/>
        <v>0</v>
      </c>
      <c r="S147" s="60">
        <f t="shared" si="89"/>
        <v>0</v>
      </c>
      <c r="T147" s="60">
        <f t="shared" si="89"/>
        <v>0</v>
      </c>
      <c r="U147" s="60">
        <f t="shared" si="90"/>
        <v>0</v>
      </c>
      <c r="V147" s="61">
        <f t="shared" si="90"/>
        <v>0</v>
      </c>
    </row>
    <row r="148" spans="1:22" ht="15.75" customHeight="1">
      <c r="A148" s="143">
        <v>128</v>
      </c>
      <c r="B148" s="140" t="s">
        <v>192</v>
      </c>
      <c r="C148" s="141" t="s">
        <v>145</v>
      </c>
      <c r="D148" s="31">
        <v>2818882605.2248797</v>
      </c>
      <c r="E148" s="32">
        <f>(D148/$D$151)</f>
        <v>2.7905860538917738E-2</v>
      </c>
      <c r="F148" s="63">
        <v>197.35</v>
      </c>
      <c r="G148" s="63">
        <v>197.35</v>
      </c>
      <c r="H148" s="34">
        <v>3040</v>
      </c>
      <c r="I148" s="53">
        <v>0.18201628909779513</v>
      </c>
      <c r="J148" s="53">
        <v>4.6801588118666998E-2</v>
      </c>
      <c r="K148" s="31">
        <v>2826264955.1024227</v>
      </c>
      <c r="L148" s="32">
        <f>(K148/$K$151)</f>
        <v>2.796338134715148E-2</v>
      </c>
      <c r="M148" s="63">
        <v>197.35</v>
      </c>
      <c r="N148" s="63">
        <v>197.35</v>
      </c>
      <c r="O148" s="34">
        <v>3040</v>
      </c>
      <c r="P148" s="53">
        <v>0.17334573526671435</v>
      </c>
      <c r="Q148" s="53">
        <v>4.9043385780351036E-2</v>
      </c>
      <c r="R148" s="60">
        <f t="shared" si="88"/>
        <v>2.618892274498972E-3</v>
      </c>
      <c r="S148" s="60">
        <f t="shared" si="89"/>
        <v>0</v>
      </c>
      <c r="T148" s="60">
        <f t="shared" si="89"/>
        <v>0</v>
      </c>
      <c r="U148" s="60">
        <f t="shared" si="90"/>
        <v>-8.670553831080785E-3</v>
      </c>
      <c r="V148" s="61">
        <f t="shared" si="90"/>
        <v>2.2417976616840377E-3</v>
      </c>
    </row>
    <row r="149" spans="1:22">
      <c r="A149" s="143">
        <v>129</v>
      </c>
      <c r="B149" s="140" t="s">
        <v>193</v>
      </c>
      <c r="C149" s="141" t="s">
        <v>145</v>
      </c>
      <c r="D149" s="31">
        <v>10780629138.99</v>
      </c>
      <c r="E149" s="32">
        <f>(D149/$D$151)</f>
        <v>0.10672410859424479</v>
      </c>
      <c r="F149" s="63">
        <v>36.6</v>
      </c>
      <c r="G149" s="63">
        <v>36.6</v>
      </c>
      <c r="H149" s="34">
        <v>5264</v>
      </c>
      <c r="I149" s="53">
        <v>3.4520262921453847E-2</v>
      </c>
      <c r="J149" s="53">
        <v>5.1301967746708046E-2</v>
      </c>
      <c r="K149" s="31">
        <v>10798916171.059999</v>
      </c>
      <c r="L149" s="32">
        <f>(K149/$K$151)</f>
        <v>0.10684568355210287</v>
      </c>
      <c r="M149" s="63">
        <v>36.6</v>
      </c>
      <c r="N149" s="63">
        <v>36.6</v>
      </c>
      <c r="O149" s="34">
        <v>5264</v>
      </c>
      <c r="P149" s="53">
        <v>7.761920514153077E-2</v>
      </c>
      <c r="Q149" s="53">
        <v>5.4910760012290435E-2</v>
      </c>
      <c r="R149" s="60">
        <f t="shared" si="88"/>
        <v>1.6962861660699835E-3</v>
      </c>
      <c r="S149" s="60">
        <f t="shared" si="89"/>
        <v>0</v>
      </c>
      <c r="T149" s="60">
        <f t="shared" si="89"/>
        <v>0</v>
      </c>
      <c r="U149" s="60">
        <f t="shared" si="90"/>
        <v>4.3098942220076923E-2</v>
      </c>
      <c r="V149" s="61">
        <f t="shared" si="90"/>
        <v>3.608792265582389E-3</v>
      </c>
    </row>
    <row r="150" spans="1:22">
      <c r="A150" s="143">
        <v>130</v>
      </c>
      <c r="B150" s="140" t="s">
        <v>194</v>
      </c>
      <c r="C150" s="141" t="s">
        <v>49</v>
      </c>
      <c r="D150" s="31">
        <v>30967417273.84</v>
      </c>
      <c r="E150" s="32">
        <f>(D150/$D$151)</f>
        <v>0.30656559662771438</v>
      </c>
      <c r="F150" s="63">
        <v>7.4</v>
      </c>
      <c r="G150" s="63">
        <v>7.4</v>
      </c>
      <c r="H150" s="34">
        <v>208048</v>
      </c>
      <c r="I150" s="53">
        <v>0.19350000000000001</v>
      </c>
      <c r="J150" s="53">
        <v>0.48</v>
      </c>
      <c r="K150" s="31">
        <v>30990174179.540001</v>
      </c>
      <c r="L150" s="32">
        <f>(K150/$K$151)</f>
        <v>0.30662024699157037</v>
      </c>
      <c r="M150" s="63">
        <v>6.75</v>
      </c>
      <c r="N150" s="63">
        <v>6.75</v>
      </c>
      <c r="O150" s="34">
        <v>208048</v>
      </c>
      <c r="P150" s="53">
        <v>-8.7800000000000003E-2</v>
      </c>
      <c r="Q150" s="53">
        <v>0.35</v>
      </c>
      <c r="R150" s="60">
        <f t="shared" si="88"/>
        <v>7.3486611746678861E-4</v>
      </c>
      <c r="S150" s="60">
        <f t="shared" si="89"/>
        <v>-8.7837837837837884E-2</v>
      </c>
      <c r="T150" s="60">
        <f t="shared" si="89"/>
        <v>0</v>
      </c>
      <c r="U150" s="60">
        <f t="shared" si="90"/>
        <v>-0.28129999999999999</v>
      </c>
      <c r="V150" s="61">
        <f t="shared" si="90"/>
        <v>-0.13</v>
      </c>
    </row>
    <row r="151" spans="1:22">
      <c r="A151" s="38"/>
      <c r="B151" s="76"/>
      <c r="C151" s="40" t="s">
        <v>53</v>
      </c>
      <c r="D151" s="41">
        <f>SUM(D146:D150)</f>
        <v>101014000313.43393</v>
      </c>
      <c r="E151" s="42">
        <f>(D151/$D$214)</f>
        <v>2.3659158468151194E-2</v>
      </c>
      <c r="F151" s="43"/>
      <c r="G151" s="77"/>
      <c r="H151" s="45">
        <f>SUM(H146:H150)</f>
        <v>217005</v>
      </c>
      <c r="I151" s="84"/>
      <c r="J151" s="84"/>
      <c r="K151" s="41">
        <f>SUM(K146:K150)</f>
        <v>101070214650.21515</v>
      </c>
      <c r="L151" s="42">
        <f>(K151/$K$214)</f>
        <v>2.3480417158255169E-2</v>
      </c>
      <c r="M151" s="43"/>
      <c r="N151" s="77"/>
      <c r="O151" s="45">
        <f>SUM(O146:O150)</f>
        <v>217005</v>
      </c>
      <c r="P151" s="84"/>
      <c r="Q151" s="84"/>
      <c r="R151" s="60">
        <f t="shared" si="88"/>
        <v>5.5650045148982678E-4</v>
      </c>
      <c r="S151" s="60" t="e">
        <f t="shared" si="89"/>
        <v>#DIV/0!</v>
      </c>
      <c r="T151" s="60">
        <f t="shared" si="89"/>
        <v>0</v>
      </c>
      <c r="U151" s="60">
        <f t="shared" si="90"/>
        <v>0</v>
      </c>
      <c r="V151" s="61">
        <f t="shared" si="90"/>
        <v>0</v>
      </c>
    </row>
    <row r="152" spans="1:22" ht="5.25" customHeight="1">
      <c r="A152" s="38"/>
      <c r="B152" s="160"/>
      <c r="C152" s="160"/>
      <c r="D152" s="160"/>
      <c r="E152" s="160"/>
      <c r="F152" s="160"/>
      <c r="G152" s="160"/>
      <c r="H152" s="160"/>
      <c r="I152" s="160"/>
      <c r="J152" s="160"/>
      <c r="K152" s="160"/>
      <c r="L152" s="160"/>
      <c r="M152" s="160"/>
      <c r="N152" s="160"/>
      <c r="O152" s="160"/>
      <c r="P152" s="160"/>
      <c r="Q152" s="160"/>
      <c r="R152" s="160"/>
      <c r="S152" s="160"/>
      <c r="T152" s="160"/>
      <c r="U152" s="160"/>
      <c r="V152" s="160"/>
    </row>
    <row r="153" spans="1:22" ht="15" customHeight="1">
      <c r="A153" s="162" t="s">
        <v>195</v>
      </c>
      <c r="B153" s="162"/>
      <c r="C153" s="162"/>
      <c r="D153" s="162"/>
      <c r="E153" s="162"/>
      <c r="F153" s="162"/>
      <c r="G153" s="162"/>
      <c r="H153" s="162"/>
      <c r="I153" s="162"/>
      <c r="J153" s="162"/>
      <c r="K153" s="162"/>
      <c r="L153" s="162"/>
      <c r="M153" s="162"/>
      <c r="N153" s="162"/>
      <c r="O153" s="162"/>
      <c r="P153" s="162"/>
      <c r="Q153" s="162"/>
      <c r="R153" s="162"/>
      <c r="S153" s="162"/>
      <c r="T153" s="162"/>
      <c r="U153" s="162"/>
      <c r="V153" s="162"/>
    </row>
    <row r="154" spans="1:22">
      <c r="A154" s="144">
        <v>131</v>
      </c>
      <c r="B154" s="140" t="s">
        <v>196</v>
      </c>
      <c r="C154" s="141" t="s">
        <v>57</v>
      </c>
      <c r="D154" s="35">
        <v>268426851.05000001</v>
      </c>
      <c r="E154" s="32">
        <f t="shared" ref="E154:E181" si="91">(D154/$D$182)</f>
        <v>4.6079764224248015E-3</v>
      </c>
      <c r="F154" s="35">
        <v>6.02</v>
      </c>
      <c r="G154" s="35">
        <v>6.11</v>
      </c>
      <c r="H154" s="36">
        <v>11835</v>
      </c>
      <c r="I154" s="54">
        <v>5.7060000000000001E-3</v>
      </c>
      <c r="J154" s="54">
        <v>5.4300000000000001E-2</v>
      </c>
      <c r="K154" s="35">
        <v>266732538.03999999</v>
      </c>
      <c r="L154" s="57">
        <f t="shared" ref="L154:L180" si="92">(K154/$K$182)</f>
        <v>4.5940854114058308E-3</v>
      </c>
      <c r="M154" s="35">
        <v>5.9877000000000002</v>
      </c>
      <c r="N154" s="35">
        <v>6.0692000000000004</v>
      </c>
      <c r="O154" s="36">
        <v>11836</v>
      </c>
      <c r="P154" s="54">
        <v>-6.4590000000000003E-3</v>
      </c>
      <c r="Q154" s="54">
        <v>4.7842000000000003E-2</v>
      </c>
      <c r="R154" s="60">
        <f>((K154-D154)/D154)</f>
        <v>-6.3120101561092322E-3</v>
      </c>
      <c r="S154" s="60">
        <f>((N154-G154)/G154)</f>
        <v>-6.6775777414075201E-3</v>
      </c>
      <c r="T154" s="60">
        <f>((O154-H154)/H154)</f>
        <v>8.4495141529362065E-5</v>
      </c>
      <c r="U154" s="60">
        <f>P154-I154</f>
        <v>-1.2165E-2</v>
      </c>
      <c r="V154" s="61">
        <f>Q154-J154</f>
        <v>-6.4579999999999985E-3</v>
      </c>
    </row>
    <row r="155" spans="1:22">
      <c r="A155" s="144">
        <v>132</v>
      </c>
      <c r="B155" s="140" t="s">
        <v>197</v>
      </c>
      <c r="C155" s="140" t="s">
        <v>198</v>
      </c>
      <c r="D155" s="35">
        <v>722808852.04667807</v>
      </c>
      <c r="E155" s="32">
        <f t="shared" si="91"/>
        <v>1.2408170550458904E-2</v>
      </c>
      <c r="F155" s="35">
        <v>1657.1218695002806</v>
      </c>
      <c r="G155" s="35">
        <v>1677.2313331180235</v>
      </c>
      <c r="H155" s="36">
        <v>175</v>
      </c>
      <c r="I155" s="54">
        <v>8.7397806940456482E-3</v>
      </c>
      <c r="J155" s="54">
        <v>0.4815862049564788</v>
      </c>
      <c r="K155" s="35">
        <v>722747228.13696241</v>
      </c>
      <c r="L155" s="57">
        <f t="shared" si="92"/>
        <v>1.2448284417479241E-2</v>
      </c>
      <c r="M155" s="35">
        <v>1656.4996632719517</v>
      </c>
      <c r="N155" s="35">
        <v>1676.5804505883148</v>
      </c>
      <c r="O155" s="36">
        <v>175</v>
      </c>
      <c r="P155" s="54">
        <v>-3.8313091154882001E-4</v>
      </c>
      <c r="Q155" s="54">
        <v>0.48101856348323568</v>
      </c>
      <c r="R155" s="60">
        <f>((K155-D155)/D155)</f>
        <v>-8.5256163564074433E-5</v>
      </c>
      <c r="S155" s="60">
        <f>((N155-G155)/G155)</f>
        <v>-3.8806962215445496E-4</v>
      </c>
      <c r="T155" s="60">
        <f>((O155-H155)/H155)</f>
        <v>0</v>
      </c>
      <c r="U155" s="60">
        <f>P155-I155</f>
        <v>-9.1229116055944678E-3</v>
      </c>
      <c r="V155" s="61">
        <f>Q155-J155</f>
        <v>-5.6764147324311898E-4</v>
      </c>
    </row>
    <row r="156" spans="1:22">
      <c r="A156" s="144">
        <v>133</v>
      </c>
      <c r="B156" s="140" t="s">
        <v>199</v>
      </c>
      <c r="C156" s="141" t="s">
        <v>23</v>
      </c>
      <c r="D156" s="35">
        <v>7052816965.7299995</v>
      </c>
      <c r="E156" s="32">
        <f t="shared" si="91"/>
        <v>0.12107288880614935</v>
      </c>
      <c r="F156" s="35">
        <v>825.13660000000004</v>
      </c>
      <c r="G156" s="35">
        <v>850.01509999999996</v>
      </c>
      <c r="H156" s="36">
        <v>21376</v>
      </c>
      <c r="I156" s="54">
        <v>0.63919999999999999</v>
      </c>
      <c r="J156" s="54">
        <v>0.30869999999999997</v>
      </c>
      <c r="K156" s="35">
        <v>7059286798.4200001</v>
      </c>
      <c r="L156" s="57">
        <f t="shared" si="92"/>
        <v>0.12158609044798147</v>
      </c>
      <c r="M156" s="35">
        <v>826.37580000000003</v>
      </c>
      <c r="N156" s="35">
        <v>851.29160000000002</v>
      </c>
      <c r="O156" s="36">
        <v>21379</v>
      </c>
      <c r="P156" s="54">
        <v>7.8299999999999995E-2</v>
      </c>
      <c r="Q156" s="54">
        <v>0.27810000000000001</v>
      </c>
      <c r="R156" s="60">
        <f t="shared" ref="R156:R181" si="93">((K156-D156)/D156)</f>
        <v>9.173402232665024E-4</v>
      </c>
      <c r="S156" s="60">
        <f t="shared" ref="S156:T181" si="94">((N156-G156)/G156)</f>
        <v>1.5017380279480394E-3</v>
      </c>
      <c r="T156" s="60">
        <f t="shared" si="94"/>
        <v>1.403443113772455E-4</v>
      </c>
      <c r="U156" s="60">
        <f t="shared" ref="U156:V181" si="95">P156-I156</f>
        <v>-0.56089999999999995</v>
      </c>
      <c r="V156" s="61">
        <f t="shared" si="95"/>
        <v>-3.0599999999999961E-2</v>
      </c>
    </row>
    <row r="157" spans="1:22">
      <c r="A157" s="144">
        <v>134</v>
      </c>
      <c r="B157" s="140" t="s">
        <v>200</v>
      </c>
      <c r="C157" s="141" t="s">
        <v>112</v>
      </c>
      <c r="D157" s="35">
        <v>4019258158.6999998</v>
      </c>
      <c r="E157" s="32">
        <f t="shared" si="91"/>
        <v>6.8996997723891146E-2</v>
      </c>
      <c r="F157" s="35">
        <v>23.552600000000002</v>
      </c>
      <c r="G157" s="35">
        <v>23.845300000000002</v>
      </c>
      <c r="H157" s="34">
        <v>6165</v>
      </c>
      <c r="I157" s="53">
        <v>3.4200000000000001E-2</v>
      </c>
      <c r="J157" s="53">
        <v>0.1077</v>
      </c>
      <c r="K157" s="35">
        <v>4038983562.1300001</v>
      </c>
      <c r="L157" s="57">
        <f t="shared" si="92"/>
        <v>6.9565699018343086E-2</v>
      </c>
      <c r="M157" s="35">
        <v>23.7973</v>
      </c>
      <c r="N157" s="35">
        <v>24.094899999999999</v>
      </c>
      <c r="O157" s="34">
        <v>6160</v>
      </c>
      <c r="P157" s="53">
        <v>1.17E-2</v>
      </c>
      <c r="Q157" s="53">
        <v>0.1193</v>
      </c>
      <c r="R157" s="60">
        <f t="shared" si="93"/>
        <v>4.9077224331318756E-3</v>
      </c>
      <c r="S157" s="60">
        <f t="shared" si="94"/>
        <v>1.0467471577207977E-2</v>
      </c>
      <c r="T157" s="60">
        <f t="shared" si="94"/>
        <v>-8.110300081103001E-4</v>
      </c>
      <c r="U157" s="60">
        <f t="shared" si="95"/>
        <v>-2.2499999999999999E-2</v>
      </c>
      <c r="V157" s="61">
        <f t="shared" si="95"/>
        <v>1.1599999999999999E-2</v>
      </c>
    </row>
    <row r="158" spans="1:22">
      <c r="A158" s="144">
        <v>135</v>
      </c>
      <c r="B158" s="140" t="s">
        <v>201</v>
      </c>
      <c r="C158" s="141" t="s">
        <v>121</v>
      </c>
      <c r="D158" s="31">
        <v>2033509234.1735208</v>
      </c>
      <c r="E158" s="32">
        <f t="shared" si="91"/>
        <v>3.4908439931403419E-2</v>
      </c>
      <c r="F158" s="35">
        <v>4.7861000000000002</v>
      </c>
      <c r="G158" s="35">
        <v>4.8937999999999997</v>
      </c>
      <c r="H158" s="34">
        <v>2743</v>
      </c>
      <c r="I158" s="53">
        <v>0.72599999999999998</v>
      </c>
      <c r="J158" s="53">
        <v>0.3982</v>
      </c>
      <c r="K158" s="31">
        <v>2012415738.5936525</v>
      </c>
      <c r="L158" s="57">
        <f t="shared" si="92"/>
        <v>3.4660974826288909E-2</v>
      </c>
      <c r="M158" s="35">
        <v>4.7929000000000004</v>
      </c>
      <c r="N158" s="35">
        <v>4.9019000000000004</v>
      </c>
      <c r="O158" s="34">
        <v>2741</v>
      </c>
      <c r="P158" s="53">
        <v>8.6300000000000002E-2</v>
      </c>
      <c r="Q158" s="53">
        <v>0.35680000000000001</v>
      </c>
      <c r="R158" s="60">
        <f t="shared" si="93"/>
        <v>-1.0372952935441843E-2</v>
      </c>
      <c r="S158" s="60">
        <f t="shared" si="94"/>
        <v>1.655155502881332E-3</v>
      </c>
      <c r="T158" s="60">
        <f t="shared" si="94"/>
        <v>-7.2912869121399923E-4</v>
      </c>
      <c r="U158" s="60">
        <f t="shared" si="95"/>
        <v>-0.63969999999999994</v>
      </c>
      <c r="V158" s="61">
        <f t="shared" si="95"/>
        <v>-4.1399999999999992E-2</v>
      </c>
    </row>
    <row r="159" spans="1:22">
      <c r="A159" s="144">
        <v>136</v>
      </c>
      <c r="B159" s="140" t="s">
        <v>202</v>
      </c>
      <c r="C159" s="141" t="s">
        <v>65</v>
      </c>
      <c r="D159" s="35">
        <v>3914098623.65342</v>
      </c>
      <c r="E159" s="32">
        <f t="shared" si="91"/>
        <v>6.7191766033423889E-2</v>
      </c>
      <c r="F159" s="35">
        <v>8493.1047122509408</v>
      </c>
      <c r="G159" s="35">
        <v>8565.5655160207498</v>
      </c>
      <c r="H159" s="34">
        <v>986</v>
      </c>
      <c r="I159" s="53">
        <v>0.81765826507797079</v>
      </c>
      <c r="J159" s="53">
        <v>0.90397647556157545</v>
      </c>
      <c r="K159" s="35">
        <v>3972099917.7542801</v>
      </c>
      <c r="L159" s="57">
        <f t="shared" si="92"/>
        <v>6.8413724170632267E-2</v>
      </c>
      <c r="M159" s="35">
        <v>8576.4128131450798</v>
      </c>
      <c r="N159" s="35">
        <v>8652.6690748879901</v>
      </c>
      <c r="O159" s="34">
        <v>990</v>
      </c>
      <c r="P159" s="53">
        <v>0.51146459992420623</v>
      </c>
      <c r="Q159" s="53">
        <v>0.85881172462200384</v>
      </c>
      <c r="R159" s="60">
        <f t="shared" si="93"/>
        <v>1.4818557138634822E-2</v>
      </c>
      <c r="S159" s="60">
        <f t="shared" si="94"/>
        <v>1.0169037724867632E-2</v>
      </c>
      <c r="T159" s="60">
        <f t="shared" si="94"/>
        <v>4.0567951318458417E-3</v>
      </c>
      <c r="U159" s="60">
        <f t="shared" si="95"/>
        <v>-0.30619366515376456</v>
      </c>
      <c r="V159" s="61">
        <f t="shared" si="95"/>
        <v>-4.5164750939571618E-2</v>
      </c>
    </row>
    <row r="160" spans="1:22">
      <c r="A160" s="144">
        <v>137</v>
      </c>
      <c r="B160" s="140" t="s">
        <v>203</v>
      </c>
      <c r="C160" s="141" t="s">
        <v>67</v>
      </c>
      <c r="D160" s="35">
        <v>890601080.63999999</v>
      </c>
      <c r="E160" s="32">
        <f t="shared" si="91"/>
        <v>1.5288592647576598E-2</v>
      </c>
      <c r="F160" s="35">
        <v>222.63</v>
      </c>
      <c r="G160" s="35">
        <v>224.6534</v>
      </c>
      <c r="H160" s="34">
        <v>681</v>
      </c>
      <c r="I160" s="53">
        <v>1.8800000000000001E-2</v>
      </c>
      <c r="J160" s="53">
        <v>9.0399999999999994E-2</v>
      </c>
      <c r="K160" s="35">
        <v>892428371.58000004</v>
      </c>
      <c r="L160" s="57">
        <f t="shared" si="92"/>
        <v>1.537079875116514E-2</v>
      </c>
      <c r="M160" s="35">
        <v>220.28</v>
      </c>
      <c r="N160" s="35">
        <v>222.24</v>
      </c>
      <c r="O160" s="34">
        <v>686</v>
      </c>
      <c r="P160" s="53">
        <v>-1.06E-2</v>
      </c>
      <c r="Q160" s="53">
        <v>7.8799999999999995E-2</v>
      </c>
      <c r="R160" s="60">
        <f t="shared" si="93"/>
        <v>2.0517501940228245E-3</v>
      </c>
      <c r="S160" s="60">
        <f t="shared" si="94"/>
        <v>-1.0742770863917464E-2</v>
      </c>
      <c r="T160" s="60">
        <f t="shared" si="94"/>
        <v>7.3421439060205578E-3</v>
      </c>
      <c r="U160" s="60">
        <f t="shared" si="95"/>
        <v>-2.9400000000000003E-2</v>
      </c>
      <c r="V160" s="61">
        <f t="shared" si="95"/>
        <v>-1.1599999999999999E-2</v>
      </c>
    </row>
    <row r="161" spans="1:22">
      <c r="A161" s="144">
        <v>138</v>
      </c>
      <c r="B161" s="140" t="s">
        <v>204</v>
      </c>
      <c r="C161" s="141" t="s">
        <v>69</v>
      </c>
      <c r="D161" s="35">
        <v>3734808.11</v>
      </c>
      <c r="E161" s="32">
        <f t="shared" si="91"/>
        <v>6.4113957474229107E-5</v>
      </c>
      <c r="F161" s="35">
        <v>102.747</v>
      </c>
      <c r="G161" s="35">
        <v>102.99</v>
      </c>
      <c r="H161" s="34">
        <v>0</v>
      </c>
      <c r="I161" s="53">
        <v>0</v>
      </c>
      <c r="J161" s="53">
        <v>0</v>
      </c>
      <c r="K161" s="35">
        <v>3734808.11</v>
      </c>
      <c r="L161" s="57">
        <f t="shared" si="92"/>
        <v>6.43267131135614E-5</v>
      </c>
      <c r="M161" s="35">
        <v>102.747</v>
      </c>
      <c r="N161" s="35">
        <v>102.99</v>
      </c>
      <c r="O161" s="34">
        <v>0</v>
      </c>
      <c r="P161" s="53">
        <v>0</v>
      </c>
      <c r="Q161" s="53">
        <v>0</v>
      </c>
      <c r="R161" s="60">
        <f t="shared" si="93"/>
        <v>0</v>
      </c>
      <c r="S161" s="60">
        <f t="shared" si="94"/>
        <v>0</v>
      </c>
      <c r="T161" s="60" t="e">
        <f t="shared" si="94"/>
        <v>#DIV/0!</v>
      </c>
      <c r="U161" s="60">
        <f t="shared" si="95"/>
        <v>0</v>
      </c>
      <c r="V161" s="61">
        <f t="shared" si="95"/>
        <v>0</v>
      </c>
    </row>
    <row r="162" spans="1:22">
      <c r="A162" s="144">
        <v>139</v>
      </c>
      <c r="B162" s="140" t="s">
        <v>205</v>
      </c>
      <c r="C162" s="141" t="s">
        <v>126</v>
      </c>
      <c r="D162" s="35">
        <v>233102613.96000001</v>
      </c>
      <c r="E162" s="32">
        <f t="shared" si="91"/>
        <v>4.001579368575133E-3</v>
      </c>
      <c r="F162" s="35">
        <v>1.625</v>
      </c>
      <c r="G162" s="35">
        <v>1.6411</v>
      </c>
      <c r="H162" s="34">
        <v>374</v>
      </c>
      <c r="I162" s="53">
        <v>1.1464174454828724E-2</v>
      </c>
      <c r="J162" s="53">
        <v>0.10895552974930001</v>
      </c>
      <c r="K162" s="35">
        <v>230640800.02000001</v>
      </c>
      <c r="L162" s="57">
        <f t="shared" si="92"/>
        <v>3.9724569879358079E-3</v>
      </c>
      <c r="M162" s="35">
        <v>1.6127</v>
      </c>
      <c r="N162" s="35">
        <v>1.6286</v>
      </c>
      <c r="O162" s="34">
        <v>377</v>
      </c>
      <c r="P162" s="53">
        <v>-7.5692307692307725E-3</v>
      </c>
      <c r="Q162" s="53">
        <v>0.10164628731470726</v>
      </c>
      <c r="R162" s="60">
        <f t="shared" si="93"/>
        <v>-1.0561073932969454E-2</v>
      </c>
      <c r="S162" s="60">
        <f t="shared" si="94"/>
        <v>-7.6168423618304523E-3</v>
      </c>
      <c r="T162" s="60">
        <f t="shared" si="94"/>
        <v>8.0213903743315516E-3</v>
      </c>
      <c r="U162" s="60">
        <f t="shared" si="95"/>
        <v>-1.9033405224059496E-2</v>
      </c>
      <c r="V162" s="61">
        <f t="shared" si="95"/>
        <v>-7.3092424345927443E-3</v>
      </c>
    </row>
    <row r="163" spans="1:22">
      <c r="A163" s="144">
        <v>140</v>
      </c>
      <c r="B163" s="140" t="s">
        <v>206</v>
      </c>
      <c r="C163" s="141" t="s">
        <v>29</v>
      </c>
      <c r="D163" s="47">
        <v>129814172.59999999</v>
      </c>
      <c r="E163" s="32">
        <f t="shared" si="91"/>
        <v>2.2284679952750339E-3</v>
      </c>
      <c r="F163" s="35">
        <v>166.32730000000001</v>
      </c>
      <c r="G163" s="35">
        <v>167.16139999999999</v>
      </c>
      <c r="H163" s="34">
        <v>106</v>
      </c>
      <c r="I163" s="53">
        <v>8.6070000000000001E-3</v>
      </c>
      <c r="J163" s="53">
        <v>4.0599999999999997E-2</v>
      </c>
      <c r="K163" s="47">
        <v>130414086.06999999</v>
      </c>
      <c r="L163" s="57">
        <f t="shared" si="92"/>
        <v>2.2461955885043298E-3</v>
      </c>
      <c r="M163" s="35">
        <v>166.5949</v>
      </c>
      <c r="N163" s="35">
        <v>167.4273</v>
      </c>
      <c r="O163" s="34">
        <v>106</v>
      </c>
      <c r="P163" s="53">
        <v>2.9399999999999999E-3</v>
      </c>
      <c r="Q163" s="53">
        <v>4.2299999999999997E-2</v>
      </c>
      <c r="R163" s="60">
        <f t="shared" si="93"/>
        <v>4.6213249137944962E-3</v>
      </c>
      <c r="S163" s="60">
        <f t="shared" si="94"/>
        <v>1.5906782307399691E-3</v>
      </c>
      <c r="T163" s="60">
        <f t="shared" si="94"/>
        <v>0</v>
      </c>
      <c r="U163" s="60">
        <f t="shared" si="95"/>
        <v>-5.6670000000000002E-3</v>
      </c>
      <c r="V163" s="61">
        <f t="shared" si="95"/>
        <v>1.7000000000000001E-3</v>
      </c>
    </row>
    <row r="164" spans="1:22">
      <c r="A164" s="144">
        <v>141</v>
      </c>
      <c r="B164" s="140" t="s">
        <v>207</v>
      </c>
      <c r="C164" s="141" t="s">
        <v>72</v>
      </c>
      <c r="D164" s="47">
        <v>253766762.31999999</v>
      </c>
      <c r="E164" s="32">
        <f t="shared" si="91"/>
        <v>4.3563125409828048E-3</v>
      </c>
      <c r="F164" s="35">
        <v>128.69</v>
      </c>
      <c r="G164" s="35">
        <v>129.19</v>
      </c>
      <c r="H164" s="34">
        <v>34</v>
      </c>
      <c r="I164" s="53">
        <v>2.6599999999999999E-2</v>
      </c>
      <c r="J164" s="53">
        <v>8.4699999999999998E-2</v>
      </c>
      <c r="K164" s="47">
        <v>253123772.66</v>
      </c>
      <c r="L164" s="57">
        <f t="shared" si="92"/>
        <v>4.3596939458616941E-3</v>
      </c>
      <c r="M164" s="35">
        <v>128.36000000000001</v>
      </c>
      <c r="N164" s="35">
        <v>128.93</v>
      </c>
      <c r="O164" s="34">
        <v>34</v>
      </c>
      <c r="P164" s="53">
        <v>-2.5000000000000001E-3</v>
      </c>
      <c r="Q164" s="53">
        <v>8.2299999999999998E-2</v>
      </c>
      <c r="R164" s="60">
        <f t="shared" si="93"/>
        <v>-2.5337820214184955E-3</v>
      </c>
      <c r="S164" s="60">
        <f t="shared" si="94"/>
        <v>-2.0125396702530452E-3</v>
      </c>
      <c r="T164" s="60">
        <f t="shared" si="94"/>
        <v>0</v>
      </c>
      <c r="U164" s="60">
        <f t="shared" si="95"/>
        <v>-2.9099999999999997E-2</v>
      </c>
      <c r="V164" s="61">
        <f t="shared" si="95"/>
        <v>-2.3999999999999994E-3</v>
      </c>
    </row>
    <row r="165" spans="1:22" ht="15.75" customHeight="1">
      <c r="A165" s="144">
        <v>142</v>
      </c>
      <c r="B165" s="140" t="s">
        <v>208</v>
      </c>
      <c r="C165" s="141" t="s">
        <v>75</v>
      </c>
      <c r="D165" s="31">
        <v>337165410.19999999</v>
      </c>
      <c r="E165" s="32">
        <f t="shared" si="91"/>
        <v>5.7879837824770641E-3</v>
      </c>
      <c r="F165" s="35">
        <v>1.3514999999999999</v>
      </c>
      <c r="G165" s="35">
        <v>1.3631</v>
      </c>
      <c r="H165" s="34">
        <v>100</v>
      </c>
      <c r="I165" s="53">
        <v>2.0400000000000001E-2</v>
      </c>
      <c r="J165" s="53">
        <v>0.60929999999999995</v>
      </c>
      <c r="K165" s="31">
        <v>335847429.86000001</v>
      </c>
      <c r="L165" s="57">
        <f t="shared" si="92"/>
        <v>5.784490296217964E-3</v>
      </c>
      <c r="M165" s="35">
        <v>1.3461000000000001</v>
      </c>
      <c r="N165" s="35">
        <v>1.3591</v>
      </c>
      <c r="O165" s="34">
        <v>100</v>
      </c>
      <c r="P165" s="53">
        <v>-4.4999999999999997E-3</v>
      </c>
      <c r="Q165" s="53">
        <v>5.62E-2</v>
      </c>
      <c r="R165" s="60">
        <f t="shared" si="93"/>
        <v>-3.9090022289598849E-3</v>
      </c>
      <c r="S165" s="60">
        <f t="shared" si="94"/>
        <v>-2.9344875651089457E-3</v>
      </c>
      <c r="T165" s="60">
        <f t="shared" si="94"/>
        <v>0</v>
      </c>
      <c r="U165" s="60">
        <f t="shared" si="95"/>
        <v>-2.4900000000000002E-2</v>
      </c>
      <c r="V165" s="61">
        <f t="shared" si="95"/>
        <v>-0.55309999999999993</v>
      </c>
    </row>
    <row r="166" spans="1:22">
      <c r="A166" s="144">
        <v>143</v>
      </c>
      <c r="B166" s="140" t="s">
        <v>209</v>
      </c>
      <c r="C166" s="141" t="s">
        <v>31</v>
      </c>
      <c r="D166" s="35">
        <v>10188988673.530001</v>
      </c>
      <c r="E166" s="32">
        <f t="shared" si="91"/>
        <v>0.17491029452651172</v>
      </c>
      <c r="F166" s="35">
        <v>343.52</v>
      </c>
      <c r="G166" s="35">
        <v>346.15</v>
      </c>
      <c r="H166" s="34">
        <v>5478</v>
      </c>
      <c r="I166" s="53">
        <v>7.1000000000000004E-3</v>
      </c>
      <c r="J166" s="53">
        <v>5.9900000000000002E-2</v>
      </c>
      <c r="K166" s="35">
        <v>10061099653.139999</v>
      </c>
      <c r="L166" s="57">
        <f t="shared" si="92"/>
        <v>0.17328801157457294</v>
      </c>
      <c r="M166" s="35">
        <v>344.26</v>
      </c>
      <c r="N166" s="35">
        <v>346.93</v>
      </c>
      <c r="O166" s="34">
        <v>5478</v>
      </c>
      <c r="P166" s="53">
        <v>2.2000000000000001E-3</v>
      </c>
      <c r="Q166" s="53">
        <v>6.2199999999999998E-2</v>
      </c>
      <c r="R166" s="60">
        <f t="shared" si="93"/>
        <v>-1.255168932734654E-2</v>
      </c>
      <c r="S166" s="60">
        <f t="shared" si="94"/>
        <v>2.2533583706486485E-3</v>
      </c>
      <c r="T166" s="60">
        <f t="shared" si="94"/>
        <v>0</v>
      </c>
      <c r="U166" s="60">
        <f t="shared" si="95"/>
        <v>-4.8999999999999998E-3</v>
      </c>
      <c r="V166" s="61">
        <f t="shared" si="95"/>
        <v>2.2999999999999965E-3</v>
      </c>
    </row>
    <row r="167" spans="1:22">
      <c r="A167" s="144">
        <v>144</v>
      </c>
      <c r="B167" s="140" t="s">
        <v>210</v>
      </c>
      <c r="C167" s="141" t="s">
        <v>80</v>
      </c>
      <c r="D167" s="35">
        <v>3504986725.1599998</v>
      </c>
      <c r="E167" s="32">
        <f t="shared" si="91"/>
        <v>6.0168705653968868E-2</v>
      </c>
      <c r="F167" s="35">
        <v>2.4554999999999998</v>
      </c>
      <c r="G167" s="35">
        <v>2.5015000000000001</v>
      </c>
      <c r="H167" s="34">
        <v>10305</v>
      </c>
      <c r="I167" s="53">
        <v>1.37E-2</v>
      </c>
      <c r="J167" s="53">
        <v>5.9700000000000003E-2</v>
      </c>
      <c r="K167" s="35">
        <v>3658370363.8200002</v>
      </c>
      <c r="L167" s="57">
        <f t="shared" si="92"/>
        <v>6.30101825650701E-2</v>
      </c>
      <c r="M167" s="35">
        <v>2.4563999999999999</v>
      </c>
      <c r="N167" s="35">
        <v>2.5023</v>
      </c>
      <c r="O167" s="34">
        <v>10305</v>
      </c>
      <c r="P167" s="53">
        <v>2.9999999999999997E-4</v>
      </c>
      <c r="Q167" s="53">
        <v>6.0100000000000001E-2</v>
      </c>
      <c r="R167" s="60">
        <f t="shared" si="93"/>
        <v>4.3761546244657598E-2</v>
      </c>
      <c r="S167" s="60">
        <f t="shared" si="94"/>
        <v>3.198081151308862E-4</v>
      </c>
      <c r="T167" s="60">
        <f t="shared" si="94"/>
        <v>0</v>
      </c>
      <c r="U167" s="60">
        <f t="shared" si="95"/>
        <v>-1.34E-2</v>
      </c>
      <c r="V167" s="61">
        <f t="shared" si="95"/>
        <v>3.9999999999999758E-4</v>
      </c>
    </row>
    <row r="168" spans="1:22">
      <c r="A168" s="144">
        <v>145</v>
      </c>
      <c r="B168" s="140" t="s">
        <v>211</v>
      </c>
      <c r="C168" s="141" t="s">
        <v>82</v>
      </c>
      <c r="D168" s="35">
        <v>271075789.24000001</v>
      </c>
      <c r="E168" s="32">
        <f t="shared" si="91"/>
        <v>4.6534496851637326E-3</v>
      </c>
      <c r="F168" s="35">
        <v>363.6</v>
      </c>
      <c r="G168" s="35">
        <v>365.88</v>
      </c>
      <c r="H168" s="34">
        <v>40</v>
      </c>
      <c r="I168" s="53">
        <v>-4.0500000000000001E-2</v>
      </c>
      <c r="J168" s="53">
        <v>5.3E-3</v>
      </c>
      <c r="K168" s="35">
        <v>263907616.31</v>
      </c>
      <c r="L168" s="57">
        <f t="shared" si="92"/>
        <v>4.5454301861996352E-3</v>
      </c>
      <c r="M168" s="35">
        <v>343.38</v>
      </c>
      <c r="N168" s="35">
        <v>347.21</v>
      </c>
      <c r="O168" s="34">
        <v>40</v>
      </c>
      <c r="P168" s="53">
        <v>-5.5610561056105734E-2</v>
      </c>
      <c r="Q168" s="53">
        <v>-1.0546334716459271E-2</v>
      </c>
      <c r="R168" s="60">
        <f t="shared" si="93"/>
        <v>-2.6443427316386357E-2</v>
      </c>
      <c r="S168" s="60">
        <f t="shared" si="94"/>
        <v>-5.1027659341860765E-2</v>
      </c>
      <c r="T168" s="60">
        <f t="shared" si="94"/>
        <v>0</v>
      </c>
      <c r="U168" s="60">
        <f t="shared" si="95"/>
        <v>-1.5110561056105733E-2</v>
      </c>
      <c r="V168" s="61">
        <f t="shared" si="95"/>
        <v>-1.584633471645927E-2</v>
      </c>
    </row>
    <row r="169" spans="1:22">
      <c r="A169" s="144">
        <v>146</v>
      </c>
      <c r="B169" s="140" t="s">
        <v>212</v>
      </c>
      <c r="C169" s="140" t="s">
        <v>84</v>
      </c>
      <c r="D169" s="152">
        <v>61590676.662470698</v>
      </c>
      <c r="E169" s="32">
        <f t="shared" si="91"/>
        <v>1.0573025194450063E-3</v>
      </c>
      <c r="F169" s="35">
        <v>1.1975955592326</v>
      </c>
      <c r="G169" s="35">
        <v>1.21162781387033</v>
      </c>
      <c r="H169" s="34">
        <v>27</v>
      </c>
      <c r="I169" s="53">
        <v>1.0785388722376801E-3</v>
      </c>
      <c r="J169" s="53">
        <v>8.0227041929052598E-3</v>
      </c>
      <c r="K169" s="152">
        <v>61537437.199307397</v>
      </c>
      <c r="L169" s="57">
        <f t="shared" si="92"/>
        <v>1.0598940967983623E-3</v>
      </c>
      <c r="M169" s="35">
        <v>1.19890673918963</v>
      </c>
      <c r="N169" s="35">
        <v>1.21296665285529</v>
      </c>
      <c r="O169" s="34">
        <v>28</v>
      </c>
      <c r="P169" s="53">
        <v>-8.6440783001954504E-4</v>
      </c>
      <c r="Q169" s="53">
        <v>7.1513614745634399E-3</v>
      </c>
      <c r="R169" s="60">
        <f t="shared" si="93"/>
        <v>-8.6440783002051302E-4</v>
      </c>
      <c r="S169" s="60">
        <f t="shared" si="94"/>
        <v>1.104991953497112E-3</v>
      </c>
      <c r="T169" s="60">
        <f t="shared" si="94"/>
        <v>3.7037037037037035E-2</v>
      </c>
      <c r="U169" s="60">
        <f t="shared" si="95"/>
        <v>-1.9429467022572251E-3</v>
      </c>
      <c r="V169" s="61">
        <f t="shared" si="95"/>
        <v>-8.7134271834181983E-4</v>
      </c>
    </row>
    <row r="170" spans="1:22" ht="13.5" customHeight="1">
      <c r="A170" s="144">
        <v>147</v>
      </c>
      <c r="B170" s="140" t="s">
        <v>213</v>
      </c>
      <c r="C170" s="141" t="s">
        <v>37</v>
      </c>
      <c r="D170" s="31">
        <v>3315107662.6300001</v>
      </c>
      <c r="E170" s="32">
        <f t="shared" si="91"/>
        <v>5.6909127710004601E-2</v>
      </c>
      <c r="F170" s="35">
        <v>4.6784020000000002</v>
      </c>
      <c r="G170" s="35">
        <v>4.8131120000000003</v>
      </c>
      <c r="H170" s="34">
        <v>2358</v>
      </c>
      <c r="I170" s="53">
        <v>1.6940892509584859E-2</v>
      </c>
      <c r="J170" s="53">
        <v>0.10358253724801769</v>
      </c>
      <c r="K170" s="31">
        <v>3288964752.6199999</v>
      </c>
      <c r="L170" s="57">
        <f t="shared" si="92"/>
        <v>5.6647700725487117E-2</v>
      </c>
      <c r="M170" s="35">
        <v>4.6407449999999999</v>
      </c>
      <c r="N170" s="35">
        <v>4.7760610000000003</v>
      </c>
      <c r="O170" s="34">
        <v>2357</v>
      </c>
      <c r="P170" s="53">
        <v>-8.0491159160757109E-3</v>
      </c>
      <c r="Q170" s="53">
        <v>9.4699673482751656E-2</v>
      </c>
      <c r="R170" s="60">
        <f t="shared" si="93"/>
        <v>-7.8859912468906279E-3</v>
      </c>
      <c r="S170" s="60">
        <f t="shared" si="94"/>
        <v>-7.6979301541289591E-3</v>
      </c>
      <c r="T170" s="60">
        <f t="shared" si="94"/>
        <v>-4.2408821034775233E-4</v>
      </c>
      <c r="U170" s="60">
        <f t="shared" si="95"/>
        <v>-2.499000842566057E-2</v>
      </c>
      <c r="V170" s="61">
        <f t="shared" si="95"/>
        <v>-8.8828637652660358E-3</v>
      </c>
    </row>
    <row r="171" spans="1:22" ht="13.5" customHeight="1">
      <c r="A171" s="144">
        <v>148</v>
      </c>
      <c r="B171" s="140" t="s">
        <v>214</v>
      </c>
      <c r="C171" s="141" t="s">
        <v>215</v>
      </c>
      <c r="D171" s="31">
        <v>79677012.150000006</v>
      </c>
      <c r="E171" s="32">
        <f t="shared" si="91"/>
        <v>1.3677834090005596E-3</v>
      </c>
      <c r="F171" s="35">
        <v>2.3033000000000001</v>
      </c>
      <c r="G171" s="35">
        <v>2.3155999999999999</v>
      </c>
      <c r="H171" s="34">
        <v>78</v>
      </c>
      <c r="I171" s="53">
        <v>2.5999999999999999E-2</v>
      </c>
      <c r="J171" s="53">
        <v>9.1499999999999998E-2</v>
      </c>
      <c r="K171" s="31">
        <v>77648442.810000002</v>
      </c>
      <c r="L171" s="57">
        <f t="shared" si="92"/>
        <v>1.3373830615232465E-3</v>
      </c>
      <c r="M171" s="35">
        <v>2.29</v>
      </c>
      <c r="N171" s="35">
        <v>2.31</v>
      </c>
      <c r="O171" s="34">
        <v>81</v>
      </c>
      <c r="P171" s="53">
        <v>-3.5000000000000001E-3</v>
      </c>
      <c r="Q171" s="53">
        <v>8.6999999999999994E-2</v>
      </c>
      <c r="R171" s="60">
        <f t="shared" si="93"/>
        <v>-2.545990725883417E-2</v>
      </c>
      <c r="S171" s="60">
        <f t="shared" si="94"/>
        <v>-2.4183796856105666E-3</v>
      </c>
      <c r="T171" s="60">
        <f t="shared" si="94"/>
        <v>3.8461538461538464E-2</v>
      </c>
      <c r="U171" s="60">
        <f t="shared" si="95"/>
        <v>-2.9499999999999998E-2</v>
      </c>
      <c r="V171" s="61">
        <f t="shared" si="95"/>
        <v>-4.500000000000004E-3</v>
      </c>
    </row>
    <row r="172" spans="1:22">
      <c r="A172" s="144">
        <v>149</v>
      </c>
      <c r="B172" s="140" t="s">
        <v>216</v>
      </c>
      <c r="C172" s="141" t="s">
        <v>135</v>
      </c>
      <c r="D172" s="31">
        <v>537879070.87</v>
      </c>
      <c r="E172" s="32">
        <f t="shared" si="91"/>
        <v>9.2335549405340254E-3</v>
      </c>
      <c r="F172" s="35">
        <v>256.79000000000002</v>
      </c>
      <c r="G172" s="35">
        <v>259.16000000000003</v>
      </c>
      <c r="H172" s="34">
        <v>143</v>
      </c>
      <c r="I172" s="53">
        <v>1.37E-2</v>
      </c>
      <c r="J172" s="53">
        <v>0.25030000000000002</v>
      </c>
      <c r="K172" s="31">
        <v>538304133.29999995</v>
      </c>
      <c r="L172" s="57">
        <f t="shared" si="92"/>
        <v>9.2715166430955964E-3</v>
      </c>
      <c r="M172" s="35">
        <v>256.52999999999997</v>
      </c>
      <c r="N172" s="35">
        <v>259</v>
      </c>
      <c r="O172" s="34">
        <v>143</v>
      </c>
      <c r="P172" s="53">
        <v>1.37E-2</v>
      </c>
      <c r="Q172" s="53">
        <v>0.25030000000000002</v>
      </c>
      <c r="R172" s="60">
        <f t="shared" si="93"/>
        <v>7.9025649633926898E-4</v>
      </c>
      <c r="S172" s="60">
        <f t="shared" si="94"/>
        <v>-6.1737922518916878E-4</v>
      </c>
      <c r="T172" s="60">
        <f t="shared" si="94"/>
        <v>0</v>
      </c>
      <c r="U172" s="60">
        <f t="shared" si="95"/>
        <v>0</v>
      </c>
      <c r="V172" s="61">
        <f t="shared" si="95"/>
        <v>0</v>
      </c>
    </row>
    <row r="173" spans="1:22">
      <c r="A173" s="144">
        <v>150</v>
      </c>
      <c r="B173" s="140" t="s">
        <v>217</v>
      </c>
      <c r="C173" s="141" t="s">
        <v>33</v>
      </c>
      <c r="D173" s="31">
        <v>2256551586.8699999</v>
      </c>
      <c r="E173" s="32">
        <f t="shared" si="91"/>
        <v>3.8737318817428451E-2</v>
      </c>
      <c r="F173" s="35">
        <v>552.22</v>
      </c>
      <c r="G173" s="35">
        <v>552.22</v>
      </c>
      <c r="H173" s="34">
        <v>823</v>
      </c>
      <c r="I173" s="53">
        <v>4.7999999999999996E-3</v>
      </c>
      <c r="J173" s="53">
        <v>0.44350000000000001</v>
      </c>
      <c r="K173" s="31">
        <v>2200977755.0799999</v>
      </c>
      <c r="L173" s="57">
        <f t="shared" si="92"/>
        <v>3.7908685118594104E-2</v>
      </c>
      <c r="M173" s="35">
        <v>552.22</v>
      </c>
      <c r="N173" s="35">
        <v>552.22</v>
      </c>
      <c r="O173" s="34">
        <v>823</v>
      </c>
      <c r="P173" s="53">
        <v>-1.9900000000000001E-2</v>
      </c>
      <c r="Q173" s="53">
        <v>0.40789999999999998</v>
      </c>
      <c r="R173" s="60">
        <f t="shared" si="93"/>
        <v>-2.4627769253476223E-2</v>
      </c>
      <c r="S173" s="60">
        <f t="shared" si="94"/>
        <v>0</v>
      </c>
      <c r="T173" s="60">
        <f t="shared" si="94"/>
        <v>0</v>
      </c>
      <c r="U173" s="60">
        <f t="shared" si="95"/>
        <v>-2.47E-2</v>
      </c>
      <c r="V173" s="61">
        <f t="shared" si="95"/>
        <v>-3.5600000000000021E-2</v>
      </c>
    </row>
    <row r="174" spans="1:22">
      <c r="A174" s="144">
        <v>151</v>
      </c>
      <c r="B174" s="140" t="s">
        <v>218</v>
      </c>
      <c r="C174" s="141" t="s">
        <v>91</v>
      </c>
      <c r="D174" s="35">
        <v>34221727.479999997</v>
      </c>
      <c r="E174" s="32">
        <f t="shared" si="91"/>
        <v>5.8747071220946283E-4</v>
      </c>
      <c r="F174" s="35">
        <v>2.02</v>
      </c>
      <c r="G174" s="35">
        <v>2.02</v>
      </c>
      <c r="H174" s="34">
        <v>8</v>
      </c>
      <c r="I174" s="53">
        <v>1.6001000000000001E-2</v>
      </c>
      <c r="J174" s="53">
        <v>7.5926999999999994E-2</v>
      </c>
      <c r="K174" s="35">
        <v>34435388.75</v>
      </c>
      <c r="L174" s="57">
        <f t="shared" si="92"/>
        <v>5.9310018288334762E-4</v>
      </c>
      <c r="M174" s="35">
        <v>2.0299999999999998</v>
      </c>
      <c r="N174" s="35">
        <v>2.0299999999999998</v>
      </c>
      <c r="O174" s="34">
        <v>8</v>
      </c>
      <c r="P174" s="53">
        <v>6.2430000000000003E-3</v>
      </c>
      <c r="Q174" s="53">
        <v>8.2644999999999996E-2</v>
      </c>
      <c r="R174" s="60">
        <f t="shared" si="93"/>
        <v>6.2434390585592754E-3</v>
      </c>
      <c r="S174" s="60">
        <f t="shared" si="94"/>
        <v>4.9504950495048447E-3</v>
      </c>
      <c r="T174" s="60">
        <f t="shared" si="94"/>
        <v>0</v>
      </c>
      <c r="U174" s="60">
        <f t="shared" si="95"/>
        <v>-9.758000000000001E-3</v>
      </c>
      <c r="V174" s="61">
        <f t="shared" si="95"/>
        <v>6.7180000000000017E-3</v>
      </c>
    </row>
    <row r="175" spans="1:22">
      <c r="A175" s="144">
        <v>152</v>
      </c>
      <c r="B175" s="140" t="s">
        <v>219</v>
      </c>
      <c r="C175" s="141" t="s">
        <v>45</v>
      </c>
      <c r="D175" s="35">
        <v>277677973.80000001</v>
      </c>
      <c r="E175" s="32">
        <f t="shared" si="91"/>
        <v>4.7667867476445282E-3</v>
      </c>
      <c r="F175" s="35">
        <v>2.7872560000000002</v>
      </c>
      <c r="G175" s="35">
        <v>2.8428179999999998</v>
      </c>
      <c r="H175" s="34">
        <v>121</v>
      </c>
      <c r="I175" s="53">
        <v>2.4299999999999999E-2</v>
      </c>
      <c r="J175" s="53">
        <v>0.2009</v>
      </c>
      <c r="K175" s="35">
        <v>275337226.63</v>
      </c>
      <c r="L175" s="57">
        <f t="shared" si="92"/>
        <v>4.7422888312491232E-3</v>
      </c>
      <c r="M175" s="35">
        <v>2.7637689999999999</v>
      </c>
      <c r="N175" s="35">
        <v>2.8203260000000001</v>
      </c>
      <c r="O175" s="34">
        <v>121</v>
      </c>
      <c r="P175" s="53">
        <v>-1.55E-2</v>
      </c>
      <c r="Q175" s="53">
        <v>0.19109999999999999</v>
      </c>
      <c r="R175" s="60">
        <f t="shared" si="93"/>
        <v>-8.4297185619985841E-3</v>
      </c>
      <c r="S175" s="60">
        <f t="shared" si="94"/>
        <v>-7.9118677312440457E-3</v>
      </c>
      <c r="T175" s="60">
        <f t="shared" si="94"/>
        <v>0</v>
      </c>
      <c r="U175" s="60">
        <f t="shared" si="95"/>
        <v>-3.9800000000000002E-2</v>
      </c>
      <c r="V175" s="61">
        <f t="shared" si="95"/>
        <v>-9.8000000000000032E-3</v>
      </c>
    </row>
    <row r="176" spans="1:22">
      <c r="A176" s="144">
        <v>153</v>
      </c>
      <c r="B176" s="140" t="s">
        <v>220</v>
      </c>
      <c r="C176" s="141" t="s">
        <v>49</v>
      </c>
      <c r="D176" s="31">
        <v>2682528398.1900001</v>
      </c>
      <c r="E176" s="32">
        <f t="shared" si="91"/>
        <v>4.6049892412000144E-2</v>
      </c>
      <c r="F176" s="35">
        <v>6840.54</v>
      </c>
      <c r="G176" s="35">
        <v>6903.6</v>
      </c>
      <c r="H176" s="34">
        <v>2289</v>
      </c>
      <c r="I176" s="53">
        <v>1.4200000000000001E-2</v>
      </c>
      <c r="J176" s="53">
        <v>7.2499999999999995E-2</v>
      </c>
      <c r="K176" s="31">
        <v>2656854128.0999999</v>
      </c>
      <c r="L176" s="32">
        <f t="shared" si="92"/>
        <v>4.5760501811395606E-2</v>
      </c>
      <c r="M176" s="35">
        <v>6844.14</v>
      </c>
      <c r="N176" s="35">
        <v>6910</v>
      </c>
      <c r="O176" s="34">
        <v>2291</v>
      </c>
      <c r="P176" s="53">
        <v>8.9999999999999998E-4</v>
      </c>
      <c r="Q176" s="53">
        <v>7.3499999999999996E-2</v>
      </c>
      <c r="R176" s="60">
        <f t="shared" si="93"/>
        <v>-9.5709220104896256E-3</v>
      </c>
      <c r="S176" s="60">
        <f t="shared" si="94"/>
        <v>9.2705255229150532E-4</v>
      </c>
      <c r="T176" s="60">
        <f t="shared" si="94"/>
        <v>8.7374399301004806E-4</v>
      </c>
      <c r="U176" s="60">
        <f t="shared" si="95"/>
        <v>-1.3300000000000001E-2</v>
      </c>
      <c r="V176" s="61">
        <f t="shared" si="95"/>
        <v>1.0000000000000009E-3</v>
      </c>
    </row>
    <row r="177" spans="1:22">
      <c r="A177" s="144">
        <v>154</v>
      </c>
      <c r="B177" s="140" t="s">
        <v>221</v>
      </c>
      <c r="C177" s="140" t="s">
        <v>101</v>
      </c>
      <c r="D177" s="31">
        <v>109749837.16</v>
      </c>
      <c r="E177" s="32">
        <f t="shared" si="91"/>
        <v>1.8840315714318747E-3</v>
      </c>
      <c r="F177" s="35">
        <v>1156.51</v>
      </c>
      <c r="G177" s="35">
        <v>1173.22</v>
      </c>
      <c r="H177" s="34">
        <v>10</v>
      </c>
      <c r="I177" s="53">
        <v>2.683888265664347E-3</v>
      </c>
      <c r="J177" s="53">
        <v>4.6433000000000002E-2</v>
      </c>
      <c r="K177" s="31">
        <v>110000249.87</v>
      </c>
      <c r="L177" s="32">
        <f t="shared" si="92"/>
        <v>1.8945965381358134E-3</v>
      </c>
      <c r="M177" s="35">
        <v>1158.6600000000001</v>
      </c>
      <c r="N177" s="35">
        <v>1175.3499999999999</v>
      </c>
      <c r="O177" s="34">
        <v>10</v>
      </c>
      <c r="P177" s="53">
        <v>1.7324435101926383E-3</v>
      </c>
      <c r="Q177" s="53">
        <v>4.7752999999999997E-2</v>
      </c>
      <c r="R177" s="60">
        <f t="shared" si="93"/>
        <v>2.2816681689918268E-3</v>
      </c>
      <c r="S177" s="60">
        <f t="shared" si="94"/>
        <v>1.8155162714579378E-3</v>
      </c>
      <c r="T177" s="60">
        <f t="shared" si="94"/>
        <v>0</v>
      </c>
      <c r="U177" s="60">
        <f t="shared" si="95"/>
        <v>-9.514447554717087E-4</v>
      </c>
      <c r="V177" s="61">
        <f t="shared" si="95"/>
        <v>1.3199999999999948E-3</v>
      </c>
    </row>
    <row r="178" spans="1:22">
      <c r="A178" s="144">
        <v>155</v>
      </c>
      <c r="B178" s="140" t="s">
        <v>222</v>
      </c>
      <c r="C178" s="140" t="s">
        <v>84</v>
      </c>
      <c r="D178" s="31">
        <v>724941976.75666702</v>
      </c>
      <c r="E178" s="32">
        <f t="shared" si="91"/>
        <v>1.2444789049432727E-2</v>
      </c>
      <c r="F178" s="35">
        <v>1.3837582456458399</v>
      </c>
      <c r="G178" s="35">
        <v>1.3837582456458399</v>
      </c>
      <c r="H178" s="34">
        <v>43</v>
      </c>
      <c r="I178" s="53">
        <v>2.9414482697473899E-3</v>
      </c>
      <c r="J178" s="53">
        <v>2.8298832022844798E-2</v>
      </c>
      <c r="K178" s="31">
        <v>726929965.56951702</v>
      </c>
      <c r="L178" s="32">
        <f t="shared" si="92"/>
        <v>1.2520326070739251E-2</v>
      </c>
      <c r="M178" s="35">
        <v>1.38755288852794</v>
      </c>
      <c r="N178" s="35">
        <v>1.38755288852794</v>
      </c>
      <c r="O178" s="34">
        <v>44</v>
      </c>
      <c r="P178" s="53">
        <v>2.74227300472204E-3</v>
      </c>
      <c r="Q178" s="53">
        <v>3.11187081506882E-2</v>
      </c>
      <c r="R178" s="60">
        <f t="shared" si="93"/>
        <v>2.7422730047225339E-3</v>
      </c>
      <c r="S178" s="60">
        <f t="shared" si="94"/>
        <v>2.7422730047249005E-3</v>
      </c>
      <c r="T178" s="60">
        <f t="shared" si="94"/>
        <v>2.3255813953488372E-2</v>
      </c>
      <c r="U178" s="60">
        <f t="shared" si="95"/>
        <v>-1.9917526502534998E-4</v>
      </c>
      <c r="V178" s="61">
        <f t="shared" si="95"/>
        <v>2.8198761278434015E-3</v>
      </c>
    </row>
    <row r="179" spans="1:22">
      <c r="A179" s="144">
        <v>156</v>
      </c>
      <c r="B179" s="140" t="s">
        <v>223</v>
      </c>
      <c r="C179" s="141" t="s">
        <v>52</v>
      </c>
      <c r="D179" s="35">
        <v>2363350532.5799999</v>
      </c>
      <c r="E179" s="32">
        <f t="shared" si="91"/>
        <v>4.0570693615241946E-2</v>
      </c>
      <c r="F179" s="35">
        <v>2.1364000000000001</v>
      </c>
      <c r="G179" s="35">
        <v>2.1513</v>
      </c>
      <c r="H179" s="34">
        <v>2258</v>
      </c>
      <c r="I179" s="53">
        <v>9.1999999999999998E-3</v>
      </c>
      <c r="J179" s="53">
        <v>8.0500000000000002E-2</v>
      </c>
      <c r="K179" s="35">
        <v>2351474931.5999999</v>
      </c>
      <c r="L179" s="57">
        <f t="shared" si="92"/>
        <v>4.0500783136289326E-2</v>
      </c>
      <c r="M179" s="35">
        <v>2.1257999999999999</v>
      </c>
      <c r="N179" s="35">
        <v>2.1404999999999998</v>
      </c>
      <c r="O179" s="34">
        <v>2261</v>
      </c>
      <c r="P179" s="53">
        <v>-4.8999999999999998E-3</v>
      </c>
      <c r="Q179" s="53">
        <v>7.51E-2</v>
      </c>
      <c r="R179" s="60">
        <f t="shared" si="93"/>
        <v>-5.0249003760926558E-3</v>
      </c>
      <c r="S179" s="60">
        <f t="shared" si="94"/>
        <v>-5.0202203318924108E-3</v>
      </c>
      <c r="T179" s="60">
        <f t="shared" si="94"/>
        <v>1.3286093888396811E-3</v>
      </c>
      <c r="U179" s="60">
        <f t="shared" si="95"/>
        <v>-1.41E-2</v>
      </c>
      <c r="V179" s="61">
        <f t="shared" si="95"/>
        <v>-5.400000000000002E-3</v>
      </c>
    </row>
    <row r="180" spans="1:22">
      <c r="A180" s="144">
        <v>157</v>
      </c>
      <c r="B180" s="140" t="s">
        <v>224</v>
      </c>
      <c r="C180" s="141" t="s">
        <v>52</v>
      </c>
      <c r="D180" s="35">
        <v>1332623449.6500001</v>
      </c>
      <c r="E180" s="32">
        <f t="shared" si="91"/>
        <v>2.2876613915251622E-2</v>
      </c>
      <c r="F180" s="35">
        <v>1.6334</v>
      </c>
      <c r="G180" s="35">
        <v>1.6434</v>
      </c>
      <c r="H180" s="34">
        <v>851</v>
      </c>
      <c r="I180" s="53">
        <v>1.47E-2</v>
      </c>
      <c r="J180" s="53">
        <v>7.51E-2</v>
      </c>
      <c r="K180" s="35">
        <v>1329841786.6300001</v>
      </c>
      <c r="L180" s="57">
        <f t="shared" si="92"/>
        <v>2.2904617473097955E-2</v>
      </c>
      <c r="M180" s="35">
        <v>1.6298999999999999</v>
      </c>
      <c r="N180" s="35">
        <v>1.6398999999999999</v>
      </c>
      <c r="O180" s="34">
        <v>851</v>
      </c>
      <c r="P180" s="53">
        <v>-2.0999999999999999E-3</v>
      </c>
      <c r="Q180" s="53">
        <v>7.2800000000000004E-2</v>
      </c>
      <c r="R180" s="60">
        <f t="shared" si="93"/>
        <v>-2.0873586013592633E-3</v>
      </c>
      <c r="S180" s="60">
        <f t="shared" si="94"/>
        <v>-2.1297310453937319E-3</v>
      </c>
      <c r="T180" s="60">
        <f t="shared" si="94"/>
        <v>0</v>
      </c>
      <c r="U180" s="60">
        <f t="shared" si="95"/>
        <v>-1.6799999999999999E-2</v>
      </c>
      <c r="V180" s="61">
        <f t="shared" si="95"/>
        <v>-2.2999999999999965E-3</v>
      </c>
    </row>
    <row r="181" spans="1:22">
      <c r="A181" s="144">
        <v>158</v>
      </c>
      <c r="B181" s="140" t="s">
        <v>225</v>
      </c>
      <c r="C181" s="141" t="s">
        <v>106</v>
      </c>
      <c r="D181" s="31">
        <v>10652598261.74</v>
      </c>
      <c r="E181" s="32">
        <f t="shared" si="91"/>
        <v>0.18286889495461797</v>
      </c>
      <c r="F181" s="35">
        <v>579.39</v>
      </c>
      <c r="G181" s="35">
        <v>586.80999999999995</v>
      </c>
      <c r="H181" s="34">
        <v>38</v>
      </c>
      <c r="I181" s="53">
        <v>2.2668352973463479E-2</v>
      </c>
      <c r="J181" s="53">
        <v>0.12080751263045286</v>
      </c>
      <c r="K181" s="31">
        <v>10505847850.959999</v>
      </c>
      <c r="L181" s="57">
        <v>5.2058</v>
      </c>
      <c r="M181" s="35">
        <v>571.52</v>
      </c>
      <c r="N181" s="35">
        <v>578.66999999999996</v>
      </c>
      <c r="O181" s="34">
        <v>38</v>
      </c>
      <c r="P181" s="53">
        <v>-1.3776001897659601E-2</v>
      </c>
      <c r="Q181" s="53">
        <v>0.10536726620954462</v>
      </c>
      <c r="R181" s="60">
        <f t="shared" si="93"/>
        <v>-1.3776020382470559E-2</v>
      </c>
      <c r="S181" s="60">
        <f t="shared" si="94"/>
        <v>-1.3871610913242766E-2</v>
      </c>
      <c r="T181" s="60">
        <f t="shared" si="94"/>
        <v>0</v>
      </c>
      <c r="U181" s="60">
        <f t="shared" si="95"/>
        <v>-3.6444354871123082E-2</v>
      </c>
      <c r="V181" s="61">
        <f t="shared" si="95"/>
        <v>-1.5440246420908244E-2</v>
      </c>
    </row>
    <row r="182" spans="1:22">
      <c r="A182" s="38"/>
      <c r="B182" s="39"/>
      <c r="C182" s="40" t="s">
        <v>53</v>
      </c>
      <c r="D182" s="78">
        <f>SUM(D154:D181)</f>
        <v>58252652887.652779</v>
      </c>
      <c r="E182" s="42">
        <f>(D182/$D$214)</f>
        <v>1.3643739893309555E-2</v>
      </c>
      <c r="F182" s="43"/>
      <c r="G182" s="79"/>
      <c r="H182" s="45">
        <f>SUM(H154:H181)</f>
        <v>69445</v>
      </c>
      <c r="I182" s="85"/>
      <c r="J182" s="85"/>
      <c r="K182" s="78">
        <f>SUM(K154:K181)</f>
        <v>58059986733.763725</v>
      </c>
      <c r="L182" s="42">
        <f>(K182/$K$214)</f>
        <v>1.348837254803071E-2</v>
      </c>
      <c r="M182" s="43"/>
      <c r="N182" s="79"/>
      <c r="O182" s="45">
        <f>SUM(O154:O181)</f>
        <v>69463</v>
      </c>
      <c r="P182" s="85"/>
      <c r="Q182" s="85"/>
      <c r="R182" s="60">
        <f t="shared" ref="R182" si="96">((K182-D182)/D182)</f>
        <v>-3.3074228269162798E-3</v>
      </c>
      <c r="S182" s="60" t="e">
        <f t="shared" ref="S182" si="97">((N182-G182)/G182)</f>
        <v>#DIV/0!</v>
      </c>
      <c r="T182" s="60">
        <f t="shared" ref="T182" si="98">((O182-H182)/H182)</f>
        <v>2.5919792641658864E-4</v>
      </c>
      <c r="U182" s="60">
        <f t="shared" ref="U182" si="99">P182-I182</f>
        <v>0</v>
      </c>
      <c r="V182" s="61">
        <f t="shared" ref="V182" si="100">Q182-J182</f>
        <v>0</v>
      </c>
    </row>
    <row r="183" spans="1:22" ht="5.25" customHeight="1">
      <c r="A183" s="38"/>
      <c r="B183" s="160"/>
      <c r="C183" s="160"/>
      <c r="D183" s="160"/>
      <c r="E183" s="160"/>
      <c r="F183" s="160"/>
      <c r="G183" s="160"/>
      <c r="H183" s="160"/>
      <c r="I183" s="160"/>
      <c r="J183" s="160"/>
      <c r="K183" s="160"/>
      <c r="L183" s="160"/>
      <c r="M183" s="160"/>
      <c r="N183" s="160"/>
      <c r="O183" s="160"/>
      <c r="P183" s="160"/>
      <c r="Q183" s="160"/>
      <c r="R183" s="160"/>
      <c r="S183" s="160"/>
      <c r="T183" s="160"/>
      <c r="U183" s="160"/>
      <c r="V183" s="160"/>
    </row>
    <row r="184" spans="1:22" ht="15" customHeight="1">
      <c r="A184" s="162" t="s">
        <v>226</v>
      </c>
      <c r="B184" s="162"/>
      <c r="C184" s="162"/>
      <c r="D184" s="162"/>
      <c r="E184" s="162"/>
      <c r="F184" s="162"/>
      <c r="G184" s="162"/>
      <c r="H184" s="162"/>
      <c r="I184" s="162"/>
      <c r="J184" s="162"/>
      <c r="K184" s="162"/>
      <c r="L184" s="162"/>
      <c r="M184" s="162"/>
      <c r="N184" s="162"/>
      <c r="O184" s="162"/>
      <c r="P184" s="162"/>
      <c r="Q184" s="162"/>
      <c r="R184" s="162"/>
      <c r="S184" s="162"/>
      <c r="T184" s="162"/>
      <c r="U184" s="162"/>
      <c r="V184" s="162"/>
    </row>
    <row r="185" spans="1:22" ht="16.2" customHeight="1">
      <c r="A185" s="143">
        <v>159</v>
      </c>
      <c r="B185" s="140" t="s">
        <v>227</v>
      </c>
      <c r="C185" s="141" t="s">
        <v>23</v>
      </c>
      <c r="D185" s="81">
        <v>1054761753.17</v>
      </c>
      <c r="E185" s="32">
        <f>(D185/$D$188)</f>
        <v>0.15651982886690377</v>
      </c>
      <c r="F185" s="80">
        <v>71.519900000000007</v>
      </c>
      <c r="G185" s="80">
        <v>73.676299999999998</v>
      </c>
      <c r="H185" s="36">
        <v>1685</v>
      </c>
      <c r="I185" s="54">
        <v>6.2700000000000006E-2</v>
      </c>
      <c r="J185" s="54">
        <v>0.34910000000000002</v>
      </c>
      <c r="K185" s="81">
        <v>1043118516.39</v>
      </c>
      <c r="L185" s="57">
        <f>(K185/$K$188)</f>
        <v>0.15612573970080723</v>
      </c>
      <c r="M185" s="80">
        <v>72.0214</v>
      </c>
      <c r="N185" s="80">
        <v>74.192899999999995</v>
      </c>
      <c r="O185" s="36">
        <v>1693</v>
      </c>
      <c r="P185" s="54">
        <v>0.36559999999999998</v>
      </c>
      <c r="Q185" s="54">
        <v>0.35339999999999999</v>
      </c>
      <c r="R185" s="60">
        <f>((K185-D185)/D185)</f>
        <v>-1.1038736231198353E-2</v>
      </c>
      <c r="S185" s="60">
        <f t="shared" ref="S185:T188" si="101">((N185-G185)/G185)</f>
        <v>7.0117527617428784E-3</v>
      </c>
      <c r="T185" s="60">
        <f t="shared" si="101"/>
        <v>4.747774480712166E-3</v>
      </c>
      <c r="U185" s="60">
        <f t="shared" ref="U185:V188" si="102">P185-I185</f>
        <v>0.30289999999999995</v>
      </c>
      <c r="V185" s="61">
        <f t="shared" si="102"/>
        <v>4.2999999999999705E-3</v>
      </c>
    </row>
    <row r="186" spans="1:22">
      <c r="A186" s="143">
        <v>160</v>
      </c>
      <c r="B186" s="140" t="s">
        <v>228</v>
      </c>
      <c r="C186" s="141" t="s">
        <v>229</v>
      </c>
      <c r="D186" s="81">
        <v>1055590348.71</v>
      </c>
      <c r="E186" s="32">
        <f>(D186/$D$188)</f>
        <v>0.15664278709110077</v>
      </c>
      <c r="F186" s="80">
        <v>29.892199999999999</v>
      </c>
      <c r="G186" s="80">
        <v>30.189800000000002</v>
      </c>
      <c r="H186" s="34">
        <v>1483</v>
      </c>
      <c r="I186" s="53">
        <v>2.2100000000000002E-2</v>
      </c>
      <c r="J186" s="53">
        <v>0.123</v>
      </c>
      <c r="K186" s="81">
        <v>1056674814.46</v>
      </c>
      <c r="L186" s="57">
        <f>(K186/$K$188)</f>
        <v>0.15815473931161664</v>
      </c>
      <c r="M186" s="80">
        <v>29.872599999999998</v>
      </c>
      <c r="N186" s="80">
        <v>30.170200000000001</v>
      </c>
      <c r="O186" s="34">
        <v>1484</v>
      </c>
      <c r="P186" s="53">
        <v>6.0000000000000001E-3</v>
      </c>
      <c r="Q186" s="53">
        <v>0.12230000000000001</v>
      </c>
      <c r="R186" s="60">
        <f>((K186-D186)/D186)</f>
        <v>1.0273547416621302E-3</v>
      </c>
      <c r="S186" s="60">
        <f t="shared" si="101"/>
        <v>-6.4922589748857241E-4</v>
      </c>
      <c r="T186" s="60">
        <f t="shared" si="101"/>
        <v>6.7430883344571813E-4</v>
      </c>
      <c r="U186" s="60">
        <f t="shared" si="102"/>
        <v>-1.6100000000000003E-2</v>
      </c>
      <c r="V186" s="61">
        <f t="shared" si="102"/>
        <v>-6.999999999999923E-4</v>
      </c>
    </row>
    <row r="187" spans="1:22">
      <c r="A187" s="143">
        <v>161</v>
      </c>
      <c r="B187" s="140" t="s">
        <v>230</v>
      </c>
      <c r="C187" s="141" t="s">
        <v>49</v>
      </c>
      <c r="D187" s="47">
        <v>4628485787.2600002</v>
      </c>
      <c r="E187" s="32">
        <f>(D187/$D$188)</f>
        <v>0.68683738404199546</v>
      </c>
      <c r="F187" s="80">
        <v>3.2</v>
      </c>
      <c r="G187" s="80">
        <v>3.25</v>
      </c>
      <c r="H187" s="34">
        <v>10267</v>
      </c>
      <c r="I187" s="53">
        <v>2.52E-2</v>
      </c>
      <c r="J187" s="53">
        <v>0.1207</v>
      </c>
      <c r="K187" s="47">
        <v>4581478561.8500004</v>
      </c>
      <c r="L187" s="57">
        <f>(K187/$K$188)</f>
        <v>0.68571952098757605</v>
      </c>
      <c r="M187" s="80">
        <v>3.19</v>
      </c>
      <c r="N187" s="80">
        <v>3.23</v>
      </c>
      <c r="O187" s="34">
        <v>10281</v>
      </c>
      <c r="P187" s="53">
        <v>-6.1999999999999998E-3</v>
      </c>
      <c r="Q187" s="53">
        <v>0.1138</v>
      </c>
      <c r="R187" s="60">
        <f>((K187-D187)/D187)</f>
        <v>-1.0156069948272971E-2</v>
      </c>
      <c r="S187" s="60">
        <f t="shared" si="101"/>
        <v>-6.153846153846159E-3</v>
      </c>
      <c r="T187" s="60">
        <f t="shared" si="101"/>
        <v>1.3635920911658711E-3</v>
      </c>
      <c r="U187" s="60">
        <f t="shared" si="102"/>
        <v>-3.1399999999999997E-2</v>
      </c>
      <c r="V187" s="61">
        <f t="shared" si="102"/>
        <v>-6.9000000000000034E-3</v>
      </c>
    </row>
    <row r="188" spans="1:22">
      <c r="A188" s="38"/>
      <c r="B188" s="39"/>
      <c r="C188" s="74" t="s">
        <v>53</v>
      </c>
      <c r="D188" s="78">
        <f>SUM(D185:D187)</f>
        <v>6738837889.1400003</v>
      </c>
      <c r="E188" s="42">
        <f>(D188/$D$214)</f>
        <v>1.5783478826265367E-3</v>
      </c>
      <c r="F188" s="43"/>
      <c r="G188" s="79"/>
      <c r="H188" s="45">
        <f>SUM(H185:H187)</f>
        <v>13435</v>
      </c>
      <c r="I188" s="85"/>
      <c r="J188" s="85"/>
      <c r="K188" s="78">
        <f>SUM(K185:K187)</f>
        <v>6681271892.7000008</v>
      </c>
      <c r="L188" s="42">
        <f>(K188/$K$214)</f>
        <v>1.5521788662589638E-3</v>
      </c>
      <c r="M188" s="43"/>
      <c r="N188" s="79"/>
      <c r="O188" s="45">
        <f>SUM(O185:O187)</f>
        <v>13458</v>
      </c>
      <c r="P188" s="85"/>
      <c r="Q188" s="85"/>
      <c r="R188" s="60">
        <f>((K188-D188)/D188)</f>
        <v>-8.5424219111681372E-3</v>
      </c>
      <c r="S188" s="60" t="e">
        <f t="shared" si="101"/>
        <v>#DIV/0!</v>
      </c>
      <c r="T188" s="60">
        <f t="shared" si="101"/>
        <v>1.7119464086341645E-3</v>
      </c>
      <c r="U188" s="60">
        <f t="shared" si="102"/>
        <v>0</v>
      </c>
      <c r="V188" s="61">
        <f t="shared" si="102"/>
        <v>0</v>
      </c>
    </row>
    <row r="189" spans="1:22" ht="6" customHeight="1">
      <c r="A189" s="38"/>
      <c r="B189" s="160"/>
      <c r="C189" s="160"/>
      <c r="D189" s="160"/>
      <c r="E189" s="160"/>
      <c r="F189" s="160"/>
      <c r="G189" s="160"/>
      <c r="H189" s="160"/>
      <c r="I189" s="160"/>
      <c r="J189" s="160"/>
      <c r="K189" s="160"/>
      <c r="L189" s="160"/>
      <c r="M189" s="160"/>
      <c r="N189" s="160"/>
      <c r="O189" s="160"/>
      <c r="P189" s="160"/>
      <c r="Q189" s="160"/>
      <c r="R189" s="160"/>
      <c r="S189" s="160"/>
      <c r="T189" s="160"/>
      <c r="U189" s="160"/>
      <c r="V189" s="160"/>
    </row>
    <row r="190" spans="1:22" ht="15" customHeight="1">
      <c r="A190" s="158" t="s">
        <v>231</v>
      </c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  <c r="R190" s="158"/>
      <c r="S190" s="158"/>
      <c r="T190" s="158"/>
      <c r="U190" s="158"/>
      <c r="V190" s="158"/>
    </row>
    <row r="191" spans="1:22">
      <c r="A191" s="161" t="s">
        <v>232</v>
      </c>
      <c r="B191" s="161"/>
      <c r="C191" s="161"/>
      <c r="D191" s="161"/>
      <c r="E191" s="161"/>
      <c r="F191" s="161"/>
      <c r="G191" s="161"/>
      <c r="H191" s="161"/>
      <c r="I191" s="161"/>
      <c r="J191" s="161"/>
      <c r="K191" s="161"/>
      <c r="L191" s="161"/>
      <c r="M191" s="161"/>
      <c r="N191" s="161"/>
      <c r="O191" s="161"/>
      <c r="P191" s="161"/>
      <c r="Q191" s="161"/>
      <c r="R191" s="161"/>
      <c r="S191" s="161"/>
      <c r="T191" s="161"/>
      <c r="U191" s="161"/>
      <c r="V191" s="161"/>
    </row>
    <row r="192" spans="1:22">
      <c r="A192" s="143">
        <v>162</v>
      </c>
      <c r="B192" s="140" t="s">
        <v>233</v>
      </c>
      <c r="C192" s="141" t="s">
        <v>234</v>
      </c>
      <c r="D192" s="50">
        <v>5217491307.4499998</v>
      </c>
      <c r="E192" s="32">
        <f>(D192/$D$213)</f>
        <v>9.5764706525478027E-2</v>
      </c>
      <c r="F192" s="82">
        <v>2.33</v>
      </c>
      <c r="G192" s="82">
        <v>2.38</v>
      </c>
      <c r="H192" s="49">
        <v>15049</v>
      </c>
      <c r="I192" s="56">
        <v>-4.1000000000000003E-3</v>
      </c>
      <c r="J192" s="56">
        <v>2.93E-2</v>
      </c>
      <c r="K192" s="50">
        <v>5348475071.0900002</v>
      </c>
      <c r="L192" s="32">
        <f>(K192/$K$213)</f>
        <v>9.8457801903168329E-2</v>
      </c>
      <c r="M192" s="82">
        <v>2.35</v>
      </c>
      <c r="N192" s="82">
        <v>2.39</v>
      </c>
      <c r="O192" s="49">
        <v>15052</v>
      </c>
      <c r="P192" s="56">
        <v>5.5999999999999999E-3</v>
      </c>
      <c r="Q192" s="56">
        <v>3.5099999999999999E-2</v>
      </c>
      <c r="R192" s="60">
        <f>((K192-D192)/D192)</f>
        <v>2.5104740175219849E-2</v>
      </c>
      <c r="S192" s="60">
        <f>((N192-G192)/G192)</f>
        <v>4.2016806722690045E-3</v>
      </c>
      <c r="T192" s="60">
        <f>((O192-H192)/H192)</f>
        <v>1.9934879393979665E-4</v>
      </c>
      <c r="U192" s="60">
        <f>P192-I192</f>
        <v>9.7000000000000003E-3</v>
      </c>
      <c r="V192" s="61">
        <f>Q192-J192</f>
        <v>5.7999999999999996E-3</v>
      </c>
    </row>
    <row r="193" spans="1:24">
      <c r="A193" s="143">
        <v>163</v>
      </c>
      <c r="B193" s="140" t="s">
        <v>235</v>
      </c>
      <c r="C193" s="141" t="s">
        <v>49</v>
      </c>
      <c r="D193" s="50">
        <v>896056646.77999997</v>
      </c>
      <c r="E193" s="32">
        <f>(D193/$D$213)</f>
        <v>1.6446716774891908E-2</v>
      </c>
      <c r="F193" s="82">
        <v>563.46</v>
      </c>
      <c r="G193" s="82">
        <v>570.66</v>
      </c>
      <c r="H193" s="49">
        <v>882</v>
      </c>
      <c r="I193" s="56">
        <v>5.1299999999999998E-2</v>
      </c>
      <c r="J193" s="56">
        <v>0.13070000000000001</v>
      </c>
      <c r="K193" s="50">
        <v>916773523.13999999</v>
      </c>
      <c r="L193" s="32">
        <f>(K193/$K$213)</f>
        <v>1.6876493716739424E-2</v>
      </c>
      <c r="M193" s="82">
        <v>567.75</v>
      </c>
      <c r="N193" s="82">
        <v>574.9</v>
      </c>
      <c r="O193" s="49">
        <v>887</v>
      </c>
      <c r="P193" s="56">
        <v>7.4000000000000003E-3</v>
      </c>
      <c r="Q193" s="56">
        <v>0.1391</v>
      </c>
      <c r="R193" s="60">
        <f>((K193-D193)/D193)</f>
        <v>2.3120052102114954E-2</v>
      </c>
      <c r="S193" s="60">
        <f>((N193-G193)/G193)</f>
        <v>7.4299933410437204E-3</v>
      </c>
      <c r="T193" s="60">
        <f>((O193-H193)/H193)</f>
        <v>5.6689342403628117E-3</v>
      </c>
      <c r="U193" s="60">
        <f>P193-I193</f>
        <v>-4.3899999999999995E-2</v>
      </c>
      <c r="V193" s="61">
        <f>Q193-J193</f>
        <v>8.3999999999999908E-3</v>
      </c>
    </row>
    <row r="194" spans="1:24" ht="6" customHeight="1">
      <c r="A194" s="38"/>
      <c r="B194" s="160"/>
      <c r="C194" s="160"/>
      <c r="D194" s="160"/>
      <c r="E194" s="160"/>
      <c r="F194" s="160"/>
      <c r="G194" s="160"/>
      <c r="H194" s="160"/>
      <c r="I194" s="160"/>
      <c r="J194" s="160"/>
      <c r="K194" s="160"/>
      <c r="L194" s="160"/>
      <c r="M194" s="160"/>
      <c r="N194" s="160"/>
      <c r="O194" s="160"/>
      <c r="P194" s="160"/>
      <c r="Q194" s="160"/>
      <c r="R194" s="160"/>
      <c r="S194" s="160"/>
      <c r="T194" s="160"/>
      <c r="U194" s="160"/>
      <c r="V194" s="160"/>
    </row>
    <row r="195" spans="1:24" ht="15" customHeight="1">
      <c r="A195" s="161" t="s">
        <v>174</v>
      </c>
      <c r="B195" s="161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</row>
    <row r="196" spans="1:24">
      <c r="A196" s="143">
        <v>164</v>
      </c>
      <c r="B196" s="140" t="s">
        <v>295</v>
      </c>
      <c r="C196" s="141" t="s">
        <v>23</v>
      </c>
      <c r="D196" s="31">
        <v>1050588521.7</v>
      </c>
      <c r="E196" s="32">
        <f>(D196/$D$213)</f>
        <v>1.9283079842601244E-2</v>
      </c>
      <c r="F196" s="80">
        <v>1.0354000000000001</v>
      </c>
      <c r="G196" s="80">
        <v>1.0354000000000001</v>
      </c>
      <c r="H196" s="34">
        <v>443</v>
      </c>
      <c r="I196" s="53">
        <v>0.16170000000000001</v>
      </c>
      <c r="J196" s="53">
        <v>0.17849999999999999</v>
      </c>
      <c r="K196" s="31">
        <v>1083611476.6099999</v>
      </c>
      <c r="L196" s="32">
        <f t="shared" ref="L196:L208" si="103">(K196/$K$213)</f>
        <v>1.9947742615602029E-2</v>
      </c>
      <c r="M196" s="80">
        <v>1.0383</v>
      </c>
      <c r="N196" s="80">
        <v>1.0383</v>
      </c>
      <c r="O196" s="34">
        <v>463</v>
      </c>
      <c r="P196" s="53">
        <v>0.14599999999999999</v>
      </c>
      <c r="Q196" s="53">
        <v>0.17460000000000001</v>
      </c>
      <c r="R196" s="60">
        <f>((K196-D196)/D196)</f>
        <v>3.1432815253458188E-2</v>
      </c>
      <c r="S196" s="60">
        <f>((N196-G196)/G196)</f>
        <v>2.8008499130769775E-3</v>
      </c>
      <c r="T196" s="60">
        <f>((O196-H196)/H196)</f>
        <v>4.5146726862302484E-2</v>
      </c>
      <c r="U196" s="60">
        <f>P196-I196</f>
        <v>-1.5700000000000019E-2</v>
      </c>
      <c r="V196" s="61">
        <f>Q196-J196</f>
        <v>-3.8999999999999868E-3</v>
      </c>
      <c r="X196" s="86"/>
    </row>
    <row r="197" spans="1:24">
      <c r="A197" s="143">
        <v>165</v>
      </c>
      <c r="B197" s="140" t="s">
        <v>236</v>
      </c>
      <c r="C197" s="141" t="s">
        <v>237</v>
      </c>
      <c r="D197" s="31">
        <v>345908970.98000002</v>
      </c>
      <c r="E197" s="32">
        <f>(D197/$D$213)</f>
        <v>6.3490035993217127E-3</v>
      </c>
      <c r="F197" s="80">
        <v>1057.48</v>
      </c>
      <c r="G197" s="80">
        <v>1057.48</v>
      </c>
      <c r="H197" s="34">
        <v>18</v>
      </c>
      <c r="I197" s="53">
        <v>1.9E-3</v>
      </c>
      <c r="J197" s="53">
        <v>1.3100000000000001E-2</v>
      </c>
      <c r="K197" s="31">
        <v>346726895.57999998</v>
      </c>
      <c r="L197" s="32">
        <f t="shared" si="103"/>
        <v>6.3827478946366246E-3</v>
      </c>
      <c r="M197" s="80">
        <v>1059.67</v>
      </c>
      <c r="N197" s="80">
        <v>1059.67</v>
      </c>
      <c r="O197" s="34">
        <v>18</v>
      </c>
      <c r="P197" s="53">
        <v>4.4999999999999997E-3</v>
      </c>
      <c r="Q197" s="53">
        <v>1.7600000000000001E-2</v>
      </c>
      <c r="R197" s="60">
        <f>((K197-D197)/D197)</f>
        <v>2.3645660234907742E-3</v>
      </c>
      <c r="S197" s="60">
        <f>((N197-G197)/G197)</f>
        <v>2.0709611529296577E-3</v>
      </c>
      <c r="T197" s="60">
        <f>((O197-H197)/H197)</f>
        <v>0</v>
      </c>
      <c r="U197" s="60">
        <f>P197-I197</f>
        <v>2.5999999999999999E-3</v>
      </c>
      <c r="V197" s="61">
        <f>Q197-J197</f>
        <v>4.5000000000000005E-3</v>
      </c>
      <c r="X197" s="86"/>
    </row>
    <row r="198" spans="1:24">
      <c r="A198" s="143">
        <v>166</v>
      </c>
      <c r="B198" s="140" t="s">
        <v>238</v>
      </c>
      <c r="C198" s="141" t="s">
        <v>67</v>
      </c>
      <c r="D198" s="31">
        <v>133558903.15000001</v>
      </c>
      <c r="E198" s="32">
        <f>(D198/$D$213)</f>
        <v>2.4514136028864031E-3</v>
      </c>
      <c r="F198" s="80">
        <v>117.69</v>
      </c>
      <c r="G198" s="80">
        <v>117.69</v>
      </c>
      <c r="H198" s="34">
        <v>75</v>
      </c>
      <c r="I198" s="53">
        <v>1.5E-3</v>
      </c>
      <c r="J198" s="53">
        <v>0.1226</v>
      </c>
      <c r="K198" s="31">
        <v>133831973.54000001</v>
      </c>
      <c r="L198" s="32">
        <f t="shared" si="103"/>
        <v>2.4636558577856476E-3</v>
      </c>
      <c r="M198" s="80">
        <v>117.88</v>
      </c>
      <c r="N198" s="80">
        <v>117.88</v>
      </c>
      <c r="O198" s="34">
        <v>75</v>
      </c>
      <c r="P198" s="53">
        <v>1.6000000000000001E-3</v>
      </c>
      <c r="Q198" s="53">
        <v>0.1128</v>
      </c>
      <c r="R198" s="60">
        <f t="shared" ref="R198:R214" si="104">((K198-D198)/D198)</f>
        <v>2.0445689771300024E-3</v>
      </c>
      <c r="S198" s="60">
        <f t="shared" ref="S198:S213" si="105">((N198-G198)/G198)</f>
        <v>1.6144107400798515E-3</v>
      </c>
      <c r="T198" s="60">
        <f t="shared" ref="T198:T213" si="106">((O198-H198)/H198)</f>
        <v>0</v>
      </c>
      <c r="U198" s="60">
        <f t="shared" ref="U198:U213" si="107">P198-I198</f>
        <v>1.0000000000000005E-4</v>
      </c>
      <c r="V198" s="61">
        <f t="shared" ref="V198:V213" si="108">Q198-J198</f>
        <v>-9.8000000000000032E-3</v>
      </c>
    </row>
    <row r="199" spans="1:24">
      <c r="A199" s="143">
        <v>167</v>
      </c>
      <c r="B199" s="154" t="s">
        <v>239</v>
      </c>
      <c r="C199" s="141" t="s">
        <v>72</v>
      </c>
      <c r="D199" s="47">
        <v>62392711.009999998</v>
      </c>
      <c r="E199" s="32">
        <f>(D199/$D$213)</f>
        <v>1.1451901511881667E-3</v>
      </c>
      <c r="F199" s="80">
        <v>102.8</v>
      </c>
      <c r="G199" s="80">
        <v>102.8</v>
      </c>
      <c r="H199" s="34">
        <v>15</v>
      </c>
      <c r="I199" s="53">
        <v>-8.9999999999999998E-4</v>
      </c>
      <c r="J199" s="53">
        <v>5.8999999999999997E-2</v>
      </c>
      <c r="K199" s="47">
        <v>62446335.119999997</v>
      </c>
      <c r="L199" s="32">
        <f t="shared" si="103"/>
        <v>1.1495480134248463E-3</v>
      </c>
      <c r="M199" s="80">
        <v>102.89</v>
      </c>
      <c r="N199" s="80">
        <v>102.89</v>
      </c>
      <c r="O199" s="34">
        <v>15</v>
      </c>
      <c r="P199" s="53">
        <v>8.9999999999999998E-4</v>
      </c>
      <c r="Q199" s="53">
        <v>5.9900000000000002E-2</v>
      </c>
      <c r="R199" s="60">
        <f t="shared" si="104"/>
        <v>8.594611314678215E-4</v>
      </c>
      <c r="S199" s="60">
        <f t="shared" si="105"/>
        <v>8.7548638132299041E-4</v>
      </c>
      <c r="T199" s="60">
        <f t="shared" si="106"/>
        <v>0</v>
      </c>
      <c r="U199" s="60">
        <f t="shared" si="107"/>
        <v>1.8E-3</v>
      </c>
      <c r="V199" s="61">
        <f t="shared" si="108"/>
        <v>9.0000000000000496E-4</v>
      </c>
    </row>
    <row r="200" spans="1:24">
      <c r="A200" s="143">
        <v>168</v>
      </c>
      <c r="B200" s="140" t="s">
        <v>240</v>
      </c>
      <c r="C200" s="141" t="s">
        <v>75</v>
      </c>
      <c r="D200" s="47">
        <v>113890972.48</v>
      </c>
      <c r="E200" s="32">
        <v>0</v>
      </c>
      <c r="F200" s="80">
        <v>1.0572999999999999</v>
      </c>
      <c r="G200" s="80">
        <v>1.0572999999999999</v>
      </c>
      <c r="H200" s="34">
        <v>25</v>
      </c>
      <c r="I200" s="53">
        <v>1.6000000000000001E-3</v>
      </c>
      <c r="J200" s="53">
        <v>0.1229</v>
      </c>
      <c r="K200" s="47">
        <v>114138714.05</v>
      </c>
      <c r="L200" s="32">
        <f t="shared" si="103"/>
        <v>2.101131022964092E-3</v>
      </c>
      <c r="M200" s="80">
        <v>1.0596000000000001</v>
      </c>
      <c r="N200" s="80">
        <v>1.0596000000000001</v>
      </c>
      <c r="O200" s="34">
        <v>25</v>
      </c>
      <c r="P200" s="53">
        <v>1.6000000000000001E-3</v>
      </c>
      <c r="Q200" s="53">
        <v>0.1225</v>
      </c>
      <c r="R200" s="60">
        <f t="shared" ref="R200:R201" si="109">((K200-D200)/D200)</f>
        <v>2.1752520380269639E-3</v>
      </c>
      <c r="S200" s="60">
        <f t="shared" ref="S200:S201" si="110">((N200-G200)/G200)</f>
        <v>2.1753523124942694E-3</v>
      </c>
      <c r="T200" s="60">
        <f t="shared" ref="T200" si="111">((O200-H200)/H200)</f>
        <v>0</v>
      </c>
      <c r="U200" s="60">
        <f t="shared" ref="U200" si="112">P200-I200</f>
        <v>0</v>
      </c>
      <c r="V200" s="61">
        <f t="shared" ref="V200" si="113">Q200-J200</f>
        <v>-3.9999999999999758E-4</v>
      </c>
    </row>
    <row r="201" spans="1:24">
      <c r="A201" s="143">
        <v>169</v>
      </c>
      <c r="B201" s="140" t="s">
        <v>241</v>
      </c>
      <c r="C201" s="141" t="s">
        <v>31</v>
      </c>
      <c r="D201" s="31">
        <v>5171810887.9200001</v>
      </c>
      <c r="E201" s="32">
        <f t="shared" ref="E201:E208" si="114">(D201/$D$213)</f>
        <v>9.4926262968513253E-2</v>
      </c>
      <c r="F201" s="80">
        <v>146.83000000000001</v>
      </c>
      <c r="G201" s="80">
        <v>146.83000000000001</v>
      </c>
      <c r="H201" s="34">
        <v>695</v>
      </c>
      <c r="I201" s="53">
        <v>4.7000000000000002E-3</v>
      </c>
      <c r="J201" s="53">
        <v>2.3400000000000001E-2</v>
      </c>
      <c r="K201" s="31">
        <v>5185878826.6599998</v>
      </c>
      <c r="L201" s="32">
        <f t="shared" si="103"/>
        <v>9.5464636821251711E-2</v>
      </c>
      <c r="M201" s="80">
        <v>147.24</v>
      </c>
      <c r="N201" s="80">
        <v>147.24</v>
      </c>
      <c r="O201" s="34">
        <v>697</v>
      </c>
      <c r="P201" s="53">
        <v>2.8E-3</v>
      </c>
      <c r="Q201" s="53">
        <v>2.63E-2</v>
      </c>
      <c r="R201" s="60">
        <f t="shared" si="109"/>
        <v>2.7201185512909613E-3</v>
      </c>
      <c r="S201" s="60">
        <f t="shared" si="110"/>
        <v>2.7923448886467109E-3</v>
      </c>
      <c r="T201" s="60">
        <f t="shared" si="106"/>
        <v>2.8776978417266188E-3</v>
      </c>
      <c r="U201" s="60">
        <f t="shared" si="107"/>
        <v>-1.9000000000000002E-3</v>
      </c>
      <c r="V201" s="61">
        <f t="shared" si="108"/>
        <v>2.8999999999999998E-3</v>
      </c>
    </row>
    <row r="202" spans="1:24">
      <c r="A202" s="143">
        <v>170</v>
      </c>
      <c r="B202" s="140" t="s">
        <v>242</v>
      </c>
      <c r="C202" s="141" t="s">
        <v>65</v>
      </c>
      <c r="D202" s="31">
        <v>664315640.96992004</v>
      </c>
      <c r="E202" s="32">
        <f t="shared" si="114"/>
        <v>1.2193214832371598E-2</v>
      </c>
      <c r="F202" s="37">
        <v>1212.7451009286401</v>
      </c>
      <c r="G202" s="37">
        <v>1212.7451009286401</v>
      </c>
      <c r="H202" s="34">
        <v>131</v>
      </c>
      <c r="I202" s="53">
        <v>0.14934789174859003</v>
      </c>
      <c r="J202" s="53">
        <v>0.17595008558015029</v>
      </c>
      <c r="K202" s="31">
        <v>658071854.29233694</v>
      </c>
      <c r="L202" s="32">
        <f t="shared" si="103"/>
        <v>1.2114164767858052E-2</v>
      </c>
      <c r="M202" s="37">
        <v>1215.52593361766</v>
      </c>
      <c r="N202" s="37">
        <v>1215.52593361766</v>
      </c>
      <c r="O202" s="34">
        <v>134</v>
      </c>
      <c r="P202" s="53">
        <v>0.11956392281504247</v>
      </c>
      <c r="Q202" s="53">
        <v>0.16870878411057205</v>
      </c>
      <c r="R202" s="60">
        <f t="shared" si="104"/>
        <v>-9.398825336201613E-3</v>
      </c>
      <c r="S202" s="60">
        <f t="shared" si="105"/>
        <v>2.2930067389186227E-3</v>
      </c>
      <c r="T202" s="60">
        <f t="shared" si="106"/>
        <v>2.2900763358778626E-2</v>
      </c>
      <c r="U202" s="60">
        <f t="shared" si="107"/>
        <v>-2.9783968933547567E-2</v>
      </c>
      <c r="V202" s="61">
        <f t="shared" si="108"/>
        <v>-7.2413014695782429E-3</v>
      </c>
    </row>
    <row r="203" spans="1:24">
      <c r="A203" s="143">
        <v>171</v>
      </c>
      <c r="B203" s="140" t="s">
        <v>243</v>
      </c>
      <c r="C203" s="141" t="s">
        <v>234</v>
      </c>
      <c r="D203" s="31">
        <v>27940443315.279999</v>
      </c>
      <c r="E203" s="32">
        <f t="shared" si="114"/>
        <v>0.51283427160845063</v>
      </c>
      <c r="F203" s="37">
        <v>1241.94</v>
      </c>
      <c r="G203" s="37">
        <v>1241.94</v>
      </c>
      <c r="H203" s="34">
        <v>9839</v>
      </c>
      <c r="I203" s="53">
        <v>2.5999999999999999E-3</v>
      </c>
      <c r="J203" s="53">
        <v>1.6E-2</v>
      </c>
      <c r="K203" s="31">
        <v>27953662739.52</v>
      </c>
      <c r="L203" s="32">
        <f t="shared" si="103"/>
        <v>0.51458708358805871</v>
      </c>
      <c r="M203" s="37">
        <v>1243.8599999999999</v>
      </c>
      <c r="N203" s="37">
        <v>1243.8599999999999</v>
      </c>
      <c r="O203" s="34">
        <v>9846</v>
      </c>
      <c r="P203" s="53">
        <v>1.5E-3</v>
      </c>
      <c r="Q203" s="53">
        <v>1.7500000000000002E-2</v>
      </c>
      <c r="R203" s="60">
        <f t="shared" si="104"/>
        <v>4.7312865049540116E-4</v>
      </c>
      <c r="S203" s="60">
        <f t="shared" si="105"/>
        <v>1.5459684042706131E-3</v>
      </c>
      <c r="T203" s="60">
        <f t="shared" si="106"/>
        <v>7.1145441609919713E-4</v>
      </c>
      <c r="U203" s="60">
        <f t="shared" si="107"/>
        <v>-1.0999999999999998E-3</v>
      </c>
      <c r="V203" s="61">
        <f t="shared" si="108"/>
        <v>1.5000000000000013E-3</v>
      </c>
    </row>
    <row r="204" spans="1:24">
      <c r="A204" s="143">
        <v>172</v>
      </c>
      <c r="B204" s="140" t="s">
        <v>244</v>
      </c>
      <c r="C204" s="141" t="s">
        <v>245</v>
      </c>
      <c r="D204" s="31">
        <v>490406362.06999999</v>
      </c>
      <c r="E204" s="32">
        <f t="shared" si="114"/>
        <v>9.001188229063652E-3</v>
      </c>
      <c r="F204" s="82">
        <v>124.49</v>
      </c>
      <c r="G204" s="82">
        <v>125.56</v>
      </c>
      <c r="H204" s="49">
        <v>143</v>
      </c>
      <c r="I204" s="53">
        <v>2.52E-2</v>
      </c>
      <c r="J204" s="53">
        <v>4.0000000000000001E-3</v>
      </c>
      <c r="K204" s="31">
        <v>476899097.35000002</v>
      </c>
      <c r="L204" s="32">
        <f t="shared" si="103"/>
        <v>8.7790325710758055E-3</v>
      </c>
      <c r="M204" s="82">
        <v>122.65</v>
      </c>
      <c r="N204" s="82">
        <v>123.71</v>
      </c>
      <c r="O204" s="49">
        <v>143</v>
      </c>
      <c r="P204" s="53">
        <v>-1.4800000000000001E-2</v>
      </c>
      <c r="Q204" s="53">
        <v>-2.3999999999999998E-3</v>
      </c>
      <c r="R204" s="60">
        <f t="shared" si="104"/>
        <v>-2.7543004668589433E-2</v>
      </c>
      <c r="S204" s="60">
        <f t="shared" si="105"/>
        <v>-1.4733991717107427E-2</v>
      </c>
      <c r="T204" s="60">
        <f t="shared" si="106"/>
        <v>0</v>
      </c>
      <c r="U204" s="60">
        <f t="shared" si="107"/>
        <v>-0.04</v>
      </c>
      <c r="V204" s="61">
        <f t="shared" si="108"/>
        <v>-6.3999999999999994E-3</v>
      </c>
    </row>
    <row r="205" spans="1:24">
      <c r="A205" s="143">
        <v>173</v>
      </c>
      <c r="B205" s="140" t="s">
        <v>246</v>
      </c>
      <c r="C205" s="141" t="s">
        <v>245</v>
      </c>
      <c r="D205" s="31">
        <v>134860565.94999999</v>
      </c>
      <c r="E205" s="32">
        <f t="shared" si="114"/>
        <v>2.4753050381934706E-3</v>
      </c>
      <c r="F205" s="82">
        <v>115.05</v>
      </c>
      <c r="G205" s="82">
        <v>115.05</v>
      </c>
      <c r="H205" s="49">
        <v>69</v>
      </c>
      <c r="I205" s="53">
        <v>3.0000000000000001E-3</v>
      </c>
      <c r="J205" s="53">
        <v>0.03</v>
      </c>
      <c r="K205" s="31">
        <v>135396077.00999999</v>
      </c>
      <c r="L205" s="32">
        <f t="shared" si="103"/>
        <v>2.4924487730668124E-3</v>
      </c>
      <c r="M205" s="82">
        <v>115.5</v>
      </c>
      <c r="N205" s="82">
        <v>115.5</v>
      </c>
      <c r="O205" s="49">
        <v>69</v>
      </c>
      <c r="P205" s="53">
        <v>4.0000000000000001E-3</v>
      </c>
      <c r="Q205" s="53">
        <v>3.4099999999999998E-2</v>
      </c>
      <c r="R205" s="60">
        <f t="shared" si="104"/>
        <v>3.9708498642853458E-3</v>
      </c>
      <c r="S205" s="60">
        <f t="shared" si="105"/>
        <v>3.9113428943937665E-3</v>
      </c>
      <c r="T205" s="60">
        <f t="shared" si="106"/>
        <v>0</v>
      </c>
      <c r="U205" s="60">
        <f t="shared" si="107"/>
        <v>1E-3</v>
      </c>
      <c r="V205" s="61">
        <f t="shared" si="108"/>
        <v>4.0999999999999995E-3</v>
      </c>
    </row>
    <row r="206" spans="1:24" ht="13.5" customHeight="1">
      <c r="A206" s="143">
        <v>174</v>
      </c>
      <c r="B206" s="140" t="s">
        <v>247</v>
      </c>
      <c r="C206" s="141" t="s">
        <v>89</v>
      </c>
      <c r="D206" s="31">
        <v>1435622108</v>
      </c>
      <c r="E206" s="32">
        <f t="shared" si="114"/>
        <v>2.6350198160905249E-2</v>
      </c>
      <c r="F206" s="63">
        <v>104.64</v>
      </c>
      <c r="G206" s="63">
        <v>104.64</v>
      </c>
      <c r="H206" s="34">
        <v>613</v>
      </c>
      <c r="I206" s="53">
        <v>2.5000000000000001E-3</v>
      </c>
      <c r="J206" s="53">
        <v>0.1401</v>
      </c>
      <c r="K206" s="31">
        <v>1453263696</v>
      </c>
      <c r="L206" s="32">
        <f t="shared" si="103"/>
        <v>2.6752513041941504E-2</v>
      </c>
      <c r="M206" s="63">
        <v>104.95</v>
      </c>
      <c r="N206" s="63">
        <v>104.95</v>
      </c>
      <c r="O206" s="34">
        <v>615</v>
      </c>
      <c r="P206" s="53">
        <v>2.8999999999999998E-3</v>
      </c>
      <c r="Q206" s="53">
        <v>0.14219999999999999</v>
      </c>
      <c r="R206" s="60">
        <f t="shared" si="104"/>
        <v>1.2288462194676652E-2</v>
      </c>
      <c r="S206" s="60">
        <f t="shared" si="105"/>
        <v>2.9625382262997157E-3</v>
      </c>
      <c r="T206" s="60">
        <f t="shared" si="106"/>
        <v>3.2626427406199023E-3</v>
      </c>
      <c r="U206" s="60">
        <f t="shared" si="107"/>
        <v>3.9999999999999975E-4</v>
      </c>
      <c r="V206" s="61">
        <f t="shared" si="108"/>
        <v>2.0999999999999908E-3</v>
      </c>
    </row>
    <row r="207" spans="1:24" ht="15.75" customHeight="1">
      <c r="A207" s="143">
        <v>175</v>
      </c>
      <c r="B207" s="140" t="s">
        <v>248</v>
      </c>
      <c r="C207" s="141" t="s">
        <v>49</v>
      </c>
      <c r="D207" s="31">
        <v>6677105477.9499998</v>
      </c>
      <c r="E207" s="32">
        <f t="shared" si="114"/>
        <v>0.12255526820380259</v>
      </c>
      <c r="F207" s="63">
        <v>135.6</v>
      </c>
      <c r="G207" s="63">
        <v>135.6</v>
      </c>
      <c r="H207" s="34">
        <v>1277</v>
      </c>
      <c r="I207" s="53">
        <v>4.0000000000000002E-4</v>
      </c>
      <c r="J207" s="53">
        <v>9.7000000000000003E-3</v>
      </c>
      <c r="K207" s="31">
        <v>6320146995.0299997</v>
      </c>
      <c r="L207" s="32">
        <f t="shared" si="103"/>
        <v>0.11634489692194683</v>
      </c>
      <c r="M207" s="63">
        <v>135.65</v>
      </c>
      <c r="N207" s="63">
        <v>135.65</v>
      </c>
      <c r="O207" s="34">
        <v>1277</v>
      </c>
      <c r="P207" s="53">
        <v>4.0000000000000002E-4</v>
      </c>
      <c r="Q207" s="53">
        <v>1.01E-2</v>
      </c>
      <c r="R207" s="60">
        <f t="shared" si="104"/>
        <v>-5.3460063510872263E-2</v>
      </c>
      <c r="S207" s="60">
        <f t="shared" si="105"/>
        <v>3.6873156342191277E-4</v>
      </c>
      <c r="T207" s="60">
        <f t="shared" si="106"/>
        <v>0</v>
      </c>
      <c r="U207" s="60">
        <f t="shared" si="107"/>
        <v>0</v>
      </c>
      <c r="V207" s="61">
        <f t="shared" si="108"/>
        <v>3.9999999999999931E-4</v>
      </c>
    </row>
    <row r="208" spans="1:24">
      <c r="A208" s="143">
        <v>176</v>
      </c>
      <c r="B208" s="140" t="s">
        <v>249</v>
      </c>
      <c r="C208" s="141" t="s">
        <v>52</v>
      </c>
      <c r="D208" s="31">
        <v>3880939903</v>
      </c>
      <c r="E208" s="32">
        <f t="shared" si="114"/>
        <v>7.1232906573917426E-2</v>
      </c>
      <c r="F208" s="63">
        <v>1.2270000000000001</v>
      </c>
      <c r="G208" s="63">
        <v>1.2270000000000001</v>
      </c>
      <c r="H208" s="34">
        <v>1340</v>
      </c>
      <c r="I208" s="53">
        <v>0.1167</v>
      </c>
      <c r="J208" s="53">
        <v>7.6999999999999999E-2</v>
      </c>
      <c r="K208" s="31">
        <v>3890749586.8899999</v>
      </c>
      <c r="L208" s="32">
        <f t="shared" si="103"/>
        <v>7.1623153700664133E-2</v>
      </c>
      <c r="M208" s="63">
        <v>1.2323</v>
      </c>
      <c r="N208" s="63">
        <v>1.2323</v>
      </c>
      <c r="O208" s="34">
        <v>1340</v>
      </c>
      <c r="P208" s="53">
        <v>0.1212</v>
      </c>
      <c r="Q208" s="53">
        <v>8.2900000000000001E-2</v>
      </c>
      <c r="R208" s="60">
        <f t="shared" si="104"/>
        <v>2.527656736559331E-3</v>
      </c>
      <c r="S208" s="60">
        <f t="shared" si="105"/>
        <v>4.3194784026078731E-3</v>
      </c>
      <c r="T208" s="60">
        <f t="shared" si="106"/>
        <v>0</v>
      </c>
      <c r="U208" s="60">
        <f t="shared" si="107"/>
        <v>4.500000000000004E-3</v>
      </c>
      <c r="V208" s="61">
        <f t="shared" si="108"/>
        <v>5.9000000000000025E-3</v>
      </c>
    </row>
    <row r="209" spans="1:22" ht="6" customHeight="1">
      <c r="A209" s="38"/>
      <c r="B209" s="160"/>
      <c r="C209" s="160"/>
      <c r="D209" s="160"/>
      <c r="E209" s="160"/>
      <c r="F209" s="160"/>
      <c r="G209" s="160"/>
      <c r="H209" s="160"/>
      <c r="I209" s="160"/>
      <c r="J209" s="160"/>
      <c r="K209" s="160"/>
      <c r="L209" s="160"/>
      <c r="M209" s="160"/>
      <c r="N209" s="160"/>
      <c r="O209" s="160"/>
      <c r="P209" s="160"/>
      <c r="Q209" s="160"/>
      <c r="R209" s="160"/>
      <c r="S209" s="160"/>
      <c r="T209" s="160"/>
      <c r="U209" s="160"/>
      <c r="V209" s="160"/>
    </row>
    <row r="210" spans="1:22">
      <c r="A210" s="161" t="s">
        <v>250</v>
      </c>
      <c r="B210" s="161"/>
      <c r="C210" s="161"/>
      <c r="D210" s="161"/>
      <c r="E210" s="161"/>
      <c r="F210" s="161"/>
      <c r="G210" s="161"/>
      <c r="H210" s="161"/>
      <c r="I210" s="161"/>
      <c r="J210" s="161"/>
      <c r="K210" s="161"/>
      <c r="L210" s="161"/>
      <c r="M210" s="161"/>
      <c r="N210" s="161"/>
      <c r="O210" s="161"/>
      <c r="P210" s="161"/>
      <c r="Q210" s="161"/>
      <c r="R210" s="161"/>
      <c r="S210" s="161"/>
      <c r="T210" s="161"/>
      <c r="U210" s="161"/>
      <c r="V210" s="161"/>
    </row>
    <row r="211" spans="1:22">
      <c r="A211" s="153">
        <v>177</v>
      </c>
      <c r="B211" s="140" t="s">
        <v>251</v>
      </c>
      <c r="C211" s="141" t="s">
        <v>234</v>
      </c>
      <c r="D211" s="31">
        <v>226217094.84999999</v>
      </c>
      <c r="E211" s="32">
        <f t="shared" ref="E211" si="115">(D211/$D$213)</f>
        <v>4.1521130410745932E-3</v>
      </c>
      <c r="F211" s="37">
        <v>1210.77</v>
      </c>
      <c r="G211" s="37">
        <v>1210.77</v>
      </c>
      <c r="H211" s="34">
        <v>96</v>
      </c>
      <c r="I211" s="53">
        <v>-1.2999999999999999E-2</v>
      </c>
      <c r="J211" s="53">
        <v>-2.46E-2</v>
      </c>
      <c r="K211" s="31">
        <v>200795709.68000001</v>
      </c>
      <c r="L211" s="32">
        <f t="shared" ref="L211" si="116">(K211/$K$213)</f>
        <v>3.6963627845142981E-3</v>
      </c>
      <c r="M211" s="37">
        <v>1074.71</v>
      </c>
      <c r="N211" s="37">
        <v>1074.71</v>
      </c>
      <c r="O211" s="34">
        <v>96</v>
      </c>
      <c r="P211" s="53">
        <v>-0.1124</v>
      </c>
      <c r="Q211" s="53">
        <v>-0.13420000000000001</v>
      </c>
      <c r="R211" s="60">
        <f t="shared" ref="R211" si="117">((K211-D211)/D211)</f>
        <v>-0.11237605710946114</v>
      </c>
      <c r="S211" s="60">
        <f t="shared" ref="S211" si="118">((N211-G211)/G211)</f>
        <v>-0.1123747697746062</v>
      </c>
      <c r="T211" s="60">
        <f t="shared" ref="T211" si="119">((O211-H211)/H211)</f>
        <v>0</v>
      </c>
      <c r="U211" s="60">
        <f t="shared" ref="U211" si="120">P211-I211</f>
        <v>-9.9400000000000002E-2</v>
      </c>
      <c r="V211" s="61">
        <f t="shared" ref="V211" si="121">Q211-J211</f>
        <v>-0.10960000000000002</v>
      </c>
    </row>
    <row r="212" spans="1:22">
      <c r="A212" s="153">
        <v>178</v>
      </c>
      <c r="B212" s="140" t="s">
        <v>297</v>
      </c>
      <c r="C212" s="141" t="s">
        <v>298</v>
      </c>
      <c r="D212" s="31">
        <v>40793332.196575299</v>
      </c>
      <c r="E212" s="32">
        <f t="shared" ref="E212" si="122">(D212/$D$213)</f>
        <v>7.4874326679245831E-4</v>
      </c>
      <c r="F212" s="37">
        <v>99.48</v>
      </c>
      <c r="G212" s="37">
        <v>101.535202</v>
      </c>
      <c r="H212" s="34">
        <v>133</v>
      </c>
      <c r="I212" s="53">
        <v>1.54E-2</v>
      </c>
      <c r="J212" s="53">
        <v>1.54E-2</v>
      </c>
      <c r="K212" s="31">
        <v>41642877.049315102</v>
      </c>
      <c r="L212" s="32">
        <f t="shared" ref="L212" si="123">(K212/$K$213)</f>
        <v>7.6658600530111142E-4</v>
      </c>
      <c r="M212" s="37">
        <v>99.74</v>
      </c>
      <c r="N212" s="37">
        <v>101.797854</v>
      </c>
      <c r="O212" s="34">
        <v>136</v>
      </c>
      <c r="P212" s="53">
        <v>5.0000000000000001E-4</v>
      </c>
      <c r="Q212" s="53">
        <v>5.0000000000000001E-4</v>
      </c>
      <c r="R212" s="60">
        <f t="shared" ref="R212" si="124">((K212-D212)/D212)</f>
        <v>2.0825581216214667E-2</v>
      </c>
      <c r="S212" s="60">
        <f t="shared" ref="S212" si="125">((N212-G212)/G212)</f>
        <v>2.5868072828574545E-3</v>
      </c>
      <c r="T212" s="60">
        <f t="shared" ref="T212" si="126">((O212-H212)/H212)</f>
        <v>2.2556390977443608E-2</v>
      </c>
      <c r="U212" s="60">
        <f t="shared" ref="U212" si="127">P212-I212</f>
        <v>-1.49E-2</v>
      </c>
      <c r="V212" s="61">
        <f t="shared" ref="V212" si="128">Q212-J212</f>
        <v>-1.49E-2</v>
      </c>
    </row>
    <row r="213" spans="1:22">
      <c r="A213" s="38"/>
      <c r="B213" s="39"/>
      <c r="C213" s="74" t="s">
        <v>53</v>
      </c>
      <c r="D213" s="51">
        <f>SUM(D192:D212)</f>
        <v>54482402721.736488</v>
      </c>
      <c r="E213" s="42">
        <f>(D213/$D$214)</f>
        <v>1.2760684615197537E-2</v>
      </c>
      <c r="F213" s="43"/>
      <c r="G213" s="77"/>
      <c r="H213" s="87">
        <f>SUM(H192:H212)</f>
        <v>30843</v>
      </c>
      <c r="I213" s="84"/>
      <c r="J213" s="84"/>
      <c r="K213" s="51">
        <f>SUM(K192:K212)</f>
        <v>54322511448.611656</v>
      </c>
      <c r="L213" s="42">
        <f>(K213/$K$214)</f>
        <v>1.2620090244309962E-2</v>
      </c>
      <c r="M213" s="43"/>
      <c r="N213" s="77"/>
      <c r="O213" s="45">
        <f>SUM(O192:O212)</f>
        <v>30888</v>
      </c>
      <c r="P213" s="84"/>
      <c r="Q213" s="84"/>
      <c r="R213" s="60">
        <f t="shared" si="104"/>
        <v>-2.934732411517552E-3</v>
      </c>
      <c r="S213" s="60" t="e">
        <f t="shared" si="105"/>
        <v>#DIV/0!</v>
      </c>
      <c r="T213" s="60">
        <f t="shared" si="106"/>
        <v>1.4590020426028597E-3</v>
      </c>
      <c r="U213" s="60">
        <f t="shared" si="107"/>
        <v>0</v>
      </c>
      <c r="V213" s="61">
        <f t="shared" si="108"/>
        <v>0</v>
      </c>
    </row>
    <row r="214" spans="1:22">
      <c r="A214" s="88"/>
      <c r="B214" s="88"/>
      <c r="C214" s="89" t="s">
        <v>252</v>
      </c>
      <c r="D214" s="90">
        <f>SUM(D25,D66,D106,D143,D151,D182,D188,D213)</f>
        <v>4269551702331.8496</v>
      </c>
      <c r="E214" s="91"/>
      <c r="F214" s="91"/>
      <c r="G214" s="92"/>
      <c r="H214" s="90">
        <f>SUM(H25,H66,H106,H143,H151,H182,H188,H213)</f>
        <v>832118</v>
      </c>
      <c r="I214" s="114"/>
      <c r="J214" s="114"/>
      <c r="K214" s="90">
        <f>SUM(K25,K66,K106,K143,K151,K182,K188,K213)</f>
        <v>4304447147127.5039</v>
      </c>
      <c r="L214" s="91"/>
      <c r="M214" s="91"/>
      <c r="N214" s="92"/>
      <c r="O214" s="90">
        <f>SUM(O25,O66,O106,O143,O151,O182,O188,O213)</f>
        <v>835127</v>
      </c>
      <c r="P214" s="115"/>
      <c r="Q214" s="90"/>
      <c r="R214" s="121">
        <f t="shared" si="104"/>
        <v>8.1730933897804468E-3</v>
      </c>
      <c r="S214" s="121"/>
      <c r="T214" s="121"/>
      <c r="U214" s="121"/>
      <c r="V214" s="121"/>
    </row>
    <row r="215" spans="1:22" ht="6.75" customHeight="1">
      <c r="A215" s="38"/>
      <c r="B215" s="160"/>
      <c r="C215" s="160"/>
      <c r="D215" s="160"/>
      <c r="E215" s="160"/>
      <c r="F215" s="160"/>
      <c r="G215" s="160"/>
      <c r="H215" s="160"/>
      <c r="I215" s="160"/>
      <c r="J215" s="160"/>
      <c r="K215" s="160"/>
      <c r="L215" s="160"/>
      <c r="M215" s="160"/>
      <c r="N215" s="160"/>
      <c r="O215" s="160"/>
      <c r="P215" s="160"/>
      <c r="Q215" s="160"/>
      <c r="R215" s="160"/>
      <c r="S215" s="160"/>
      <c r="T215" s="160"/>
      <c r="U215" s="160"/>
      <c r="V215" s="39"/>
    </row>
    <row r="216" spans="1:22" ht="14.4" customHeight="1">
      <c r="A216" s="157" t="s">
        <v>253</v>
      </c>
      <c r="B216" s="158"/>
      <c r="C216" s="158"/>
      <c r="D216" s="158"/>
      <c r="E216" s="158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  <c r="R216" s="158"/>
      <c r="S216" s="158"/>
      <c r="T216" s="158"/>
      <c r="U216" s="158"/>
      <c r="V216" s="158"/>
    </row>
    <row r="217" spans="1:22" ht="14.4" customHeight="1">
      <c r="A217" s="143">
        <v>1</v>
      </c>
      <c r="B217" s="140" t="s">
        <v>254</v>
      </c>
      <c r="C217" s="141" t="s">
        <v>190</v>
      </c>
      <c r="D217" s="31">
        <v>3872245212.81037</v>
      </c>
      <c r="E217" s="32">
        <f t="shared" ref="E217" si="129">(D217/$D$213)</f>
        <v>7.1073319445683805E-2</v>
      </c>
      <c r="F217" s="37">
        <v>123.2</v>
      </c>
      <c r="G217" s="37">
        <v>123.2</v>
      </c>
      <c r="H217" s="34">
        <v>9</v>
      </c>
      <c r="I217" s="53">
        <v>0.32349037170483003</v>
      </c>
      <c r="J217" s="53">
        <v>0.23131300801476501</v>
      </c>
      <c r="K217" s="31">
        <v>3896791158.0052099</v>
      </c>
      <c r="L217" s="32">
        <f>(K217/$K$219)</f>
        <v>0.25842643276139021</v>
      </c>
      <c r="M217" s="37">
        <v>123.2</v>
      </c>
      <c r="N217" s="37">
        <v>123.2</v>
      </c>
      <c r="O217" s="34">
        <v>9</v>
      </c>
      <c r="P217" s="53">
        <v>0.32145270106430501</v>
      </c>
      <c r="Q217" s="53">
        <v>0.224438483320892</v>
      </c>
      <c r="R217" s="60">
        <f t="shared" ref="R217" si="130">((K217-D217)/D217)</f>
        <v>6.3389439061440987E-3</v>
      </c>
      <c r="S217" s="60">
        <f t="shared" ref="S217" si="131">((N217-G217)/G217)</f>
        <v>0</v>
      </c>
      <c r="T217" s="60">
        <f t="shared" ref="T217" si="132">((O217-H217)/H217)</f>
        <v>0</v>
      </c>
      <c r="U217" s="60">
        <f t="shared" ref="U217" si="133">P217-I217</f>
        <v>-2.0376706405250133E-3</v>
      </c>
      <c r="V217" s="61">
        <f t="shared" ref="V217" si="134">Q217-J217</f>
        <v>-6.8745246938730076E-3</v>
      </c>
    </row>
    <row r="218" spans="1:22" ht="14.4" customHeight="1">
      <c r="A218" s="143">
        <v>2</v>
      </c>
      <c r="B218" s="140" t="s">
        <v>305</v>
      </c>
      <c r="C218" s="141" t="s">
        <v>41</v>
      </c>
      <c r="D218" s="31">
        <v>11144980566.49</v>
      </c>
      <c r="E218" s="32">
        <f t="shared" ref="E218" si="135">(D218/$D$213)</f>
        <v>0.20456110615040038</v>
      </c>
      <c r="F218" s="37">
        <v>1.07</v>
      </c>
      <c r="G218" s="37">
        <v>1.07</v>
      </c>
      <c r="H218" s="34">
        <v>16</v>
      </c>
      <c r="I218" s="53">
        <v>4.0000000000000001E-3</v>
      </c>
      <c r="J218" s="53">
        <v>0.21329999999999999</v>
      </c>
      <c r="K218" s="31">
        <v>11182127497.360001</v>
      </c>
      <c r="L218" s="32">
        <f>(K218/$K$219)</f>
        <v>0.74157356723860979</v>
      </c>
      <c r="M218" s="37">
        <v>1.07</v>
      </c>
      <c r="N218" s="37">
        <v>1.07</v>
      </c>
      <c r="O218" s="34">
        <v>16</v>
      </c>
      <c r="P218" s="53">
        <v>3.3E-3</v>
      </c>
      <c r="Q218" s="53">
        <v>0.20860000000000001</v>
      </c>
      <c r="R218" s="60">
        <f t="shared" ref="R218:R219" si="136">((K218-D218)/D218)</f>
        <v>3.3330637634032137E-3</v>
      </c>
      <c r="S218" s="60">
        <f t="shared" ref="S218" si="137">((N218-G218)/G218)</f>
        <v>0</v>
      </c>
      <c r="T218" s="60">
        <f t="shared" ref="T218" si="138">((O218-H218)/H218)</f>
        <v>0</v>
      </c>
      <c r="U218" s="60">
        <f t="shared" ref="U218" si="139">P218-I218</f>
        <v>-7.000000000000001E-4</v>
      </c>
      <c r="V218" s="61">
        <f t="shared" ref="V218" si="140">Q218-J218</f>
        <v>-4.699999999999982E-3</v>
      </c>
    </row>
    <row r="219" spans="1:22" ht="14.4" customHeight="1">
      <c r="A219" s="93"/>
      <c r="B219" s="93"/>
      <c r="C219" s="93" t="s">
        <v>53</v>
      </c>
      <c r="D219" s="93">
        <f>SUM(D217:D218)</f>
        <v>15017225779.300369</v>
      </c>
      <c r="E219" s="93"/>
      <c r="F219" s="93"/>
      <c r="G219" s="93"/>
      <c r="H219" s="93">
        <f>SUM(H217:H218)</f>
        <v>25</v>
      </c>
      <c r="I219" s="93"/>
      <c r="J219" s="93"/>
      <c r="K219" s="93">
        <f>SUM(K217:K218)</f>
        <v>15078918655.365211</v>
      </c>
      <c r="L219" s="42"/>
      <c r="M219" s="93"/>
      <c r="N219" s="93"/>
      <c r="O219" s="93">
        <f>SUM(O217:O218)</f>
        <v>25</v>
      </c>
      <c r="P219" s="93"/>
      <c r="Q219" s="93"/>
      <c r="R219" s="121">
        <f t="shared" si="136"/>
        <v>4.108140676014822E-3</v>
      </c>
      <c r="S219" s="93"/>
      <c r="T219" s="93"/>
      <c r="U219" s="93"/>
      <c r="V219" s="93"/>
    </row>
    <row r="220" spans="1:22" ht="6" customHeight="1">
      <c r="A220" s="38"/>
      <c r="B220" s="46"/>
      <c r="C220" s="74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39"/>
    </row>
    <row r="221" spans="1:22" ht="15.6">
      <c r="A221" s="158" t="s">
        <v>255</v>
      </c>
      <c r="B221" s="158"/>
      <c r="C221" s="158"/>
      <c r="D221" s="158"/>
      <c r="E221" s="158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  <c r="R221" s="158"/>
      <c r="S221" s="158"/>
      <c r="T221" s="158"/>
      <c r="U221" s="158"/>
      <c r="V221" s="158"/>
    </row>
    <row r="222" spans="1:22">
      <c r="A222" s="143">
        <v>1</v>
      </c>
      <c r="B222" s="140" t="s">
        <v>256</v>
      </c>
      <c r="C222" s="141" t="s">
        <v>257</v>
      </c>
      <c r="D222" s="31">
        <v>117431274879</v>
      </c>
      <c r="E222" s="32">
        <f>(D222/$D$224)</f>
        <v>0.8999395547901855</v>
      </c>
      <c r="F222" s="63">
        <v>111.28</v>
      </c>
      <c r="G222" s="63">
        <v>111.28</v>
      </c>
      <c r="H222" s="34">
        <v>0</v>
      </c>
      <c r="I222" s="53">
        <v>0.23899999999999999</v>
      </c>
      <c r="J222" s="53">
        <v>0.23899999999999999</v>
      </c>
      <c r="K222" s="31">
        <v>117431274879</v>
      </c>
      <c r="L222" s="32">
        <f>(K222/$K$224)</f>
        <v>0.89960658394581094</v>
      </c>
      <c r="M222" s="63">
        <v>111.28</v>
      </c>
      <c r="N222" s="63">
        <v>111.28</v>
      </c>
      <c r="O222" s="34">
        <v>0</v>
      </c>
      <c r="P222" s="53">
        <v>0.23899999999999999</v>
      </c>
      <c r="Q222" s="53">
        <v>0.23899999999999999</v>
      </c>
      <c r="R222" s="60">
        <f>((K222-D222)/D222)</f>
        <v>0</v>
      </c>
      <c r="S222" s="60">
        <f>((N222-G222)/G222)</f>
        <v>0</v>
      </c>
      <c r="T222" s="60" t="e">
        <f>((O222-H222)/H222)</f>
        <v>#DIV/0!</v>
      </c>
      <c r="U222" s="60">
        <f>P222-I222</f>
        <v>0</v>
      </c>
      <c r="V222" s="61">
        <f>Q222-J222</f>
        <v>0</v>
      </c>
    </row>
    <row r="223" spans="1:22">
      <c r="A223" s="143">
        <v>2</v>
      </c>
      <c r="B223" s="140" t="s">
        <v>258</v>
      </c>
      <c r="C223" s="141" t="s">
        <v>52</v>
      </c>
      <c r="D223" s="31">
        <v>13056683177.67</v>
      </c>
      <c r="E223" s="32">
        <f>(D223/$D$224)</f>
        <v>0.1000604452098145</v>
      </c>
      <c r="F223" s="94">
        <v>1000000</v>
      </c>
      <c r="G223" s="94">
        <v>1000000</v>
      </c>
      <c r="H223" s="34">
        <v>26</v>
      </c>
      <c r="I223" s="53">
        <v>0.2288</v>
      </c>
      <c r="J223" s="53">
        <v>0.2288</v>
      </c>
      <c r="K223" s="31">
        <v>13104980607.18</v>
      </c>
      <c r="L223" s="32">
        <f>(K223/$K$224)</f>
        <v>0.10039341605418917</v>
      </c>
      <c r="M223" s="94">
        <v>1000000</v>
      </c>
      <c r="N223" s="94">
        <v>1000000</v>
      </c>
      <c r="O223" s="34">
        <v>26</v>
      </c>
      <c r="P223" s="53">
        <v>0.2261</v>
      </c>
      <c r="Q223" s="53">
        <v>0.2261</v>
      </c>
      <c r="R223" s="60">
        <f>((K223-D223)/D223)</f>
        <v>3.6990580879376926E-3</v>
      </c>
      <c r="S223" s="60">
        <f>((N223-G223)/G223)</f>
        <v>0</v>
      </c>
      <c r="T223" s="60">
        <f>((O223-H223)/H223)</f>
        <v>0</v>
      </c>
      <c r="U223" s="60">
        <f>P223-I223</f>
        <v>-2.7000000000000079E-3</v>
      </c>
      <c r="V223" s="61">
        <f>Q223-J223</f>
        <v>-2.7000000000000079E-3</v>
      </c>
    </row>
    <row r="224" spans="1:22">
      <c r="A224" s="88"/>
      <c r="B224" s="88"/>
      <c r="C224" s="89" t="s">
        <v>259</v>
      </c>
      <c r="D224" s="93">
        <f>SUM(D222:D223)</f>
        <v>130487958056.67</v>
      </c>
      <c r="E224" s="95"/>
      <c r="F224" s="96"/>
      <c r="G224" s="96"/>
      <c r="H224" s="93">
        <f>SUM(H222:H223)</f>
        <v>26</v>
      </c>
      <c r="I224" s="116"/>
      <c r="J224" s="116"/>
      <c r="K224" s="93">
        <f>SUM(K222:K223)</f>
        <v>130536255486.17999</v>
      </c>
      <c r="L224" s="95"/>
      <c r="M224" s="96"/>
      <c r="N224" s="96"/>
      <c r="O224" s="93">
        <f>SUM(O222:O223)</f>
        <v>26</v>
      </c>
      <c r="P224" s="116"/>
      <c r="Q224" s="93"/>
      <c r="R224" s="121">
        <f>((K224-D224)/D224)</f>
        <v>3.7012939913596681E-4</v>
      </c>
      <c r="S224" s="122"/>
      <c r="T224" s="122"/>
      <c r="U224" s="121"/>
      <c r="V224" s="123"/>
    </row>
    <row r="225" spans="1:26" ht="4.5" customHeight="1">
      <c r="A225" s="38"/>
      <c r="B225" s="159"/>
      <c r="C225" s="159"/>
      <c r="D225" s="159"/>
      <c r="E225" s="159"/>
      <c r="F225" s="159"/>
      <c r="G225" s="159"/>
      <c r="H225" s="159"/>
      <c r="I225" s="159"/>
      <c r="J225" s="159"/>
      <c r="K225" s="159"/>
      <c r="L225" s="159"/>
      <c r="M225" s="159"/>
      <c r="N225" s="159"/>
      <c r="O225" s="159"/>
      <c r="P225" s="159"/>
      <c r="Q225" s="159"/>
      <c r="R225" s="159"/>
      <c r="S225" s="159"/>
      <c r="T225" s="159"/>
      <c r="U225" s="159"/>
      <c r="V225" s="159"/>
    </row>
    <row r="226" spans="1:26" ht="15.6">
      <c r="A226" s="158" t="s">
        <v>260</v>
      </c>
      <c r="B226" s="158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  <c r="R226" s="158"/>
      <c r="S226" s="158"/>
      <c r="T226" s="158"/>
      <c r="U226" s="158"/>
      <c r="V226" s="158"/>
    </row>
    <row r="227" spans="1:26">
      <c r="A227" s="143">
        <v>1</v>
      </c>
      <c r="B227" s="140" t="s">
        <v>261</v>
      </c>
      <c r="C227" s="141" t="s">
        <v>82</v>
      </c>
      <c r="D227" s="97">
        <v>1033498968.76</v>
      </c>
      <c r="E227" s="98">
        <f t="shared" ref="E227:E238" si="141">(D227/$D$239)</f>
        <v>7.5097861555781298E-2</v>
      </c>
      <c r="F227" s="94">
        <v>235.03</v>
      </c>
      <c r="G227" s="94">
        <v>234.07</v>
      </c>
      <c r="H227" s="99">
        <v>61</v>
      </c>
      <c r="I227" s="55">
        <v>2.29E-2</v>
      </c>
      <c r="J227" s="55">
        <v>4.8300000000000003E-2</v>
      </c>
      <c r="K227" s="97">
        <v>1027847548.51</v>
      </c>
      <c r="L227" s="98">
        <f t="shared" ref="L227:L238" si="142">(K227/$K$239)</f>
        <v>7.4714356794431877E-2</v>
      </c>
      <c r="M227" s="94">
        <v>235.03</v>
      </c>
      <c r="N227" s="94">
        <v>234.07</v>
      </c>
      <c r="O227" s="99">
        <v>61</v>
      </c>
      <c r="P227" s="55">
        <v>3.05918393396587E-2</v>
      </c>
      <c r="Q227" s="55">
        <v>5.6161158105868969E-2</v>
      </c>
      <c r="R227" s="60">
        <f>((K227-D227)/D227)</f>
        <v>-5.4682398539600066E-3</v>
      </c>
      <c r="S227" s="60">
        <f>((N227-G227)/G227)</f>
        <v>0</v>
      </c>
      <c r="T227" s="60">
        <f>((O227-H227)/H227)</f>
        <v>0</v>
      </c>
      <c r="U227" s="60">
        <f>P227-I227</f>
        <v>7.6918393396586994E-3</v>
      </c>
      <c r="V227" s="61">
        <f>Q227-J227</f>
        <v>7.8611581058689664E-3</v>
      </c>
    </row>
    <row r="228" spans="1:26">
      <c r="A228" s="143">
        <v>2</v>
      </c>
      <c r="B228" s="140" t="s">
        <v>262</v>
      </c>
      <c r="C228" s="141" t="s">
        <v>234</v>
      </c>
      <c r="D228" s="97">
        <v>1167991826.4000001</v>
      </c>
      <c r="E228" s="98">
        <f t="shared" si="141"/>
        <v>8.4870610545950423E-2</v>
      </c>
      <c r="F228" s="94">
        <v>33.22</v>
      </c>
      <c r="G228" s="94">
        <v>36.72</v>
      </c>
      <c r="H228" s="99">
        <v>220</v>
      </c>
      <c r="I228" s="55">
        <v>2.1899999999999999E-2</v>
      </c>
      <c r="J228" s="55">
        <v>8.3299999999999999E-2</v>
      </c>
      <c r="K228" s="97">
        <v>1183938099.9400001</v>
      </c>
      <c r="L228" s="98">
        <f t="shared" si="142"/>
        <v>8.6060596972449069E-2</v>
      </c>
      <c r="M228" s="94">
        <v>33.67</v>
      </c>
      <c r="N228" s="94">
        <v>37.22</v>
      </c>
      <c r="O228" s="99">
        <v>220</v>
      </c>
      <c r="P228" s="55">
        <v>1.37E-2</v>
      </c>
      <c r="Q228" s="55">
        <v>9.8100000000000007E-2</v>
      </c>
      <c r="R228" s="60">
        <f t="shared" ref="R228:R239" si="143">((K228-D228)/D228)</f>
        <v>1.3652726996514845E-2</v>
      </c>
      <c r="S228" s="60">
        <f t="shared" ref="S228:S239" si="144">((N228-G228)/G228)</f>
        <v>1.3616557734204794E-2</v>
      </c>
      <c r="T228" s="60">
        <f t="shared" ref="T228:T239" si="145">((O228-H228)/H228)</f>
        <v>0</v>
      </c>
      <c r="U228" s="60">
        <f t="shared" ref="U228:U239" si="146">P228-I228</f>
        <v>-8.199999999999999E-3</v>
      </c>
      <c r="V228" s="61">
        <f t="shared" ref="V228:V239" si="147">Q228-J228</f>
        <v>1.4800000000000008E-2</v>
      </c>
    </row>
    <row r="229" spans="1:26">
      <c r="A229" s="143">
        <v>3</v>
      </c>
      <c r="B229" s="140" t="s">
        <v>263</v>
      </c>
      <c r="C229" s="141" t="s">
        <v>43</v>
      </c>
      <c r="D229" s="97">
        <v>433378067.75</v>
      </c>
      <c r="E229" s="98">
        <f t="shared" si="141"/>
        <v>3.1490854966454554E-2</v>
      </c>
      <c r="F229" s="94">
        <v>32.334660999999997</v>
      </c>
      <c r="G229" s="94">
        <v>32.754964999999999</v>
      </c>
      <c r="H229" s="99">
        <v>167</v>
      </c>
      <c r="I229" s="55">
        <v>-7.0307944629028896E-3</v>
      </c>
      <c r="J229" s="55">
        <v>0.13068208635172729</v>
      </c>
      <c r="K229" s="97">
        <v>423669135.93000001</v>
      </c>
      <c r="L229" s="98">
        <f t="shared" si="142"/>
        <v>3.0796558332555787E-2</v>
      </c>
      <c r="M229" s="94">
        <v>31.61027</v>
      </c>
      <c r="N229" s="94">
        <v>32.050800000000002</v>
      </c>
      <c r="O229" s="99">
        <v>167</v>
      </c>
      <c r="P229" s="55">
        <v>-2.2402914550813668E-2</v>
      </c>
      <c r="Q229" s="55">
        <v>0.10535151218705385</v>
      </c>
      <c r="R229" s="60">
        <f t="shared" si="143"/>
        <v>-2.2402914550813682E-2</v>
      </c>
      <c r="S229" s="60">
        <f t="shared" si="144"/>
        <v>-2.1497962217330906E-2</v>
      </c>
      <c r="T229" s="60">
        <f t="shared" si="145"/>
        <v>0</v>
      </c>
      <c r="U229" s="60">
        <f t="shared" si="146"/>
        <v>-1.5372120087910779E-2</v>
      </c>
      <c r="V229" s="61">
        <f t="shared" si="147"/>
        <v>-2.5330574164673436E-2</v>
      </c>
    </row>
    <row r="230" spans="1:26">
      <c r="A230" s="143">
        <v>4</v>
      </c>
      <c r="B230" s="140" t="s">
        <v>264</v>
      </c>
      <c r="C230" s="141" t="s">
        <v>43</v>
      </c>
      <c r="D230" s="97">
        <v>946881813.55000007</v>
      </c>
      <c r="E230" s="98">
        <f t="shared" si="141"/>
        <v>6.8803938361914285E-2</v>
      </c>
      <c r="F230" s="94">
        <v>71.052587000000003</v>
      </c>
      <c r="G230" s="94">
        <v>71.619685000000004</v>
      </c>
      <c r="H230" s="99">
        <v>99</v>
      </c>
      <c r="I230" s="55">
        <v>1.3008381247368028E-3</v>
      </c>
      <c r="J230" s="55">
        <v>7.1066224500952568E-2</v>
      </c>
      <c r="K230" s="97">
        <v>925717645.06000006</v>
      </c>
      <c r="L230" s="98">
        <f t="shared" si="142"/>
        <v>6.7290522338820546E-2</v>
      </c>
      <c r="M230" s="94">
        <v>69.464460000000003</v>
      </c>
      <c r="N230" s="94">
        <v>70.055481</v>
      </c>
      <c r="O230" s="99">
        <v>99</v>
      </c>
      <c r="P230" s="55">
        <v>-2.2351436248049139E-2</v>
      </c>
      <c r="Q230" s="55">
        <v>4.7126356066580888E-2</v>
      </c>
      <c r="R230" s="60">
        <f t="shared" si="143"/>
        <v>-2.2351436248049174E-2</v>
      </c>
      <c r="S230" s="60">
        <f t="shared" si="144"/>
        <v>-2.1840419990677196E-2</v>
      </c>
      <c r="T230" s="60">
        <f t="shared" si="145"/>
        <v>0</v>
      </c>
      <c r="U230" s="60">
        <f t="shared" si="146"/>
        <v>-2.3652274372785942E-2</v>
      </c>
      <c r="V230" s="61">
        <f t="shared" si="147"/>
        <v>-2.3939868434371681E-2</v>
      </c>
    </row>
    <row r="231" spans="1:26">
      <c r="A231" s="143">
        <v>5</v>
      </c>
      <c r="B231" s="140" t="s">
        <v>265</v>
      </c>
      <c r="C231" s="141" t="s">
        <v>266</v>
      </c>
      <c r="D231" s="97">
        <v>1383090240.2172139</v>
      </c>
      <c r="E231" s="98">
        <f t="shared" si="141"/>
        <v>0.1005004576865763</v>
      </c>
      <c r="F231" s="94">
        <v>40000</v>
      </c>
      <c r="G231" s="94">
        <v>43000</v>
      </c>
      <c r="H231" s="99">
        <v>225</v>
      </c>
      <c r="I231" s="55">
        <v>0.02</v>
      </c>
      <c r="J231" s="55">
        <v>0.1</v>
      </c>
      <c r="K231" s="97">
        <v>1378053546.8699999</v>
      </c>
      <c r="L231" s="98">
        <f t="shared" si="142"/>
        <v>0.10017087118798125</v>
      </c>
      <c r="M231" s="94">
        <v>40000</v>
      </c>
      <c r="N231" s="94">
        <v>42200</v>
      </c>
      <c r="O231" s="99">
        <v>225</v>
      </c>
      <c r="P231" s="55">
        <v>-4.0000000000000001E-3</v>
      </c>
      <c r="Q231" s="55">
        <v>0.1</v>
      </c>
      <c r="R231" s="60">
        <f t="shared" si="143"/>
        <v>-3.6416230848559617E-3</v>
      </c>
      <c r="S231" s="60">
        <f t="shared" si="144"/>
        <v>-1.8604651162790697E-2</v>
      </c>
      <c r="T231" s="60">
        <f t="shared" si="145"/>
        <v>0</v>
      </c>
      <c r="U231" s="60">
        <f t="shared" si="146"/>
        <v>-2.4E-2</v>
      </c>
      <c r="V231" s="61">
        <f t="shared" si="147"/>
        <v>0</v>
      </c>
    </row>
    <row r="232" spans="1:26">
      <c r="A232" s="143">
        <v>6</v>
      </c>
      <c r="B232" s="140" t="s">
        <v>267</v>
      </c>
      <c r="C232" s="141" t="s">
        <v>268</v>
      </c>
      <c r="D232" s="97">
        <v>1080515052.53</v>
      </c>
      <c r="E232" s="98">
        <f t="shared" si="141"/>
        <v>7.8514224277546521E-2</v>
      </c>
      <c r="F232" s="94">
        <v>695</v>
      </c>
      <c r="G232" s="94">
        <v>695</v>
      </c>
      <c r="H232" s="99">
        <v>132</v>
      </c>
      <c r="I232" s="55">
        <v>7.7000000000000002E-3</v>
      </c>
      <c r="J232" s="55">
        <v>0.1158</v>
      </c>
      <c r="K232" s="97">
        <v>1068375228.05</v>
      </c>
      <c r="L232" s="98">
        <f t="shared" si="142"/>
        <v>7.7660318492342659E-2</v>
      </c>
      <c r="M232" s="94">
        <v>564</v>
      </c>
      <c r="N232" s="94">
        <v>564</v>
      </c>
      <c r="O232" s="99">
        <v>132</v>
      </c>
      <c r="P232" s="55">
        <v>-1.1299999999999999E-2</v>
      </c>
      <c r="Q232" s="55">
        <v>0.10349999999999999</v>
      </c>
      <c r="R232" s="60">
        <f t="shared" si="143"/>
        <v>-1.1235220140223788E-2</v>
      </c>
      <c r="S232" s="60">
        <f t="shared" si="144"/>
        <v>-0.18848920863309351</v>
      </c>
      <c r="T232" s="60">
        <f t="shared" si="145"/>
        <v>0</v>
      </c>
      <c r="U232" s="60">
        <f t="shared" si="146"/>
        <v>-1.9E-2</v>
      </c>
      <c r="V232" s="61">
        <f t="shared" si="147"/>
        <v>-1.2300000000000005E-2</v>
      </c>
    </row>
    <row r="233" spans="1:26">
      <c r="A233" s="143">
        <v>7</v>
      </c>
      <c r="B233" s="140" t="s">
        <v>269</v>
      </c>
      <c r="C233" s="141" t="s">
        <v>268</v>
      </c>
      <c r="D233" s="97">
        <v>887571795.77999997</v>
      </c>
      <c r="E233" s="98">
        <f t="shared" si="141"/>
        <v>6.4494252877944816E-2</v>
      </c>
      <c r="F233" s="94">
        <v>490</v>
      </c>
      <c r="G233" s="94">
        <v>490</v>
      </c>
      <c r="H233" s="99">
        <v>621</v>
      </c>
      <c r="I233" s="55">
        <v>2.3400000000000001E-2</v>
      </c>
      <c r="J233" s="55">
        <v>5.9900000000000002E-2</v>
      </c>
      <c r="K233" s="97">
        <v>893302240.83000004</v>
      </c>
      <c r="L233" s="98">
        <f t="shared" si="142"/>
        <v>6.493424286840023E-2</v>
      </c>
      <c r="M233" s="94">
        <v>405</v>
      </c>
      <c r="N233" s="94">
        <v>405</v>
      </c>
      <c r="O233" s="99">
        <v>621</v>
      </c>
      <c r="P233" s="55">
        <v>6.4000000000000003E-3</v>
      </c>
      <c r="Q233" s="55">
        <v>6.6600000000000006E-2</v>
      </c>
      <c r="R233" s="60">
        <f t="shared" si="143"/>
        <v>6.4563171985023973E-3</v>
      </c>
      <c r="S233" s="60">
        <f t="shared" si="144"/>
        <v>-0.17346938775510204</v>
      </c>
      <c r="T233" s="60">
        <f t="shared" si="145"/>
        <v>0</v>
      </c>
      <c r="U233" s="60">
        <f t="shared" si="146"/>
        <v>-1.7000000000000001E-2</v>
      </c>
      <c r="V233" s="61">
        <f t="shared" si="147"/>
        <v>6.7000000000000046E-3</v>
      </c>
    </row>
    <row r="234" spans="1:26">
      <c r="A234" s="143">
        <v>8</v>
      </c>
      <c r="B234" s="140" t="s">
        <v>270</v>
      </c>
      <c r="C234" s="141" t="s">
        <v>271</v>
      </c>
      <c r="D234" s="97">
        <v>59700274.530000001</v>
      </c>
      <c r="E234" s="98">
        <f t="shared" si="141"/>
        <v>4.3380429850600139E-3</v>
      </c>
      <c r="F234" s="94">
        <v>17.28</v>
      </c>
      <c r="G234" s="94">
        <v>17.38</v>
      </c>
      <c r="H234" s="99">
        <v>72</v>
      </c>
      <c r="I234" s="55">
        <v>3.0700000000000002E-2</v>
      </c>
      <c r="J234" s="55">
        <v>7.2700000000000001E-2</v>
      </c>
      <c r="K234" s="97">
        <v>64168010.479999997</v>
      </c>
      <c r="L234" s="98">
        <f t="shared" si="142"/>
        <v>4.6643800792651492E-3</v>
      </c>
      <c r="M234" s="94">
        <v>18.41</v>
      </c>
      <c r="N234" s="94">
        <v>18.510000000000002</v>
      </c>
      <c r="O234" s="99">
        <v>72</v>
      </c>
      <c r="P234" s="55">
        <v>1.363E-2</v>
      </c>
      <c r="Q234" s="55">
        <v>9.01E-2</v>
      </c>
      <c r="R234" s="60">
        <f t="shared" si="143"/>
        <v>7.4836103940441892E-2</v>
      </c>
      <c r="S234" s="60">
        <f t="shared" si="144"/>
        <v>6.501726121979301E-2</v>
      </c>
      <c r="T234" s="60">
        <f t="shared" si="145"/>
        <v>0</v>
      </c>
      <c r="U234" s="60">
        <f t="shared" si="146"/>
        <v>-1.7070000000000002E-2</v>
      </c>
      <c r="V234" s="61">
        <f t="shared" si="147"/>
        <v>1.7399999999999999E-2</v>
      </c>
    </row>
    <row r="235" spans="1:26">
      <c r="A235" s="143">
        <v>9</v>
      </c>
      <c r="B235" s="140" t="s">
        <v>272</v>
      </c>
      <c r="C235" s="141" t="s">
        <v>271</v>
      </c>
      <c r="D235" s="100">
        <v>787973771.51999998</v>
      </c>
      <c r="E235" s="98">
        <f t="shared" si="141"/>
        <v>5.7257091677792957E-2</v>
      </c>
      <c r="F235" s="94">
        <v>12.38</v>
      </c>
      <c r="G235" s="94">
        <v>12.48</v>
      </c>
      <c r="H235" s="99">
        <v>117</v>
      </c>
      <c r="I235" s="55">
        <v>0.10639999999999999</v>
      </c>
      <c r="J235" s="55">
        <v>0.19270000000000001</v>
      </c>
      <c r="K235" s="100">
        <v>764253364.21000004</v>
      </c>
      <c r="L235" s="98">
        <f t="shared" si="142"/>
        <v>5.5553665149764474E-2</v>
      </c>
      <c r="M235" s="94">
        <v>11.98</v>
      </c>
      <c r="N235" s="94">
        <v>12.08</v>
      </c>
      <c r="O235" s="99">
        <v>117</v>
      </c>
      <c r="P235" s="55">
        <v>2.3800000000000002E-2</v>
      </c>
      <c r="Q235" s="55">
        <v>0.22109999999999999</v>
      </c>
      <c r="R235" s="60">
        <f t="shared" si="143"/>
        <v>-3.0103041709425581E-2</v>
      </c>
      <c r="S235" s="60">
        <f t="shared" si="144"/>
        <v>-3.2051282051282076E-2</v>
      </c>
      <c r="T235" s="60">
        <f t="shared" si="145"/>
        <v>0</v>
      </c>
      <c r="U235" s="60">
        <f t="shared" si="146"/>
        <v>-8.2599999999999993E-2</v>
      </c>
      <c r="V235" s="61">
        <f t="shared" si="147"/>
        <v>2.8399999999999981E-2</v>
      </c>
    </row>
    <row r="236" spans="1:26" ht="15" customHeight="1">
      <c r="A236" s="143">
        <v>10</v>
      </c>
      <c r="B236" s="140" t="s">
        <v>273</v>
      </c>
      <c r="C236" s="141" t="s">
        <v>271</v>
      </c>
      <c r="D236" s="97">
        <v>94376456.090000004</v>
      </c>
      <c r="E236" s="98">
        <f t="shared" si="141"/>
        <v>6.8577427242870826E-3</v>
      </c>
      <c r="F236" s="94">
        <v>128.97999999999999</v>
      </c>
      <c r="G236" s="94">
        <v>130.97999999999999</v>
      </c>
      <c r="H236" s="99">
        <v>300</v>
      </c>
      <c r="I236" s="55">
        <v>0.29409999999999997</v>
      </c>
      <c r="J236" s="55">
        <v>0.60980000000000001</v>
      </c>
      <c r="K236" s="97">
        <v>95935938.269999996</v>
      </c>
      <c r="L236" s="98">
        <f t="shared" si="142"/>
        <v>6.9735944126189013E-3</v>
      </c>
      <c r="M236" s="94">
        <v>131.13</v>
      </c>
      <c r="N236" s="94">
        <v>133.13</v>
      </c>
      <c r="O236" s="99">
        <v>300</v>
      </c>
      <c r="P236" s="55">
        <v>-0.2727</v>
      </c>
      <c r="Q236" s="55">
        <v>0.17069999999999999</v>
      </c>
      <c r="R236" s="60">
        <f t="shared" si="143"/>
        <v>1.6524059544181516E-2</v>
      </c>
      <c r="S236" s="60">
        <f t="shared" si="144"/>
        <v>1.6414719804550358E-2</v>
      </c>
      <c r="T236" s="60">
        <f t="shared" si="145"/>
        <v>0</v>
      </c>
      <c r="U236" s="60">
        <f t="shared" si="146"/>
        <v>-0.56679999999999997</v>
      </c>
      <c r="V236" s="61">
        <f t="shared" si="147"/>
        <v>-0.43910000000000005</v>
      </c>
    </row>
    <row r="237" spans="1:26">
      <c r="A237" s="143">
        <v>11</v>
      </c>
      <c r="B237" s="140" t="s">
        <v>274</v>
      </c>
      <c r="C237" s="141" t="s">
        <v>271</v>
      </c>
      <c r="D237" s="97">
        <v>5823619451.0100002</v>
      </c>
      <c r="E237" s="98">
        <f t="shared" si="141"/>
        <v>0.42316575101204951</v>
      </c>
      <c r="F237" s="94">
        <v>40.369999999999997</v>
      </c>
      <c r="G237" s="94">
        <v>40.57</v>
      </c>
      <c r="H237" s="99">
        <v>286</v>
      </c>
      <c r="I237" s="55">
        <v>0.01</v>
      </c>
      <c r="J237" s="55">
        <v>4.6300000000000001E-2</v>
      </c>
      <c r="K237" s="97">
        <v>5868442895.0100002</v>
      </c>
      <c r="L237" s="98">
        <f t="shared" si="142"/>
        <v>0.42657779056935707</v>
      </c>
      <c r="M237" s="94">
        <v>40.6</v>
      </c>
      <c r="N237" s="94">
        <v>40.799999999999997</v>
      </c>
      <c r="O237" s="99">
        <v>287</v>
      </c>
      <c r="P237" s="55">
        <v>4.2200000000000001E-2</v>
      </c>
      <c r="Q237" s="55">
        <v>9.0399999999999994E-2</v>
      </c>
      <c r="R237" s="60">
        <f t="shared" si="143"/>
        <v>7.6968360273311116E-3</v>
      </c>
      <c r="S237" s="60">
        <f t="shared" si="144"/>
        <v>5.6692137047078348E-3</v>
      </c>
      <c r="T237" s="60">
        <f t="shared" si="145"/>
        <v>3.4965034965034965E-3</v>
      </c>
      <c r="U237" s="60">
        <f t="shared" si="146"/>
        <v>3.2199999999999999E-2</v>
      </c>
      <c r="V237" s="61">
        <f t="shared" si="147"/>
        <v>4.4099999999999993E-2</v>
      </c>
    </row>
    <row r="238" spans="1:26">
      <c r="A238" s="143">
        <v>12</v>
      </c>
      <c r="B238" s="140" t="s">
        <v>275</v>
      </c>
      <c r="C238" s="141" t="s">
        <v>271</v>
      </c>
      <c r="D238" s="100">
        <v>63431550.729999997</v>
      </c>
      <c r="E238" s="98">
        <f t="shared" si="141"/>
        <v>4.6091713286423794E-3</v>
      </c>
      <c r="F238" s="94">
        <v>36.270000000000003</v>
      </c>
      <c r="G238" s="94">
        <v>36.47</v>
      </c>
      <c r="H238" s="99">
        <v>66</v>
      </c>
      <c r="I238" s="55">
        <v>1.2200000000000001E-2</v>
      </c>
      <c r="J238" s="55">
        <v>-8.3999999999999995E-3</v>
      </c>
      <c r="K238" s="100">
        <v>63325017.219999999</v>
      </c>
      <c r="L238" s="98">
        <f t="shared" si="142"/>
        <v>4.6031028020130475E-3</v>
      </c>
      <c r="M238" s="94">
        <v>36.29</v>
      </c>
      <c r="N238" s="94">
        <v>36.49</v>
      </c>
      <c r="O238" s="99">
        <v>66</v>
      </c>
      <c r="P238" s="55">
        <v>0</v>
      </c>
      <c r="Q238" s="55">
        <v>-8.3999999999999995E-3</v>
      </c>
      <c r="R238" s="60">
        <f t="shared" si="143"/>
        <v>-1.6795034769599732E-3</v>
      </c>
      <c r="S238" s="60">
        <f t="shared" si="144"/>
        <v>5.4839594187011589E-4</v>
      </c>
      <c r="T238" s="60">
        <f t="shared" si="145"/>
        <v>0</v>
      </c>
      <c r="U238" s="60">
        <f t="shared" si="146"/>
        <v>-1.2200000000000001E-2</v>
      </c>
      <c r="V238" s="61">
        <f t="shared" si="147"/>
        <v>0</v>
      </c>
    </row>
    <row r="239" spans="1:26">
      <c r="A239" s="134"/>
      <c r="B239" s="134"/>
      <c r="C239" s="135" t="s">
        <v>276</v>
      </c>
      <c r="D239" s="93">
        <f>SUM(D227:D238)</f>
        <v>13762029268.867212</v>
      </c>
      <c r="E239" s="95"/>
      <c r="F239" s="95"/>
      <c r="G239" s="96"/>
      <c r="H239" s="93">
        <f>SUM(H227:H238)</f>
        <v>2366</v>
      </c>
      <c r="I239" s="116"/>
      <c r="J239" s="116"/>
      <c r="K239" s="93">
        <f>SUM(K227:K238)</f>
        <v>13757028670.379999</v>
      </c>
      <c r="L239" s="95"/>
      <c r="M239" s="95"/>
      <c r="N239" s="96"/>
      <c r="O239" s="93">
        <f>SUM(O227:O238)</f>
        <v>2367</v>
      </c>
      <c r="P239" s="116"/>
      <c r="Q239" s="116"/>
      <c r="R239" s="60">
        <f t="shared" si="143"/>
        <v>-3.6336200058269074E-4</v>
      </c>
      <c r="S239" s="60" t="e">
        <f t="shared" si="144"/>
        <v>#DIV/0!</v>
      </c>
      <c r="T239" s="60">
        <f t="shared" si="145"/>
        <v>4.2265426880811494E-4</v>
      </c>
      <c r="U239" s="60">
        <f t="shared" si="146"/>
        <v>0</v>
      </c>
      <c r="V239" s="61">
        <f t="shared" si="147"/>
        <v>0</v>
      </c>
      <c r="Z239" s="68"/>
    </row>
    <row r="240" spans="1:26">
      <c r="A240" s="101"/>
      <c r="B240" s="101"/>
      <c r="C240" s="102" t="s">
        <v>277</v>
      </c>
      <c r="D240" s="103">
        <f>SUM(D214,D219,D224,D239)</f>
        <v>4428818915436.6875</v>
      </c>
      <c r="E240" s="104"/>
      <c r="F240" s="104"/>
      <c r="G240" s="105"/>
      <c r="H240" s="103">
        <f>SUM(H214,H219,H224,H239)</f>
        <v>834535</v>
      </c>
      <c r="I240" s="117"/>
      <c r="J240" s="117"/>
      <c r="K240" s="103">
        <f>SUM(K214,K219,K224,K239)</f>
        <v>4463819349939.4287</v>
      </c>
      <c r="L240" s="104"/>
      <c r="M240" s="104"/>
      <c r="N240" s="103"/>
      <c r="O240" s="103">
        <f>SUM(O214,O219,O224,O239)</f>
        <v>837545</v>
      </c>
      <c r="P240" s="118"/>
      <c r="Q240" s="103"/>
      <c r="R240" s="124"/>
      <c r="S240" s="125"/>
      <c r="T240" s="125"/>
      <c r="U240" s="126"/>
      <c r="V240" s="126"/>
      <c r="Z240" s="68"/>
    </row>
    <row r="241" spans="1:22">
      <c r="A241" s="106" t="s">
        <v>278</v>
      </c>
      <c r="B241" s="132" t="s">
        <v>309</v>
      </c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</row>
    <row r="242" spans="1:22">
      <c r="B242" s="131"/>
    </row>
    <row r="243" spans="1:22">
      <c r="B243" s="131"/>
      <c r="C243" s="108"/>
      <c r="D243" s="109"/>
      <c r="K243" s="109"/>
    </row>
    <row r="244" spans="1:22" ht="15">
      <c r="B244" s="110"/>
      <c r="C244" s="111"/>
      <c r="D244" s="112"/>
      <c r="F244" s="113"/>
      <c r="G244" s="113"/>
      <c r="I244" s="119"/>
      <c r="J244" s="120"/>
    </row>
    <row r="247" spans="1:22">
      <c r="B247" s="108"/>
    </row>
  </sheetData>
  <sheetProtection algorithmName="SHA-512" hashValue="YOeb6i6yTptvEaa2tFL4WhZcKlbPRT+DlW4WM9vbauhvhdAUY7FN6RbE6xDovi5YpSk7GG5wYBzhkKE2dwPSgA==" saltValue="fZOU4R6I1Zh6AQJw05BGsA==" spinCount="100000" sheet="1" objects="1" scenarios="1"/>
  <sortState ref="A150:C177">
    <sortCondition descending="1" ref="A149"/>
  </sortState>
  <mergeCells count="34">
    <mergeCell ref="A1:V1"/>
    <mergeCell ref="D2:J2"/>
    <mergeCell ref="K2:Q2"/>
    <mergeCell ref="R2:T2"/>
    <mergeCell ref="U2:V2"/>
    <mergeCell ref="B4:V4"/>
    <mergeCell ref="A5:V5"/>
    <mergeCell ref="B26:V26"/>
    <mergeCell ref="A27:V27"/>
    <mergeCell ref="B67:V67"/>
    <mergeCell ref="A68:V68"/>
    <mergeCell ref="B107:V107"/>
    <mergeCell ref="A108:V108"/>
    <mergeCell ref="A109:V109"/>
    <mergeCell ref="B126:V126"/>
    <mergeCell ref="A127:V127"/>
    <mergeCell ref="B144:V144"/>
    <mergeCell ref="A145:V145"/>
    <mergeCell ref="B152:V152"/>
    <mergeCell ref="A153:V153"/>
    <mergeCell ref="B183:V183"/>
    <mergeCell ref="A184:V184"/>
    <mergeCell ref="B189:V189"/>
    <mergeCell ref="A190:V190"/>
    <mergeCell ref="A191:V191"/>
    <mergeCell ref="A216:V216"/>
    <mergeCell ref="A221:V221"/>
    <mergeCell ref="B225:V225"/>
    <mergeCell ref="A226:V226"/>
    <mergeCell ref="B194:V194"/>
    <mergeCell ref="A195:V195"/>
    <mergeCell ref="B209:V209"/>
    <mergeCell ref="A210:V210"/>
    <mergeCell ref="B215:U215"/>
  </mergeCells>
  <pageMargins left="0.7" right="0.7" top="0.75" bottom="0.75" header="0.3" footer="0.3"/>
  <pageSetup paperSize="9" orientation="portrait" horizontalDpi="300" verticalDpi="300" r:id="rId1"/>
  <ignoredErrors>
    <ignoredError sqref="L92 E92 E73 L47 E47 L33 E33 L131 E131" formula="1"/>
    <ignoredError sqref="S151 S25 T38 S66 S106 S143 S182 S188 S213 S239 T222:T223 R48:T48 R131 T161" evalError="1"/>
    <ignoredError sqref="I1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F7" sqref="F7"/>
    </sheetView>
  </sheetViews>
  <sheetFormatPr defaultColWidth="9" defaultRowHeight="14.4"/>
  <cols>
    <col min="1" max="1" width="34" customWidth="1"/>
    <col min="2" max="2" width="17.6640625" customWidth="1"/>
    <col min="3" max="3" width="15.88671875" customWidth="1"/>
  </cols>
  <sheetData>
    <row r="1" spans="1:5">
      <c r="A1" s="146"/>
      <c r="B1" s="146"/>
      <c r="C1" s="146"/>
      <c r="D1" s="146"/>
      <c r="E1" s="19"/>
    </row>
    <row r="2" spans="1:5" ht="27.6">
      <c r="A2" s="170" t="s">
        <v>279</v>
      </c>
      <c r="B2" s="171" t="s">
        <v>306</v>
      </c>
      <c r="C2" s="171" t="s">
        <v>310</v>
      </c>
      <c r="D2" s="172"/>
      <c r="E2" s="19"/>
    </row>
    <row r="3" spans="1:5">
      <c r="A3" s="173" t="s">
        <v>17</v>
      </c>
      <c r="B3" s="174">
        <f t="shared" ref="B3:C10" si="0">B13</f>
        <v>38.501630325359997</v>
      </c>
      <c r="C3" s="174">
        <f t="shared" si="0"/>
        <v>38.542552735119997</v>
      </c>
      <c r="D3" s="172"/>
      <c r="E3" s="19"/>
    </row>
    <row r="4" spans="1:5" ht="17.25" customHeight="1">
      <c r="A4" s="170" t="s">
        <v>54</v>
      </c>
      <c r="B4" s="175">
        <f t="shared" si="0"/>
        <v>2038.2004327447246</v>
      </c>
      <c r="C4" s="175">
        <f t="shared" si="0"/>
        <v>2072.2983192014285</v>
      </c>
      <c r="D4" s="172"/>
      <c r="E4" s="19"/>
    </row>
    <row r="5" spans="1:5" ht="19.5" customHeight="1">
      <c r="A5" s="170" t="s">
        <v>280</v>
      </c>
      <c r="B5" s="174">
        <f t="shared" si="0"/>
        <v>193.17042371656945</v>
      </c>
      <c r="C5" s="174">
        <f t="shared" si="0"/>
        <v>192.87599687599237</v>
      </c>
      <c r="D5" s="172"/>
      <c r="E5" s="19"/>
    </row>
    <row r="6" spans="1:5">
      <c r="A6" s="170" t="s">
        <v>157</v>
      </c>
      <c r="B6" s="175">
        <f t="shared" si="0"/>
        <v>1779.1913217332319</v>
      </c>
      <c r="C6" s="175">
        <f t="shared" si="0"/>
        <v>1780.5962935896721</v>
      </c>
      <c r="D6" s="172"/>
      <c r="E6" s="19"/>
    </row>
    <row r="7" spans="1:5">
      <c r="A7" s="170" t="s">
        <v>281</v>
      </c>
      <c r="B7" s="174">
        <f t="shared" si="0"/>
        <v>101.01400031343393</v>
      </c>
      <c r="C7" s="174">
        <f t="shared" si="0"/>
        <v>101.07021465021515</v>
      </c>
      <c r="D7" s="172"/>
      <c r="E7" s="19"/>
    </row>
    <row r="8" spans="1:5">
      <c r="A8" s="170" t="s">
        <v>195</v>
      </c>
      <c r="B8" s="176">
        <f t="shared" si="0"/>
        <v>58.252652887652779</v>
      </c>
      <c r="C8" s="176">
        <f t="shared" si="0"/>
        <v>58.059986733763722</v>
      </c>
      <c r="D8" s="172"/>
      <c r="E8" s="19"/>
    </row>
    <row r="9" spans="1:5">
      <c r="A9" s="170" t="s">
        <v>226</v>
      </c>
      <c r="B9" s="174">
        <f t="shared" si="0"/>
        <v>6.73883788914</v>
      </c>
      <c r="C9" s="174">
        <f t="shared" si="0"/>
        <v>6.6812718927000008</v>
      </c>
      <c r="D9" s="172"/>
      <c r="E9" s="19"/>
    </row>
    <row r="10" spans="1:5">
      <c r="A10" s="170" t="s">
        <v>282</v>
      </c>
      <c r="B10" s="174">
        <f t="shared" si="0"/>
        <v>54.482402721736491</v>
      </c>
      <c r="C10" s="174">
        <f t="shared" si="0"/>
        <v>54.322511448611657</v>
      </c>
      <c r="D10" s="172"/>
      <c r="E10" s="19"/>
    </row>
    <row r="11" spans="1:5">
      <c r="A11" s="170"/>
      <c r="B11" s="174"/>
      <c r="C11" s="174"/>
      <c r="D11" s="172"/>
      <c r="E11" s="19"/>
    </row>
    <row r="12" spans="1:5">
      <c r="A12" s="146"/>
      <c r="B12" s="146"/>
      <c r="C12" s="146"/>
      <c r="D12" s="146"/>
      <c r="E12" s="19"/>
    </row>
    <row r="13" spans="1:5">
      <c r="A13" s="177" t="s">
        <v>17</v>
      </c>
      <c r="B13" s="147">
        <f>'Weekly Valuation'!D25/1000000000</f>
        <v>38.501630325359997</v>
      </c>
      <c r="C13" s="148">
        <f>'Weekly Valuation'!K25/1000000000</f>
        <v>38.542552735119997</v>
      </c>
      <c r="D13" s="146"/>
      <c r="E13" s="19"/>
    </row>
    <row r="14" spans="1:5">
      <c r="A14" s="149" t="s">
        <v>54</v>
      </c>
      <c r="B14" s="147">
        <f>'Weekly Valuation'!D66/1000000000</f>
        <v>2038.2004327447246</v>
      </c>
      <c r="C14" s="178">
        <f>'Weekly Valuation'!K66/1000000000</f>
        <v>2072.2983192014285</v>
      </c>
      <c r="D14" s="146"/>
      <c r="E14" s="19"/>
    </row>
    <row r="15" spans="1:5">
      <c r="A15" s="149" t="s">
        <v>280</v>
      </c>
      <c r="B15" s="147">
        <f>'Weekly Valuation'!D106/1000000000</f>
        <v>193.17042371656945</v>
      </c>
      <c r="C15" s="148">
        <f>'Weekly Valuation'!K106/1000000000</f>
        <v>192.87599687599237</v>
      </c>
      <c r="D15" s="146"/>
      <c r="E15" s="19"/>
    </row>
    <row r="16" spans="1:5">
      <c r="A16" s="149" t="s">
        <v>157</v>
      </c>
      <c r="B16" s="147">
        <f>'Weekly Valuation'!D143/1000000000</f>
        <v>1779.1913217332319</v>
      </c>
      <c r="C16" s="178">
        <f>'Weekly Valuation'!K143/1000000000</f>
        <v>1780.5962935896721</v>
      </c>
      <c r="D16" s="146"/>
      <c r="E16" s="19"/>
    </row>
    <row r="17" spans="1:5">
      <c r="A17" s="149" t="s">
        <v>281</v>
      </c>
      <c r="B17" s="147">
        <f>'Weekly Valuation'!D151/1000000000</f>
        <v>101.01400031343393</v>
      </c>
      <c r="C17" s="148">
        <f>'Weekly Valuation'!K151/1000000000</f>
        <v>101.07021465021515</v>
      </c>
      <c r="D17" s="146"/>
      <c r="E17" s="19"/>
    </row>
    <row r="18" spans="1:5">
      <c r="A18" s="149" t="s">
        <v>195</v>
      </c>
      <c r="B18" s="147">
        <f>'Weekly Valuation'!D182/1000000000</f>
        <v>58.252652887652779</v>
      </c>
      <c r="C18" s="179">
        <f>'Weekly Valuation'!K182/1000000000</f>
        <v>58.059986733763722</v>
      </c>
      <c r="D18" s="146"/>
      <c r="E18" s="19"/>
    </row>
    <row r="19" spans="1:5">
      <c r="A19" s="149" t="s">
        <v>226</v>
      </c>
      <c r="B19" s="147">
        <f>'Weekly Valuation'!D188/1000000000</f>
        <v>6.73883788914</v>
      </c>
      <c r="C19" s="148">
        <f>'Weekly Valuation'!K188/1000000000</f>
        <v>6.6812718927000008</v>
      </c>
      <c r="D19" s="146"/>
      <c r="E19" s="19"/>
    </row>
    <row r="20" spans="1:5">
      <c r="A20" s="149" t="s">
        <v>282</v>
      </c>
      <c r="B20" s="147">
        <f>'Weekly Valuation'!D213/1000000000</f>
        <v>54.482402721736491</v>
      </c>
      <c r="C20" s="148">
        <f>'Weekly Valuation'!K213/1000000000</f>
        <v>54.322511448611657</v>
      </c>
      <c r="D20" s="146"/>
      <c r="E20" s="19"/>
    </row>
    <row r="21" spans="1:5">
      <c r="A21" s="150"/>
      <c r="B21" s="146"/>
      <c r="C21" s="151"/>
      <c r="D21" s="146"/>
      <c r="E21" s="19"/>
    </row>
    <row r="22" spans="1:5">
      <c r="A22" s="150"/>
      <c r="B22" s="146"/>
      <c r="C22" s="180"/>
      <c r="D22" s="146"/>
      <c r="E22" s="19"/>
    </row>
    <row r="23" spans="1:5">
      <c r="A23" s="137"/>
      <c r="B23" s="138"/>
      <c r="C23" s="139"/>
      <c r="D23" s="19"/>
      <c r="E23" s="19"/>
    </row>
    <row r="24" spans="1:5">
      <c r="A24" s="137"/>
      <c r="B24" s="138"/>
      <c r="C24" s="138"/>
      <c r="D24" s="19"/>
      <c r="E24" s="19"/>
    </row>
    <row r="25" spans="1:5">
      <c r="A25" s="137"/>
      <c r="B25" s="138"/>
      <c r="C25" s="138"/>
      <c r="D25" s="19"/>
      <c r="E25" s="19"/>
    </row>
    <row r="26" spans="1:5">
      <c r="A26" s="21"/>
      <c r="B26" s="22"/>
      <c r="C26" s="22"/>
      <c r="D26" s="15"/>
      <c r="E26" s="15"/>
    </row>
    <row r="27" spans="1:5">
      <c r="A27" s="21"/>
      <c r="B27" s="22"/>
      <c r="C27" s="22"/>
      <c r="D27" s="15"/>
      <c r="E27" s="15"/>
    </row>
    <row r="28" spans="1:5">
      <c r="A28" s="15"/>
      <c r="B28" s="15"/>
      <c r="C28" s="15"/>
      <c r="D28" s="15"/>
      <c r="E28" s="15"/>
    </row>
    <row r="29" spans="1:5">
      <c r="A29" s="15"/>
      <c r="B29" s="15"/>
      <c r="C29" s="15"/>
      <c r="D29" s="15"/>
    </row>
  </sheetData>
  <sheetProtection algorithmName="SHA-512" hashValue="R+JDcPUV6dX1g5kg8K4nZ0gQOZqwpvErGWnNOSk1esrEUvIGyKhDoO+dW5V+QXmj/7WBw+1d1xbXl4dRXb+h/A==" saltValue="2pbVhnR5SwOl1IZKSB5Nv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J11" sqref="J11"/>
    </sheetView>
  </sheetViews>
  <sheetFormatPr defaultColWidth="9" defaultRowHeight="14.4"/>
  <cols>
    <col min="1" max="1" width="26.6640625" customWidth="1"/>
    <col min="2" max="2" width="17.44140625" customWidth="1"/>
    <col min="16" max="16" width="7.5546875" customWidth="1"/>
  </cols>
  <sheetData>
    <row r="1" spans="1:7" ht="15.6">
      <c r="A1" s="181" t="s">
        <v>279</v>
      </c>
      <c r="B1" s="182">
        <v>45709</v>
      </c>
      <c r="C1" s="19"/>
      <c r="D1" s="15"/>
      <c r="E1" s="15"/>
      <c r="F1" s="15"/>
      <c r="G1" s="15"/>
    </row>
    <row r="2" spans="1:7">
      <c r="A2" s="150" t="s">
        <v>226</v>
      </c>
      <c r="B2" s="180">
        <f>'Weekly Valuation'!K188</f>
        <v>6681271892.7000008</v>
      </c>
      <c r="C2" s="19"/>
      <c r="D2" s="15"/>
      <c r="E2" s="15"/>
      <c r="F2" s="15"/>
      <c r="G2" s="15"/>
    </row>
    <row r="3" spans="1:7">
      <c r="A3" s="150" t="s">
        <v>17</v>
      </c>
      <c r="B3" s="180">
        <f>'Weekly Valuation'!K25</f>
        <v>38542552735.119995</v>
      </c>
      <c r="C3" s="19"/>
      <c r="D3" s="15"/>
      <c r="E3" s="15"/>
      <c r="F3" s="15"/>
      <c r="G3" s="15"/>
    </row>
    <row r="4" spans="1:7">
      <c r="A4" s="150" t="s">
        <v>282</v>
      </c>
      <c r="B4" s="139">
        <f>'Weekly Valuation'!K213</f>
        <v>54322511448.611656</v>
      </c>
      <c r="C4" s="19"/>
      <c r="D4" s="15"/>
      <c r="E4" s="15"/>
      <c r="F4" s="15"/>
      <c r="G4" s="15"/>
    </row>
    <row r="5" spans="1:7">
      <c r="A5" s="150" t="s">
        <v>195</v>
      </c>
      <c r="B5" s="180">
        <f>'Weekly Valuation'!K182</f>
        <v>58059986733.763725</v>
      </c>
      <c r="C5" s="19"/>
      <c r="D5" s="15"/>
      <c r="E5" s="15"/>
      <c r="F5" s="15"/>
      <c r="G5" s="15"/>
    </row>
    <row r="6" spans="1:7">
      <c r="A6" s="150" t="s">
        <v>281</v>
      </c>
      <c r="B6" s="180">
        <f>'Weekly Valuation'!K151</f>
        <v>101070214650.21515</v>
      </c>
      <c r="C6" s="19"/>
      <c r="D6" s="15"/>
      <c r="E6" s="15"/>
      <c r="F6" s="15"/>
      <c r="G6" s="15"/>
    </row>
    <row r="7" spans="1:7">
      <c r="A7" s="150" t="s">
        <v>280</v>
      </c>
      <c r="B7" s="180">
        <f>'Weekly Valuation'!K106</f>
        <v>192875996875.99237</v>
      </c>
      <c r="C7" s="19"/>
      <c r="D7" s="15"/>
      <c r="E7" s="15"/>
      <c r="F7" s="15"/>
      <c r="G7" s="15"/>
    </row>
    <row r="8" spans="1:7">
      <c r="A8" s="150" t="s">
        <v>54</v>
      </c>
      <c r="B8" s="151">
        <f>'Weekly Valuation'!K66</f>
        <v>2072298319201.4285</v>
      </c>
      <c r="C8" s="19"/>
      <c r="D8" s="15"/>
      <c r="E8" s="15"/>
      <c r="F8" s="15"/>
      <c r="G8" s="15"/>
    </row>
    <row r="9" spans="1:7">
      <c r="A9" s="150" t="s">
        <v>157</v>
      </c>
      <c r="B9" s="151">
        <f>'Weekly Valuation'!K143</f>
        <v>1780596293589.6721</v>
      </c>
      <c r="C9" s="19"/>
      <c r="D9" s="15"/>
      <c r="E9" s="15"/>
      <c r="F9" s="15"/>
      <c r="G9" s="15"/>
    </row>
    <row r="10" spans="1:7">
      <c r="A10" s="146"/>
      <c r="B10" s="146"/>
      <c r="C10" s="19"/>
      <c r="D10" s="15"/>
      <c r="E10" s="15"/>
      <c r="F10" s="15"/>
      <c r="G10" s="15"/>
    </row>
    <row r="11" spans="1:7">
      <c r="A11" s="150"/>
      <c r="B11" s="183"/>
      <c r="C11" s="19"/>
      <c r="D11" s="15"/>
      <c r="E11" s="15"/>
      <c r="F11" s="15"/>
      <c r="G11" s="15"/>
    </row>
    <row r="12" spans="1:7">
      <c r="A12" s="150"/>
      <c r="B12" s="19"/>
      <c r="C12" s="19"/>
      <c r="D12" s="15"/>
      <c r="E12" s="15"/>
      <c r="F12" s="15"/>
      <c r="G12" s="15"/>
    </row>
    <row r="13" spans="1:7">
      <c r="A13" s="22"/>
      <c r="B13" s="22"/>
      <c r="C13" s="15"/>
      <c r="D13" s="15"/>
      <c r="E13" s="15"/>
      <c r="F13" s="15"/>
      <c r="G13" s="15"/>
    </row>
    <row r="14" spans="1:7">
      <c r="A14" s="22"/>
      <c r="B14" s="22"/>
      <c r="C14" s="15"/>
      <c r="D14" s="15"/>
      <c r="E14" s="15"/>
      <c r="F14" s="15"/>
      <c r="G14" s="15"/>
    </row>
    <row r="15" spans="1:7" ht="16.5" customHeight="1">
      <c r="A15" s="156"/>
      <c r="B15" s="156"/>
      <c r="C15" s="15"/>
      <c r="D15" s="15"/>
      <c r="E15" s="15"/>
      <c r="F15" s="15"/>
      <c r="G15" s="15"/>
    </row>
    <row r="16" spans="1:7">
      <c r="A16" s="22"/>
      <c r="B16" s="22"/>
      <c r="C16" s="15"/>
      <c r="D16" s="15"/>
      <c r="E16" s="15"/>
      <c r="F16" s="15"/>
      <c r="G16" s="15"/>
    </row>
    <row r="17" spans="1:17">
      <c r="A17" s="22"/>
      <c r="B17" s="22"/>
      <c r="C17" s="15"/>
      <c r="D17" s="15"/>
      <c r="E17" s="15"/>
      <c r="F17" s="15"/>
      <c r="G17" s="15"/>
    </row>
    <row r="18" spans="1:17">
      <c r="A18" s="129"/>
      <c r="B18" s="22"/>
      <c r="C18" s="15"/>
      <c r="D18" s="15"/>
      <c r="E18" s="15"/>
      <c r="F18" s="15"/>
      <c r="G18" s="15"/>
    </row>
    <row r="19" spans="1:17">
      <c r="A19" s="129"/>
      <c r="B19" s="129"/>
      <c r="C19" s="15"/>
      <c r="D19" s="15"/>
      <c r="E19" s="15"/>
      <c r="F19" s="15"/>
      <c r="G19" s="15"/>
    </row>
    <row r="20" spans="1:17">
      <c r="A20" s="129"/>
      <c r="B20" s="129"/>
      <c r="C20" s="15"/>
      <c r="D20" s="15"/>
      <c r="E20" s="15"/>
      <c r="F20" s="15"/>
      <c r="G20" s="15"/>
    </row>
    <row r="21" spans="1:17">
      <c r="A21" s="21"/>
      <c r="B21" s="129"/>
      <c r="C21" s="15"/>
      <c r="D21" s="15"/>
      <c r="E21" s="15"/>
      <c r="F21" s="15"/>
      <c r="G21" s="15"/>
    </row>
    <row r="22" spans="1:17">
      <c r="A22" s="15"/>
      <c r="B22" s="129"/>
      <c r="C22" s="15"/>
      <c r="D22" s="15"/>
      <c r="E22" s="15"/>
      <c r="F22" s="15"/>
      <c r="G22" s="15"/>
    </row>
    <row r="23" spans="1:17">
      <c r="A23" s="15"/>
      <c r="B23" s="15"/>
      <c r="C23" s="15"/>
      <c r="D23" s="15"/>
      <c r="E23" s="15"/>
      <c r="F23" s="15"/>
      <c r="G23" s="15"/>
    </row>
    <row r="24" spans="1:17">
      <c r="A24" s="15"/>
      <c r="B24" s="15"/>
      <c r="C24" s="15"/>
      <c r="D24" s="15"/>
      <c r="E24" s="15"/>
      <c r="F24" s="15"/>
      <c r="G24" s="15"/>
    </row>
    <row r="25" spans="1:17">
      <c r="A25" s="15"/>
      <c r="B25" s="15"/>
      <c r="C25" s="15"/>
      <c r="D25" s="15"/>
      <c r="E25" s="15"/>
      <c r="F25" s="15"/>
      <c r="G25" s="15"/>
    </row>
    <row r="26" spans="1:17">
      <c r="A26" s="15"/>
      <c r="B26" s="15"/>
      <c r="C26" s="15"/>
      <c r="D26" s="15"/>
      <c r="E26" s="15"/>
      <c r="F26" s="15"/>
      <c r="G26" s="15"/>
    </row>
    <row r="27" spans="1:17">
      <c r="A27" s="15"/>
      <c r="B27" s="15"/>
      <c r="C27" s="15"/>
      <c r="D27" s="15"/>
      <c r="E27" s="15"/>
      <c r="F27" s="15"/>
      <c r="G27" s="15"/>
    </row>
    <row r="28" spans="1:17">
      <c r="A28" s="15"/>
      <c r="B28" s="15"/>
      <c r="C28" s="15"/>
      <c r="D28" s="15"/>
      <c r="E28" s="15"/>
      <c r="F28" s="15"/>
      <c r="G28" s="15"/>
    </row>
    <row r="29" spans="1:17">
      <c r="A29" s="15"/>
      <c r="B29" s="15"/>
      <c r="C29" s="15"/>
      <c r="D29" s="15"/>
    </row>
    <row r="32" spans="1:17" ht="16.5" customHeight="1">
      <c r="A32" s="168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20"/>
    </row>
    <row r="33" spans="1:17" ht="15" customHeight="1">
      <c r="A33" s="169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20"/>
    </row>
  </sheetData>
  <sheetProtection algorithmName="SHA-512" hashValue="Ss2IcuXaZnyr2ZxbsDqte9LfuAUidknHIhB0xNdvUmz8sybrlbHXqIp51lPv8O0VoA9Xx+95QwN7oUqLAZR+8g==" saltValue="lT2t7SuEc2/v4oau11zQ7A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0"/>
  <sheetViews>
    <sheetView zoomScale="110" zoomScaleNormal="110" workbookViewId="0">
      <selection activeCell="E8" sqref="E8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  <c r="M1" s="15"/>
    </row>
    <row r="2" spans="1:13">
      <c r="A2" s="184" t="s">
        <v>283</v>
      </c>
      <c r="B2" s="185">
        <v>45660</v>
      </c>
      <c r="C2" s="185">
        <v>45667</v>
      </c>
      <c r="D2" s="185">
        <v>45674</v>
      </c>
      <c r="E2" s="185">
        <v>45681</v>
      </c>
      <c r="F2" s="185">
        <v>45688</v>
      </c>
      <c r="G2" s="185">
        <v>45695</v>
      </c>
      <c r="H2" s="185">
        <v>45702</v>
      </c>
      <c r="I2" s="185">
        <v>45709</v>
      </c>
      <c r="J2" s="19"/>
      <c r="K2" s="15"/>
      <c r="L2" s="15"/>
      <c r="M2" s="15"/>
    </row>
    <row r="3" spans="1:13">
      <c r="A3" s="184" t="s">
        <v>284</v>
      </c>
      <c r="B3" s="186">
        <f t="shared" ref="B3:I3" si="0">B4</f>
        <v>3883.4933818535656</v>
      </c>
      <c r="C3" s="186">
        <f t="shared" si="0"/>
        <v>3964.1148250792808</v>
      </c>
      <c r="D3" s="186">
        <f t="shared" si="0"/>
        <v>4019.7056298340649</v>
      </c>
      <c r="E3" s="186">
        <f t="shared" si="0"/>
        <v>4119.3897630881565</v>
      </c>
      <c r="F3" s="186">
        <f t="shared" si="0"/>
        <v>4111.8204981719919</v>
      </c>
      <c r="G3" s="186">
        <f t="shared" si="0"/>
        <v>4191.3962694654292</v>
      </c>
      <c r="H3" s="186">
        <f t="shared" si="0"/>
        <v>4269.5517023318498</v>
      </c>
      <c r="I3" s="186">
        <f t="shared" si="0"/>
        <v>4304.4471471275037</v>
      </c>
      <c r="J3" s="19"/>
      <c r="K3" s="15"/>
      <c r="L3" s="15"/>
      <c r="M3" s="15"/>
    </row>
    <row r="4" spans="1:13">
      <c r="A4" s="19"/>
      <c r="B4" s="187">
        <f>'NAV Trend'!C10/1000000000</f>
        <v>3883.4933818535656</v>
      </c>
      <c r="C4" s="187">
        <f>'NAV Trend'!D10/1000000000</f>
        <v>3964.1148250792808</v>
      </c>
      <c r="D4" s="187">
        <f>'NAV Trend'!E10/1000000000</f>
        <v>4019.7056298340649</v>
      </c>
      <c r="E4" s="187">
        <f>'NAV Trend'!F10/1000000000</f>
        <v>4119.3897630881565</v>
      </c>
      <c r="F4" s="187">
        <f>'NAV Trend'!G10/1000000000</f>
        <v>4111.8204981719919</v>
      </c>
      <c r="G4" s="187">
        <f>'NAV Trend'!H10/1000000000</f>
        <v>4191.3962694654292</v>
      </c>
      <c r="H4" s="188">
        <f>'NAV Trend'!I10/1000000000</f>
        <v>4269.5517023318498</v>
      </c>
      <c r="I4" s="188">
        <f>'NAV Trend'!J10/1000000000</f>
        <v>4304.4471471275037</v>
      </c>
      <c r="J4" s="19"/>
      <c r="K4" s="15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  <c r="M5" s="15"/>
    </row>
    <row r="6" spans="1:1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19"/>
      <c r="K7" s="15"/>
      <c r="L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</sheetData>
  <sheetProtection algorithmName="SHA-512" hashValue="rttLTNhHtHh5I+zhWkMfCGnEDM5g9+WOxQ3WBhO6lDfXnoP1QZODohjTAZJLj3Y9DbRrP5nb9cpk+wGtdVuzBA==" saltValue="JwXJX+s8Xks7vZN9oP9sx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10"/>
  <sheetViews>
    <sheetView workbookViewId="0">
      <selection activeCell="F7" sqref="F7"/>
    </sheetView>
  </sheetViews>
  <sheetFormatPr defaultColWidth="9" defaultRowHeight="14.4"/>
  <cols>
    <col min="1" max="1" width="10.777343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2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9"/>
    </row>
    <row r="2" spans="1:12">
      <c r="A2" s="184" t="s">
        <v>283</v>
      </c>
      <c r="B2" s="185">
        <v>45660</v>
      </c>
      <c r="C2" s="185">
        <v>45667</v>
      </c>
      <c r="D2" s="185">
        <v>45674</v>
      </c>
      <c r="E2" s="185">
        <v>45681</v>
      </c>
      <c r="F2" s="185">
        <v>45688</v>
      </c>
      <c r="G2" s="185">
        <v>45695</v>
      </c>
      <c r="H2" s="185">
        <v>45702</v>
      </c>
      <c r="I2" s="185">
        <v>45709</v>
      </c>
      <c r="J2" s="19"/>
      <c r="K2" s="15"/>
      <c r="L2" s="19"/>
    </row>
    <row r="3" spans="1:12">
      <c r="A3" s="184" t="s">
        <v>285</v>
      </c>
      <c r="B3" s="186">
        <f t="shared" ref="B3:I3" si="0">B4</f>
        <v>12.767135898969396</v>
      </c>
      <c r="C3" s="186">
        <f t="shared" si="0"/>
        <v>12.486443329167654</v>
      </c>
      <c r="D3" s="186">
        <f t="shared" si="0"/>
        <v>13.126291240540001</v>
      </c>
      <c r="E3" s="186">
        <f t="shared" si="0"/>
        <v>12.926648581233682</v>
      </c>
      <c r="F3" s="186">
        <f t="shared" si="0"/>
        <v>13.139930136069998</v>
      </c>
      <c r="G3" s="186">
        <f t="shared" si="0"/>
        <v>13.518762702094183</v>
      </c>
      <c r="H3" s="186">
        <f t="shared" si="0"/>
        <v>13.762029268867213</v>
      </c>
      <c r="I3" s="186">
        <f t="shared" si="0"/>
        <v>13.757028670379999</v>
      </c>
      <c r="J3" s="19"/>
      <c r="K3" s="15"/>
      <c r="L3" s="19"/>
    </row>
    <row r="4" spans="1:12">
      <c r="A4" s="19"/>
      <c r="B4" s="187">
        <f>'NAV Trend'!C16/1000000000</f>
        <v>12.767135898969396</v>
      </c>
      <c r="C4" s="187">
        <f>'NAV Trend'!D16/1000000000</f>
        <v>12.486443329167654</v>
      </c>
      <c r="D4" s="187">
        <f>'NAV Trend'!E16/1000000000</f>
        <v>13.126291240540001</v>
      </c>
      <c r="E4" s="187">
        <f>'NAV Trend'!F16/1000000000</f>
        <v>12.926648581233682</v>
      </c>
      <c r="F4" s="187">
        <f>'NAV Trend'!G16/1000000000</f>
        <v>13.139930136069998</v>
      </c>
      <c r="G4" s="187">
        <f>'NAV Trend'!H16/1000000000</f>
        <v>13.518762702094183</v>
      </c>
      <c r="H4" s="187">
        <f>'NAV Trend'!I16/1000000000</f>
        <v>13.762029268867213</v>
      </c>
      <c r="I4" s="188">
        <f>'NAV Trend'!J16/1000000000</f>
        <v>13.757028670379999</v>
      </c>
      <c r="J4" s="19"/>
      <c r="K4" s="15"/>
      <c r="L4" s="19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9"/>
    </row>
    <row r="6" spans="1:12">
      <c r="A6" s="19"/>
      <c r="B6" s="19"/>
      <c r="C6" s="19"/>
      <c r="D6" s="19"/>
      <c r="E6" s="19"/>
      <c r="F6" s="19"/>
      <c r="G6" s="19"/>
      <c r="H6" s="19"/>
      <c r="I6" s="19"/>
      <c r="J6" s="19"/>
      <c r="K6" s="15"/>
      <c r="L6" s="19"/>
    </row>
    <row r="7" spans="1:1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9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</sheetData>
  <sheetProtection algorithmName="SHA-512" hashValue="xHk+hXM+7I9eQNKVGcHgBYF1QFtzHmahBNk69HQQf1EO7ZcDSa+ffHryiXM2kck3ndzBB6pdnpVRXshVClSuBg==" saltValue="E+02bMj52wER1MSXgyDULQ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H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279</v>
      </c>
      <c r="B1" s="2">
        <v>45653</v>
      </c>
      <c r="C1" s="2">
        <v>45660</v>
      </c>
      <c r="D1" s="2">
        <v>45667</v>
      </c>
      <c r="E1" s="2">
        <v>45674</v>
      </c>
      <c r="F1" s="2">
        <v>45681</v>
      </c>
      <c r="G1" s="2">
        <v>45688</v>
      </c>
      <c r="H1" s="2">
        <v>45695</v>
      </c>
      <c r="I1" s="2">
        <v>45702</v>
      </c>
      <c r="J1" s="2">
        <v>45709</v>
      </c>
    </row>
    <row r="2" spans="1:11">
      <c r="A2" s="3" t="s">
        <v>17</v>
      </c>
      <c r="B2" s="4">
        <v>31203064609.43</v>
      </c>
      <c r="C2" s="4">
        <v>32261498393.230003</v>
      </c>
      <c r="D2" s="4">
        <v>33411621797.110004</v>
      </c>
      <c r="E2" s="4">
        <v>33055654590.010002</v>
      </c>
      <c r="F2" s="4">
        <v>33667453981.210003</v>
      </c>
      <c r="G2" s="4">
        <v>34311367067.189999</v>
      </c>
      <c r="H2" s="4">
        <v>37602437204.949997</v>
      </c>
      <c r="I2" s="4">
        <v>38501630325.360001</v>
      </c>
      <c r="J2" s="4">
        <v>38542552735.119995</v>
      </c>
    </row>
    <row r="3" spans="1:11">
      <c r="A3" s="3" t="s">
        <v>54</v>
      </c>
      <c r="B3" s="4">
        <v>1680789898381.158</v>
      </c>
      <c r="C3" s="4">
        <v>1731331455377.9688</v>
      </c>
      <c r="D3" s="4">
        <v>1796163520217.4673</v>
      </c>
      <c r="E3" s="4">
        <v>1833494333831.687</v>
      </c>
      <c r="F3" s="4">
        <v>1887272680234.0166</v>
      </c>
      <c r="G3" s="4">
        <v>1936499649559.6733</v>
      </c>
      <c r="H3" s="4">
        <v>1986545662853.3892</v>
      </c>
      <c r="I3" s="4">
        <v>2038200432744.7246</v>
      </c>
      <c r="J3" s="4">
        <v>2072298319201.4285</v>
      </c>
    </row>
    <row r="4" spans="1:11">
      <c r="A4" s="3" t="s">
        <v>280</v>
      </c>
      <c r="B4" s="5">
        <v>196299640514.55566</v>
      </c>
      <c r="C4" s="5">
        <v>196558953968.70349</v>
      </c>
      <c r="D4" s="5">
        <v>198624219481.39801</v>
      </c>
      <c r="E4" s="5">
        <v>199572944900.79062</v>
      </c>
      <c r="F4" s="5">
        <v>193295117054.89386</v>
      </c>
      <c r="G4" s="5">
        <v>192710764728.50818</v>
      </c>
      <c r="H4" s="5">
        <v>192823646052.3956</v>
      </c>
      <c r="I4" s="5">
        <v>193170423716.56946</v>
      </c>
      <c r="J4" s="5">
        <v>192875996875.99237</v>
      </c>
    </row>
    <row r="5" spans="1:11">
      <c r="A5" s="3" t="s">
        <v>157</v>
      </c>
      <c r="B5" s="4">
        <v>1708643961742.885</v>
      </c>
      <c r="C5" s="4">
        <v>1710039312371.6768</v>
      </c>
      <c r="D5" s="4">
        <v>1721273790884.4595</v>
      </c>
      <c r="E5" s="4">
        <v>1738459762464.4448</v>
      </c>
      <c r="F5" s="4">
        <v>1788025443922.3008</v>
      </c>
      <c r="G5" s="4">
        <v>1729854588802.0955</v>
      </c>
      <c r="H5" s="4">
        <v>1755642575885.7151</v>
      </c>
      <c r="I5" s="4">
        <v>1779191321733.2319</v>
      </c>
      <c r="J5" s="4">
        <v>1780596293589.6721</v>
      </c>
    </row>
    <row r="6" spans="1:11">
      <c r="A6" s="3" t="s">
        <v>281</v>
      </c>
      <c r="B6" s="6">
        <v>99946034003.712875</v>
      </c>
      <c r="C6" s="6">
        <v>100165676341.88785</v>
      </c>
      <c r="D6" s="6">
        <v>100814525942.29248</v>
      </c>
      <c r="E6" s="6">
        <v>100848197035.93321</v>
      </c>
      <c r="F6" s="6">
        <v>100883151715.23096</v>
      </c>
      <c r="G6" s="6">
        <v>100943942196.36</v>
      </c>
      <c r="H6" s="6">
        <v>100952306055.92899</v>
      </c>
      <c r="I6" s="6">
        <v>101014000313.43393</v>
      </c>
      <c r="J6" s="6">
        <v>101070214650.21515</v>
      </c>
    </row>
    <row r="7" spans="1:11">
      <c r="A7" s="3" t="s">
        <v>195</v>
      </c>
      <c r="B7" s="7">
        <v>54717751907.536263</v>
      </c>
      <c r="C7" s="7">
        <v>54655185610.452072</v>
      </c>
      <c r="D7" s="7">
        <v>55198098021.346275</v>
      </c>
      <c r="E7" s="7">
        <v>54483397031.599197</v>
      </c>
      <c r="F7" s="7">
        <v>55157132700.650406</v>
      </c>
      <c r="G7" s="7">
        <v>55883226354.418106</v>
      </c>
      <c r="H7" s="7">
        <v>57357776059.173073</v>
      </c>
      <c r="I7" s="7">
        <v>58252652887.652779</v>
      </c>
      <c r="J7" s="7">
        <v>58059986733.763725</v>
      </c>
    </row>
    <row r="8" spans="1:11">
      <c r="A8" s="3" t="s">
        <v>226</v>
      </c>
      <c r="B8" s="6">
        <v>5883795695.79</v>
      </c>
      <c r="C8" s="6">
        <v>5956758809.29</v>
      </c>
      <c r="D8" s="6">
        <v>6053117697.3000002</v>
      </c>
      <c r="E8" s="6">
        <v>6021515311.3500004</v>
      </c>
      <c r="F8" s="6">
        <v>6147393660.5699997</v>
      </c>
      <c r="G8" s="6">
        <v>6263863102.0599995</v>
      </c>
      <c r="H8" s="6">
        <v>6582585973.7099991</v>
      </c>
      <c r="I8" s="6">
        <v>6738837889.1400003</v>
      </c>
      <c r="J8" s="6">
        <v>6681271892.7000008</v>
      </c>
    </row>
    <row r="9" spans="1:11">
      <c r="A9" s="3" t="s">
        <v>282</v>
      </c>
      <c r="B9" s="6">
        <v>52347055008.3237</v>
      </c>
      <c r="C9" s="6">
        <v>52524540980.356323</v>
      </c>
      <c r="D9" s="6">
        <v>52575931037.907692</v>
      </c>
      <c r="E9" s="6">
        <v>53769824668.250122</v>
      </c>
      <c r="F9" s="6">
        <v>54941389819.284477</v>
      </c>
      <c r="G9" s="6">
        <v>55353096361.686783</v>
      </c>
      <c r="H9" s="6">
        <v>53889279380.166801</v>
      </c>
      <c r="I9" s="6">
        <v>54482402721.736488</v>
      </c>
      <c r="J9" s="6">
        <v>54322511448.611656</v>
      </c>
    </row>
    <row r="10" spans="1:11" ht="15.6">
      <c r="A10" s="8" t="s">
        <v>286</v>
      </c>
      <c r="B10" s="9">
        <f t="shared" ref="B10:J10" si="0">SUM(B2:B9)</f>
        <v>3829831201863.3911</v>
      </c>
      <c r="C10" s="9">
        <f t="shared" si="0"/>
        <v>3883493381853.5654</v>
      </c>
      <c r="D10" s="9">
        <f t="shared" si="0"/>
        <v>3964114825079.2808</v>
      </c>
      <c r="E10" s="9">
        <f t="shared" si="0"/>
        <v>4019705629834.0649</v>
      </c>
      <c r="F10" s="9">
        <f t="shared" si="0"/>
        <v>4119389763088.1567</v>
      </c>
      <c r="G10" s="9">
        <f t="shared" si="0"/>
        <v>4111820498171.9917</v>
      </c>
      <c r="H10" s="9">
        <f t="shared" si="0"/>
        <v>4191396269465.4292</v>
      </c>
      <c r="I10" s="9">
        <f t="shared" si="0"/>
        <v>4269551702331.8496</v>
      </c>
      <c r="J10" s="9">
        <f t="shared" si="0"/>
        <v>4304447147127.5039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287</v>
      </c>
      <c r="B12" s="127" t="s">
        <v>288</v>
      </c>
      <c r="C12" s="13">
        <f>(B10+C10)/2</f>
        <v>3856662291858.4785</v>
      </c>
      <c r="D12" s="14">
        <f t="shared" ref="D12:J12" si="1">(C10+D10)/2</f>
        <v>3923804103466.4229</v>
      </c>
      <c r="E12" s="14">
        <f t="shared" si="1"/>
        <v>3991910227456.6729</v>
      </c>
      <c r="F12" s="14">
        <f t="shared" si="1"/>
        <v>4069547696461.1108</v>
      </c>
      <c r="G12" s="14">
        <f t="shared" si="1"/>
        <v>4115605130630.0742</v>
      </c>
      <c r="H12" s="14">
        <f t="shared" si="1"/>
        <v>4151608383818.7104</v>
      </c>
      <c r="I12" s="14">
        <f t="shared" si="1"/>
        <v>4230473985898.6396</v>
      </c>
      <c r="J12" s="14">
        <f t="shared" si="1"/>
        <v>4286999424729.6768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45653</v>
      </c>
      <c r="C15" s="2">
        <v>45660</v>
      </c>
      <c r="D15" s="2">
        <v>45667</v>
      </c>
      <c r="E15" s="2">
        <v>45674</v>
      </c>
      <c r="F15" s="2">
        <v>45681</v>
      </c>
      <c r="G15" s="2">
        <v>45688</v>
      </c>
      <c r="H15" s="2">
        <v>45695</v>
      </c>
      <c r="I15" s="2">
        <v>45702</v>
      </c>
      <c r="J15" s="2">
        <v>45709</v>
      </c>
      <c r="K15" s="15"/>
    </row>
    <row r="16" spans="1:11">
      <c r="A16" s="16" t="s">
        <v>289</v>
      </c>
      <c r="B16" s="17">
        <v>12568890044.927004</v>
      </c>
      <c r="C16" s="17">
        <v>12767135898.969397</v>
      </c>
      <c r="D16" s="17">
        <v>12486443329.167654</v>
      </c>
      <c r="E16" s="17">
        <v>13126291240.540001</v>
      </c>
      <c r="F16" s="17">
        <v>12926648581.233683</v>
      </c>
      <c r="G16" s="17">
        <v>13139930136.069998</v>
      </c>
      <c r="H16" s="17">
        <v>13518762702.094183</v>
      </c>
      <c r="I16" s="17">
        <v>13762029268.867212</v>
      </c>
      <c r="J16" s="17">
        <v>13757028670.379999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36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wsqBIld6mXj/eEoUj/FzQ9pyo4hwROCVLoLzKHF/KJNvIxYHkxzp6WomMrH7HUaD9gfZVeq/fQxKYOUSKj2svQ==" saltValue="zc/fVBeNLqOjG8qtpk4TzA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2025-02-27T08:48:59Z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