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saac\Desktop\Weekly NAV\"/>
    </mc:Choice>
  </mc:AlternateContent>
  <bookViews>
    <workbookView xWindow="0" yWindow="0" windowWidth="12672" windowHeight="9636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62913"/>
</workbook>
</file>

<file path=xl/calcChain.xml><?xml version="1.0" encoding="utf-8"?>
<calcChain xmlns="http://schemas.openxmlformats.org/spreadsheetml/2006/main">
  <c r="N114" i="1" l="1"/>
  <c r="M114" i="1"/>
  <c r="K114" i="1"/>
  <c r="N137" i="1" l="1"/>
  <c r="M137" i="1"/>
  <c r="K137" i="1"/>
  <c r="G132" i="1" l="1"/>
  <c r="F132" i="1"/>
  <c r="N132" i="1"/>
  <c r="M132" i="1"/>
  <c r="N130" i="1" l="1"/>
  <c r="K130" i="1"/>
  <c r="N135" i="1"/>
  <c r="M135" i="1"/>
  <c r="K135" i="1"/>
  <c r="N122" i="1"/>
  <c r="M122" i="1"/>
  <c r="K122" i="1"/>
  <c r="N133" i="1"/>
  <c r="M133" i="1"/>
  <c r="K133" i="1"/>
  <c r="N126" i="1"/>
  <c r="M126" i="1"/>
  <c r="K126" i="1"/>
  <c r="N109" i="1"/>
  <c r="M109" i="1"/>
  <c r="K109" i="1"/>
  <c r="N111" i="1"/>
  <c r="M111" i="1"/>
  <c r="K111" i="1"/>
  <c r="N108" i="1"/>
  <c r="M108" i="1"/>
  <c r="K108" i="1"/>
  <c r="N110" i="1" l="1"/>
  <c r="M110" i="1"/>
  <c r="K110" i="1"/>
  <c r="N121" i="1"/>
  <c r="M121" i="1"/>
  <c r="K121" i="1"/>
  <c r="N129" i="1" l="1"/>
  <c r="M129" i="1"/>
  <c r="N120" i="1" l="1"/>
  <c r="M120" i="1"/>
  <c r="K120" i="1"/>
  <c r="N125" i="1"/>
  <c r="M125" i="1"/>
  <c r="K125" i="1"/>
  <c r="N118" i="1"/>
  <c r="M118" i="1"/>
  <c r="K118" i="1"/>
  <c r="N112" i="1" l="1"/>
  <c r="M112" i="1"/>
  <c r="K112" i="1"/>
  <c r="N131" i="1" l="1"/>
  <c r="M131" i="1"/>
  <c r="K131" i="1"/>
  <c r="N119" i="1" l="1"/>
  <c r="M119" i="1"/>
  <c r="K119" i="1"/>
  <c r="N113" i="1" l="1"/>
  <c r="M113" i="1"/>
  <c r="K113" i="1"/>
  <c r="G137" i="1"/>
  <c r="F137" i="1"/>
  <c r="G135" i="1"/>
  <c r="F135" i="1"/>
  <c r="G133" i="1"/>
  <c r="F133" i="1"/>
  <c r="G131" i="1"/>
  <c r="F131" i="1"/>
  <c r="G130" i="1"/>
  <c r="F130" i="1"/>
  <c r="G129" i="1"/>
  <c r="F129" i="1"/>
  <c r="G126" i="1"/>
  <c r="F126" i="1"/>
  <c r="G125" i="1"/>
  <c r="F125" i="1"/>
  <c r="D137" i="1"/>
  <c r="D135" i="1"/>
  <c r="D133" i="1"/>
  <c r="D131" i="1"/>
  <c r="D130" i="1"/>
  <c r="D126" i="1"/>
  <c r="D125" i="1"/>
  <c r="G122" i="1"/>
  <c r="F122" i="1"/>
  <c r="G121" i="1"/>
  <c r="F121" i="1"/>
  <c r="G120" i="1"/>
  <c r="F120" i="1"/>
  <c r="G119" i="1"/>
  <c r="F119" i="1"/>
  <c r="G118" i="1"/>
  <c r="F118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D122" i="1"/>
  <c r="D121" i="1"/>
  <c r="D120" i="1"/>
  <c r="D119" i="1"/>
  <c r="D118" i="1"/>
  <c r="D114" i="1"/>
  <c r="D113" i="1"/>
  <c r="D112" i="1"/>
  <c r="D111" i="1"/>
  <c r="D110" i="1"/>
  <c r="D109" i="1"/>
  <c r="D108" i="1"/>
  <c r="M130" i="1" l="1"/>
  <c r="V32" i="1" l="1"/>
  <c r="U32" i="1"/>
  <c r="T32" i="1"/>
  <c r="S32" i="1"/>
  <c r="R32" i="1"/>
  <c r="V72" i="1" l="1"/>
  <c r="V47" i="1" l="1"/>
  <c r="U47" i="1"/>
  <c r="T47" i="1"/>
  <c r="S47" i="1"/>
  <c r="R47" i="1"/>
  <c r="J10" i="4" l="1"/>
  <c r="I4" i="5" s="1"/>
  <c r="I3" i="5" s="1"/>
  <c r="I10" i="4"/>
  <c r="H10" i="4"/>
  <c r="G10" i="4"/>
  <c r="H12" i="4" s="1"/>
  <c r="F10" i="4"/>
  <c r="E4" i="5" s="1"/>
  <c r="E3" i="5" s="1"/>
  <c r="E10" i="4"/>
  <c r="F12" i="4" s="1"/>
  <c r="D10" i="4"/>
  <c r="E12" i="4" s="1"/>
  <c r="C10" i="4"/>
  <c r="B4" i="5" s="1"/>
  <c r="B3" i="5" s="1"/>
  <c r="B10" i="4"/>
  <c r="C12" i="4" s="1"/>
  <c r="I4" i="6"/>
  <c r="I3" i="6" s="1"/>
  <c r="H4" i="6"/>
  <c r="H3" i="6" s="1"/>
  <c r="G4" i="6"/>
  <c r="G3" i="6" s="1"/>
  <c r="F4" i="6"/>
  <c r="F3" i="6" s="1"/>
  <c r="E4" i="6"/>
  <c r="E3" i="6" s="1"/>
  <c r="D4" i="6"/>
  <c r="D3" i="6" s="1"/>
  <c r="C4" i="6"/>
  <c r="C3" i="6" s="1"/>
  <c r="B4" i="6"/>
  <c r="B3" i="6" s="1"/>
  <c r="G4" i="5"/>
  <c r="G3" i="5" s="1"/>
  <c r="F4" i="5"/>
  <c r="F3" i="5" s="1"/>
  <c r="V232" i="1"/>
  <c r="U232" i="1"/>
  <c r="S232" i="1"/>
  <c r="O232" i="1"/>
  <c r="K232" i="1"/>
  <c r="H232" i="1"/>
  <c r="D232" i="1"/>
  <c r="E230" i="1" s="1"/>
  <c r="V231" i="1"/>
  <c r="U231" i="1"/>
  <c r="T231" i="1"/>
  <c r="S231" i="1"/>
  <c r="R231" i="1"/>
  <c r="V230" i="1"/>
  <c r="U230" i="1"/>
  <c r="T230" i="1"/>
  <c r="S230" i="1"/>
  <c r="R230" i="1"/>
  <c r="V229" i="1"/>
  <c r="U229" i="1"/>
  <c r="T229" i="1"/>
  <c r="S229" i="1"/>
  <c r="R229" i="1"/>
  <c r="V228" i="1"/>
  <c r="U228" i="1"/>
  <c r="T228" i="1"/>
  <c r="S228" i="1"/>
  <c r="R228" i="1"/>
  <c r="V227" i="1"/>
  <c r="U227" i="1"/>
  <c r="T227" i="1"/>
  <c r="S227" i="1"/>
  <c r="R227" i="1"/>
  <c r="V226" i="1"/>
  <c r="U226" i="1"/>
  <c r="T226" i="1"/>
  <c r="S226" i="1"/>
  <c r="R226" i="1"/>
  <c r="V225" i="1"/>
  <c r="U225" i="1"/>
  <c r="T225" i="1"/>
  <c r="S225" i="1"/>
  <c r="R225" i="1"/>
  <c r="V224" i="1"/>
  <c r="U224" i="1"/>
  <c r="T224" i="1"/>
  <c r="S224" i="1"/>
  <c r="R224" i="1"/>
  <c r="V223" i="1"/>
  <c r="U223" i="1"/>
  <c r="T223" i="1"/>
  <c r="S223" i="1"/>
  <c r="R223" i="1"/>
  <c r="V222" i="1"/>
  <c r="U222" i="1"/>
  <c r="T222" i="1"/>
  <c r="S222" i="1"/>
  <c r="R222" i="1"/>
  <c r="V221" i="1"/>
  <c r="U221" i="1"/>
  <c r="T221" i="1"/>
  <c r="S221" i="1"/>
  <c r="R221" i="1"/>
  <c r="V220" i="1"/>
  <c r="U220" i="1"/>
  <c r="T220" i="1"/>
  <c r="S220" i="1"/>
  <c r="R220" i="1"/>
  <c r="O217" i="1"/>
  <c r="K217" i="1"/>
  <c r="L216" i="1" s="1"/>
  <c r="H217" i="1"/>
  <c r="D217" i="1"/>
  <c r="E216" i="1" s="1"/>
  <c r="V216" i="1"/>
  <c r="U216" i="1"/>
  <c r="T216" i="1"/>
  <c r="S216" i="1"/>
  <c r="R216" i="1"/>
  <c r="V215" i="1"/>
  <c r="U215" i="1"/>
  <c r="T215" i="1"/>
  <c r="S215" i="1"/>
  <c r="R215" i="1"/>
  <c r="O212" i="1"/>
  <c r="K212" i="1"/>
  <c r="L211" i="1" s="1"/>
  <c r="H212" i="1"/>
  <c r="D212" i="1"/>
  <c r="V211" i="1"/>
  <c r="U211" i="1"/>
  <c r="T211" i="1"/>
  <c r="S211" i="1"/>
  <c r="R211" i="1"/>
  <c r="V207" i="1"/>
  <c r="U207" i="1"/>
  <c r="S207" i="1"/>
  <c r="O207" i="1"/>
  <c r="K207" i="1"/>
  <c r="L196" i="1" s="1"/>
  <c r="H207" i="1"/>
  <c r="D207" i="1"/>
  <c r="B20" i="2" s="1"/>
  <c r="B10" i="2" s="1"/>
  <c r="V206" i="1"/>
  <c r="U206" i="1"/>
  <c r="T206" i="1"/>
  <c r="S206" i="1"/>
  <c r="R206" i="1"/>
  <c r="V203" i="1"/>
  <c r="U203" i="1"/>
  <c r="T203" i="1"/>
  <c r="S203" i="1"/>
  <c r="R203" i="1"/>
  <c r="V202" i="1"/>
  <c r="U202" i="1"/>
  <c r="T202" i="1"/>
  <c r="S202" i="1"/>
  <c r="R202" i="1"/>
  <c r="V201" i="1"/>
  <c r="U201" i="1"/>
  <c r="T201" i="1"/>
  <c r="S201" i="1"/>
  <c r="R201" i="1"/>
  <c r="V200" i="1"/>
  <c r="U200" i="1"/>
  <c r="T200" i="1"/>
  <c r="S200" i="1"/>
  <c r="R200" i="1"/>
  <c r="V199" i="1"/>
  <c r="U199" i="1"/>
  <c r="T199" i="1"/>
  <c r="S199" i="1"/>
  <c r="R199" i="1"/>
  <c r="V198" i="1"/>
  <c r="U198" i="1"/>
  <c r="T198" i="1"/>
  <c r="S198" i="1"/>
  <c r="R198" i="1"/>
  <c r="V197" i="1"/>
  <c r="U197" i="1"/>
  <c r="T197" i="1"/>
  <c r="S197" i="1"/>
  <c r="R197" i="1"/>
  <c r="V196" i="1"/>
  <c r="U196" i="1"/>
  <c r="T196" i="1"/>
  <c r="S196" i="1"/>
  <c r="R196" i="1"/>
  <c r="V195" i="1"/>
  <c r="U195" i="1"/>
  <c r="T195" i="1"/>
  <c r="S195" i="1"/>
  <c r="R195" i="1"/>
  <c r="V194" i="1"/>
  <c r="U194" i="1"/>
  <c r="T194" i="1"/>
  <c r="S194" i="1"/>
  <c r="R194" i="1"/>
  <c r="V193" i="1"/>
  <c r="U193" i="1"/>
  <c r="T193" i="1"/>
  <c r="S193" i="1"/>
  <c r="R193" i="1"/>
  <c r="V192" i="1"/>
  <c r="U192" i="1"/>
  <c r="T192" i="1"/>
  <c r="S192" i="1"/>
  <c r="R192" i="1"/>
  <c r="V189" i="1"/>
  <c r="U189" i="1"/>
  <c r="T189" i="1"/>
  <c r="S189" i="1"/>
  <c r="R189" i="1"/>
  <c r="V188" i="1"/>
  <c r="U188" i="1"/>
  <c r="T188" i="1"/>
  <c r="S188" i="1"/>
  <c r="R188" i="1"/>
  <c r="V184" i="1"/>
  <c r="U184" i="1"/>
  <c r="S184" i="1"/>
  <c r="O184" i="1"/>
  <c r="K184" i="1"/>
  <c r="B2" i="3" s="1"/>
  <c r="H184" i="1"/>
  <c r="D184" i="1"/>
  <c r="V183" i="1"/>
  <c r="U183" i="1"/>
  <c r="T183" i="1"/>
  <c r="S183" i="1"/>
  <c r="R183" i="1"/>
  <c r="V182" i="1"/>
  <c r="U182" i="1"/>
  <c r="T182" i="1"/>
  <c r="S182" i="1"/>
  <c r="R182" i="1"/>
  <c r="V181" i="1"/>
  <c r="U181" i="1"/>
  <c r="T181" i="1"/>
  <c r="S181" i="1"/>
  <c r="R181" i="1"/>
  <c r="V178" i="1"/>
  <c r="U178" i="1"/>
  <c r="S178" i="1"/>
  <c r="O178" i="1"/>
  <c r="K178" i="1"/>
  <c r="H178" i="1"/>
  <c r="D178" i="1"/>
  <c r="E154" i="1" s="1"/>
  <c r="V177" i="1"/>
  <c r="U177" i="1"/>
  <c r="T177" i="1"/>
  <c r="S177" i="1"/>
  <c r="R177" i="1"/>
  <c r="V176" i="1"/>
  <c r="U176" i="1"/>
  <c r="T176" i="1"/>
  <c r="S176" i="1"/>
  <c r="R176" i="1"/>
  <c r="V175" i="1"/>
  <c r="U175" i="1"/>
  <c r="T175" i="1"/>
  <c r="S175" i="1"/>
  <c r="R175" i="1"/>
  <c r="V174" i="1"/>
  <c r="U174" i="1"/>
  <c r="T174" i="1"/>
  <c r="S174" i="1"/>
  <c r="R174" i="1"/>
  <c r="V173" i="1"/>
  <c r="U173" i="1"/>
  <c r="T173" i="1"/>
  <c r="S173" i="1"/>
  <c r="R173" i="1"/>
  <c r="V172" i="1"/>
  <c r="U172" i="1"/>
  <c r="T172" i="1"/>
  <c r="S172" i="1"/>
  <c r="R172" i="1"/>
  <c r="V171" i="1"/>
  <c r="U171" i="1"/>
  <c r="T171" i="1"/>
  <c r="S171" i="1"/>
  <c r="R171" i="1"/>
  <c r="V170" i="1"/>
  <c r="U170" i="1"/>
  <c r="T170" i="1"/>
  <c r="S170" i="1"/>
  <c r="R170" i="1"/>
  <c r="V169" i="1"/>
  <c r="U169" i="1"/>
  <c r="T169" i="1"/>
  <c r="S169" i="1"/>
  <c r="R169" i="1"/>
  <c r="V168" i="1"/>
  <c r="U168" i="1"/>
  <c r="T168" i="1"/>
  <c r="S168" i="1"/>
  <c r="R168" i="1"/>
  <c r="V167" i="1"/>
  <c r="U167" i="1"/>
  <c r="T167" i="1"/>
  <c r="S167" i="1"/>
  <c r="R167" i="1"/>
  <c r="V166" i="1"/>
  <c r="U166" i="1"/>
  <c r="T166" i="1"/>
  <c r="S166" i="1"/>
  <c r="R166" i="1"/>
  <c r="V165" i="1"/>
  <c r="U165" i="1"/>
  <c r="T165" i="1"/>
  <c r="S165" i="1"/>
  <c r="R165" i="1"/>
  <c r="V164" i="1"/>
  <c r="U164" i="1"/>
  <c r="T164" i="1"/>
  <c r="S164" i="1"/>
  <c r="R164" i="1"/>
  <c r="V163" i="1"/>
  <c r="U163" i="1"/>
  <c r="T163" i="1"/>
  <c r="S163" i="1"/>
  <c r="R163" i="1"/>
  <c r="V162" i="1"/>
  <c r="U162" i="1"/>
  <c r="T162" i="1"/>
  <c r="S162" i="1"/>
  <c r="R162" i="1"/>
  <c r="V161" i="1"/>
  <c r="U161" i="1"/>
  <c r="T161" i="1"/>
  <c r="S161" i="1"/>
  <c r="R161" i="1"/>
  <c r="V160" i="1"/>
  <c r="U160" i="1"/>
  <c r="T160" i="1"/>
  <c r="S160" i="1"/>
  <c r="R160" i="1"/>
  <c r="V159" i="1"/>
  <c r="U159" i="1"/>
  <c r="T159" i="1"/>
  <c r="S159" i="1"/>
  <c r="R159" i="1"/>
  <c r="V158" i="1"/>
  <c r="U158" i="1"/>
  <c r="T158" i="1"/>
  <c r="S158" i="1"/>
  <c r="R158" i="1"/>
  <c r="V157" i="1"/>
  <c r="U157" i="1"/>
  <c r="T157" i="1"/>
  <c r="S157" i="1"/>
  <c r="R157" i="1"/>
  <c r="V156" i="1"/>
  <c r="U156" i="1"/>
  <c r="T156" i="1"/>
  <c r="S156" i="1"/>
  <c r="R156" i="1"/>
  <c r="V155" i="1"/>
  <c r="U155" i="1"/>
  <c r="T155" i="1"/>
  <c r="S155" i="1"/>
  <c r="R155" i="1"/>
  <c r="V154" i="1"/>
  <c r="U154" i="1"/>
  <c r="T154" i="1"/>
  <c r="S154" i="1"/>
  <c r="R154" i="1"/>
  <c r="V153" i="1"/>
  <c r="U153" i="1"/>
  <c r="T153" i="1"/>
  <c r="S153" i="1"/>
  <c r="R153" i="1"/>
  <c r="V152" i="1"/>
  <c r="U152" i="1"/>
  <c r="T152" i="1"/>
  <c r="S152" i="1"/>
  <c r="R152" i="1"/>
  <c r="V151" i="1"/>
  <c r="U151" i="1"/>
  <c r="T151" i="1"/>
  <c r="S151" i="1"/>
  <c r="R151" i="1"/>
  <c r="V150" i="1"/>
  <c r="U150" i="1"/>
  <c r="T150" i="1"/>
  <c r="S150" i="1"/>
  <c r="R150" i="1"/>
  <c r="V149" i="1"/>
  <c r="U149" i="1"/>
  <c r="T149" i="1"/>
  <c r="S149" i="1"/>
  <c r="R149" i="1"/>
  <c r="V146" i="1"/>
  <c r="U146" i="1"/>
  <c r="S146" i="1"/>
  <c r="O146" i="1"/>
  <c r="K146" i="1"/>
  <c r="B6" i="3" s="1"/>
  <c r="H146" i="1"/>
  <c r="D146" i="1"/>
  <c r="E144" i="1" s="1"/>
  <c r="V145" i="1"/>
  <c r="U145" i="1"/>
  <c r="T145" i="1"/>
  <c r="S145" i="1"/>
  <c r="R145" i="1"/>
  <c r="V144" i="1"/>
  <c r="U144" i="1"/>
  <c r="T144" i="1"/>
  <c r="S144" i="1"/>
  <c r="R144" i="1"/>
  <c r="V143" i="1"/>
  <c r="U143" i="1"/>
  <c r="T143" i="1"/>
  <c r="S143" i="1"/>
  <c r="R143" i="1"/>
  <c r="V142" i="1"/>
  <c r="U142" i="1"/>
  <c r="T142" i="1"/>
  <c r="S142" i="1"/>
  <c r="R142" i="1"/>
  <c r="V141" i="1"/>
  <c r="U141" i="1"/>
  <c r="T141" i="1"/>
  <c r="S141" i="1"/>
  <c r="R141" i="1"/>
  <c r="V138" i="1"/>
  <c r="U138" i="1"/>
  <c r="S138" i="1"/>
  <c r="O138" i="1"/>
  <c r="H138" i="1"/>
  <c r="V137" i="1"/>
  <c r="U137" i="1"/>
  <c r="T137" i="1"/>
  <c r="R137" i="1"/>
  <c r="V136" i="1"/>
  <c r="U136" i="1"/>
  <c r="T136" i="1"/>
  <c r="S136" i="1"/>
  <c r="R136" i="1"/>
  <c r="V135" i="1"/>
  <c r="U135" i="1"/>
  <c r="T135" i="1"/>
  <c r="S135" i="1"/>
  <c r="V134" i="1"/>
  <c r="U134" i="1"/>
  <c r="T134" i="1"/>
  <c r="S134" i="1"/>
  <c r="R134" i="1"/>
  <c r="V133" i="1"/>
  <c r="U133" i="1"/>
  <c r="T133" i="1"/>
  <c r="S133" i="1"/>
  <c r="V132" i="1"/>
  <c r="U132" i="1"/>
  <c r="T132" i="1"/>
  <c r="R132" i="1"/>
  <c r="S132" i="1"/>
  <c r="V131" i="1"/>
  <c r="U131" i="1"/>
  <c r="T131" i="1"/>
  <c r="S131" i="1"/>
  <c r="V130" i="1"/>
  <c r="U130" i="1"/>
  <c r="T130" i="1"/>
  <c r="S130" i="1"/>
  <c r="R130" i="1"/>
  <c r="V129" i="1"/>
  <c r="U129" i="1"/>
  <c r="T129" i="1"/>
  <c r="R129" i="1"/>
  <c r="V128" i="1"/>
  <c r="U128" i="1"/>
  <c r="T128" i="1"/>
  <c r="S128" i="1"/>
  <c r="R128" i="1"/>
  <c r="V127" i="1"/>
  <c r="U127" i="1"/>
  <c r="T127" i="1"/>
  <c r="S127" i="1"/>
  <c r="R127" i="1"/>
  <c r="V126" i="1"/>
  <c r="U126" i="1"/>
  <c r="T126" i="1"/>
  <c r="S126" i="1"/>
  <c r="V125" i="1"/>
  <c r="U125" i="1"/>
  <c r="T125" i="1"/>
  <c r="S125" i="1"/>
  <c r="R125" i="1"/>
  <c r="V122" i="1"/>
  <c r="U122" i="1"/>
  <c r="T122" i="1"/>
  <c r="S122" i="1"/>
  <c r="V121" i="1"/>
  <c r="U121" i="1"/>
  <c r="T121" i="1"/>
  <c r="S121" i="1"/>
  <c r="R121" i="1"/>
  <c r="V120" i="1"/>
  <c r="U120" i="1"/>
  <c r="T120" i="1"/>
  <c r="S120" i="1"/>
  <c r="R120" i="1"/>
  <c r="V119" i="1"/>
  <c r="U119" i="1"/>
  <c r="T119" i="1"/>
  <c r="S119" i="1"/>
  <c r="V118" i="1"/>
  <c r="U118" i="1"/>
  <c r="T118" i="1"/>
  <c r="S118" i="1"/>
  <c r="R118" i="1"/>
  <c r="V117" i="1"/>
  <c r="U117" i="1"/>
  <c r="T117" i="1"/>
  <c r="S117" i="1"/>
  <c r="R117" i="1"/>
  <c r="V116" i="1"/>
  <c r="U116" i="1"/>
  <c r="T116" i="1"/>
  <c r="S116" i="1"/>
  <c r="R116" i="1"/>
  <c r="V115" i="1"/>
  <c r="U115" i="1"/>
  <c r="T115" i="1"/>
  <c r="S115" i="1"/>
  <c r="R115" i="1"/>
  <c r="V114" i="1"/>
  <c r="U114" i="1"/>
  <c r="T114" i="1"/>
  <c r="S114" i="1"/>
  <c r="R114" i="1"/>
  <c r="V113" i="1"/>
  <c r="U113" i="1"/>
  <c r="T113" i="1"/>
  <c r="S113" i="1"/>
  <c r="V112" i="1"/>
  <c r="U112" i="1"/>
  <c r="T112" i="1"/>
  <c r="S112" i="1"/>
  <c r="V111" i="1"/>
  <c r="U111" i="1"/>
  <c r="T111" i="1"/>
  <c r="S111" i="1"/>
  <c r="R111" i="1"/>
  <c r="V110" i="1"/>
  <c r="U110" i="1"/>
  <c r="T110" i="1"/>
  <c r="S110" i="1"/>
  <c r="V109" i="1"/>
  <c r="U109" i="1"/>
  <c r="T109" i="1"/>
  <c r="S109" i="1"/>
  <c r="V108" i="1"/>
  <c r="U108" i="1"/>
  <c r="T108" i="1"/>
  <c r="R108" i="1"/>
  <c r="S108" i="1"/>
  <c r="V104" i="1"/>
  <c r="U104" i="1"/>
  <c r="S104" i="1"/>
  <c r="O104" i="1"/>
  <c r="K104" i="1"/>
  <c r="L82" i="1" s="1"/>
  <c r="H104" i="1"/>
  <c r="D104" i="1"/>
  <c r="B15" i="2" s="1"/>
  <c r="B5" i="2" s="1"/>
  <c r="V103" i="1"/>
  <c r="U103" i="1"/>
  <c r="T103" i="1"/>
  <c r="S103" i="1"/>
  <c r="R103" i="1"/>
  <c r="V102" i="1"/>
  <c r="U102" i="1"/>
  <c r="T102" i="1"/>
  <c r="S102" i="1"/>
  <c r="R102" i="1"/>
  <c r="V101" i="1"/>
  <c r="U101" i="1"/>
  <c r="T101" i="1"/>
  <c r="S101" i="1"/>
  <c r="R101" i="1"/>
  <c r="V100" i="1"/>
  <c r="U100" i="1"/>
  <c r="T100" i="1"/>
  <c r="S100" i="1"/>
  <c r="R100" i="1"/>
  <c r="V99" i="1"/>
  <c r="U99" i="1"/>
  <c r="T99" i="1"/>
  <c r="S99" i="1"/>
  <c r="R99" i="1"/>
  <c r="V98" i="1"/>
  <c r="U98" i="1"/>
  <c r="T98" i="1"/>
  <c r="S98" i="1"/>
  <c r="R98" i="1"/>
  <c r="V97" i="1"/>
  <c r="U97" i="1"/>
  <c r="T97" i="1"/>
  <c r="S97" i="1"/>
  <c r="R97" i="1"/>
  <c r="V96" i="1"/>
  <c r="U96" i="1"/>
  <c r="T96" i="1"/>
  <c r="S96" i="1"/>
  <c r="R96" i="1"/>
  <c r="V95" i="1"/>
  <c r="U95" i="1"/>
  <c r="T95" i="1"/>
  <c r="S95" i="1"/>
  <c r="R95" i="1"/>
  <c r="V94" i="1"/>
  <c r="U94" i="1"/>
  <c r="T94" i="1"/>
  <c r="S94" i="1"/>
  <c r="R94" i="1"/>
  <c r="V93" i="1"/>
  <c r="U93" i="1"/>
  <c r="T93" i="1"/>
  <c r="S93" i="1"/>
  <c r="R93" i="1"/>
  <c r="V92" i="1"/>
  <c r="U92" i="1"/>
  <c r="T92" i="1"/>
  <c r="S92" i="1"/>
  <c r="R92" i="1"/>
  <c r="V91" i="1"/>
  <c r="U91" i="1"/>
  <c r="T91" i="1"/>
  <c r="S91" i="1"/>
  <c r="R91" i="1"/>
  <c r="V90" i="1"/>
  <c r="U90" i="1"/>
  <c r="T90" i="1"/>
  <c r="S90" i="1"/>
  <c r="R90" i="1"/>
  <c r="V89" i="1"/>
  <c r="U89" i="1"/>
  <c r="T89" i="1"/>
  <c r="S89" i="1"/>
  <c r="R89" i="1"/>
  <c r="V88" i="1"/>
  <c r="U88" i="1"/>
  <c r="T88" i="1"/>
  <c r="S88" i="1"/>
  <c r="R88" i="1"/>
  <c r="V87" i="1"/>
  <c r="U87" i="1"/>
  <c r="T87" i="1"/>
  <c r="S87" i="1"/>
  <c r="R87" i="1"/>
  <c r="V86" i="1"/>
  <c r="U86" i="1"/>
  <c r="T86" i="1"/>
  <c r="S86" i="1"/>
  <c r="R86" i="1"/>
  <c r="V85" i="1"/>
  <c r="U85" i="1"/>
  <c r="T85" i="1"/>
  <c r="S85" i="1"/>
  <c r="R85" i="1"/>
  <c r="V84" i="1"/>
  <c r="U84" i="1"/>
  <c r="T84" i="1"/>
  <c r="S84" i="1"/>
  <c r="R84" i="1"/>
  <c r="V83" i="1"/>
  <c r="U83" i="1"/>
  <c r="T83" i="1"/>
  <c r="S83" i="1"/>
  <c r="R83" i="1"/>
  <c r="V82" i="1"/>
  <c r="U82" i="1"/>
  <c r="T82" i="1"/>
  <c r="S82" i="1"/>
  <c r="R82" i="1"/>
  <c r="V81" i="1"/>
  <c r="U81" i="1"/>
  <c r="T81" i="1"/>
  <c r="S81" i="1"/>
  <c r="R81" i="1"/>
  <c r="V80" i="1"/>
  <c r="U80" i="1"/>
  <c r="T80" i="1"/>
  <c r="S80" i="1"/>
  <c r="R80" i="1"/>
  <c r="V79" i="1"/>
  <c r="U79" i="1"/>
  <c r="T79" i="1"/>
  <c r="S79" i="1"/>
  <c r="R79" i="1"/>
  <c r="V78" i="1"/>
  <c r="U78" i="1"/>
  <c r="T78" i="1"/>
  <c r="S78" i="1"/>
  <c r="R78" i="1"/>
  <c r="V77" i="1"/>
  <c r="U77" i="1"/>
  <c r="T77" i="1"/>
  <c r="S77" i="1"/>
  <c r="R77" i="1"/>
  <c r="V76" i="1"/>
  <c r="U76" i="1"/>
  <c r="T76" i="1"/>
  <c r="S76" i="1"/>
  <c r="R76" i="1"/>
  <c r="V75" i="1"/>
  <c r="U75" i="1"/>
  <c r="T75" i="1"/>
  <c r="S75" i="1"/>
  <c r="R75" i="1"/>
  <c r="V74" i="1"/>
  <c r="U74" i="1"/>
  <c r="T74" i="1"/>
  <c r="S74" i="1"/>
  <c r="R74" i="1"/>
  <c r="V73" i="1"/>
  <c r="U73" i="1"/>
  <c r="T73" i="1"/>
  <c r="S73" i="1"/>
  <c r="R73" i="1"/>
  <c r="U72" i="1"/>
  <c r="T72" i="1"/>
  <c r="S72" i="1"/>
  <c r="R72" i="1"/>
  <c r="V71" i="1"/>
  <c r="U71" i="1"/>
  <c r="T71" i="1"/>
  <c r="S71" i="1"/>
  <c r="R71" i="1"/>
  <c r="V70" i="1"/>
  <c r="U70" i="1"/>
  <c r="T70" i="1"/>
  <c r="S70" i="1"/>
  <c r="R70" i="1"/>
  <c r="V69" i="1"/>
  <c r="U69" i="1"/>
  <c r="T69" i="1"/>
  <c r="S69" i="1"/>
  <c r="R69" i="1"/>
  <c r="V68" i="1"/>
  <c r="U68" i="1"/>
  <c r="T68" i="1"/>
  <c r="S68" i="1"/>
  <c r="R68" i="1"/>
  <c r="V65" i="1"/>
  <c r="U65" i="1"/>
  <c r="S65" i="1"/>
  <c r="O65" i="1"/>
  <c r="K65" i="1"/>
  <c r="L57" i="1" s="1"/>
  <c r="H65" i="1"/>
  <c r="D65" i="1"/>
  <c r="B14" i="2" s="1"/>
  <c r="B4" i="2" s="1"/>
  <c r="V64" i="1"/>
  <c r="U64" i="1"/>
  <c r="T64" i="1"/>
  <c r="S64" i="1"/>
  <c r="R64" i="1"/>
  <c r="V63" i="1"/>
  <c r="U63" i="1"/>
  <c r="T63" i="1"/>
  <c r="S63" i="1"/>
  <c r="R63" i="1"/>
  <c r="V62" i="1"/>
  <c r="U62" i="1"/>
  <c r="T62" i="1"/>
  <c r="S62" i="1"/>
  <c r="R62" i="1"/>
  <c r="V61" i="1"/>
  <c r="U61" i="1"/>
  <c r="T61" i="1"/>
  <c r="S61" i="1"/>
  <c r="R61" i="1"/>
  <c r="V60" i="1"/>
  <c r="U60" i="1"/>
  <c r="T60" i="1"/>
  <c r="S60" i="1"/>
  <c r="R60" i="1"/>
  <c r="V59" i="1"/>
  <c r="U59" i="1"/>
  <c r="T59" i="1"/>
  <c r="S59" i="1"/>
  <c r="R59" i="1"/>
  <c r="V58" i="1"/>
  <c r="U58" i="1"/>
  <c r="T58" i="1"/>
  <c r="S58" i="1"/>
  <c r="R58" i="1"/>
  <c r="V57" i="1"/>
  <c r="U57" i="1"/>
  <c r="T57" i="1"/>
  <c r="S57" i="1"/>
  <c r="R57" i="1"/>
  <c r="V56" i="1"/>
  <c r="U56" i="1"/>
  <c r="T56" i="1"/>
  <c r="S56" i="1"/>
  <c r="R56" i="1"/>
  <c r="V55" i="1"/>
  <c r="U55" i="1"/>
  <c r="T55" i="1"/>
  <c r="S55" i="1"/>
  <c r="R55" i="1"/>
  <c r="V54" i="1"/>
  <c r="U54" i="1"/>
  <c r="T54" i="1"/>
  <c r="S54" i="1"/>
  <c r="R54" i="1"/>
  <c r="V53" i="1"/>
  <c r="U53" i="1"/>
  <c r="T53" i="1"/>
  <c r="S53" i="1"/>
  <c r="R53" i="1"/>
  <c r="V52" i="1"/>
  <c r="U52" i="1"/>
  <c r="T52" i="1"/>
  <c r="S52" i="1"/>
  <c r="R52" i="1"/>
  <c r="V51" i="1"/>
  <c r="U51" i="1"/>
  <c r="T51" i="1"/>
  <c r="S51" i="1"/>
  <c r="R51" i="1"/>
  <c r="V50" i="1"/>
  <c r="U50" i="1"/>
  <c r="T50" i="1"/>
  <c r="S50" i="1"/>
  <c r="R50" i="1"/>
  <c r="V49" i="1"/>
  <c r="U49" i="1"/>
  <c r="T49" i="1"/>
  <c r="S49" i="1"/>
  <c r="R49" i="1"/>
  <c r="V48" i="1"/>
  <c r="U48" i="1"/>
  <c r="T48" i="1"/>
  <c r="S48" i="1"/>
  <c r="R48" i="1"/>
  <c r="V46" i="1"/>
  <c r="U46" i="1"/>
  <c r="T46" i="1"/>
  <c r="S46" i="1"/>
  <c r="R46" i="1"/>
  <c r="V45" i="1"/>
  <c r="U45" i="1"/>
  <c r="T45" i="1"/>
  <c r="S45" i="1"/>
  <c r="R45" i="1"/>
  <c r="V44" i="1"/>
  <c r="U44" i="1"/>
  <c r="T44" i="1"/>
  <c r="S44" i="1"/>
  <c r="R44" i="1"/>
  <c r="V43" i="1"/>
  <c r="U43" i="1"/>
  <c r="T43" i="1"/>
  <c r="S43" i="1"/>
  <c r="R43" i="1"/>
  <c r="V42" i="1"/>
  <c r="U42" i="1"/>
  <c r="T42" i="1"/>
  <c r="S42" i="1"/>
  <c r="R42" i="1"/>
  <c r="V41" i="1"/>
  <c r="U41" i="1"/>
  <c r="T41" i="1"/>
  <c r="S41" i="1"/>
  <c r="R41" i="1"/>
  <c r="V40" i="1"/>
  <c r="U40" i="1"/>
  <c r="T40" i="1"/>
  <c r="S40" i="1"/>
  <c r="R40" i="1"/>
  <c r="V39" i="1"/>
  <c r="U39" i="1"/>
  <c r="T39" i="1"/>
  <c r="S39" i="1"/>
  <c r="R39" i="1"/>
  <c r="V38" i="1"/>
  <c r="U38" i="1"/>
  <c r="T38" i="1"/>
  <c r="S38" i="1"/>
  <c r="R38" i="1"/>
  <c r="V37" i="1"/>
  <c r="U37" i="1"/>
  <c r="T37" i="1"/>
  <c r="S37" i="1"/>
  <c r="R37" i="1"/>
  <c r="V36" i="1"/>
  <c r="U36" i="1"/>
  <c r="T36" i="1"/>
  <c r="S36" i="1"/>
  <c r="R36" i="1"/>
  <c r="V35" i="1"/>
  <c r="U35" i="1"/>
  <c r="T35" i="1"/>
  <c r="S35" i="1"/>
  <c r="R35" i="1"/>
  <c r="V34" i="1"/>
  <c r="U34" i="1"/>
  <c r="T34" i="1"/>
  <c r="S34" i="1"/>
  <c r="R34" i="1"/>
  <c r="V33" i="1"/>
  <c r="U33" i="1"/>
  <c r="T33" i="1"/>
  <c r="S33" i="1"/>
  <c r="R33" i="1"/>
  <c r="V31" i="1"/>
  <c r="U31" i="1"/>
  <c r="T31" i="1"/>
  <c r="S31" i="1"/>
  <c r="R31" i="1"/>
  <c r="V30" i="1"/>
  <c r="U30" i="1"/>
  <c r="T30" i="1"/>
  <c r="S30" i="1"/>
  <c r="R30" i="1"/>
  <c r="V29" i="1"/>
  <c r="U29" i="1"/>
  <c r="T29" i="1"/>
  <c r="S29" i="1"/>
  <c r="R29" i="1"/>
  <c r="V28" i="1"/>
  <c r="U28" i="1"/>
  <c r="T28" i="1"/>
  <c r="S28" i="1"/>
  <c r="R28" i="1"/>
  <c r="V27" i="1"/>
  <c r="U27" i="1"/>
  <c r="T27" i="1"/>
  <c r="S27" i="1"/>
  <c r="R27" i="1"/>
  <c r="V24" i="1"/>
  <c r="U24" i="1"/>
  <c r="S24" i="1"/>
  <c r="O24" i="1"/>
  <c r="K24" i="1"/>
  <c r="H24" i="1"/>
  <c r="D24" i="1"/>
  <c r="V23" i="1"/>
  <c r="U23" i="1"/>
  <c r="T23" i="1"/>
  <c r="S23" i="1"/>
  <c r="R23" i="1"/>
  <c r="V22" i="1"/>
  <c r="U22" i="1"/>
  <c r="T22" i="1"/>
  <c r="S22" i="1"/>
  <c r="R22" i="1"/>
  <c r="V21" i="1"/>
  <c r="U21" i="1"/>
  <c r="T21" i="1"/>
  <c r="S21" i="1"/>
  <c r="R21" i="1"/>
  <c r="V20" i="1"/>
  <c r="U20" i="1"/>
  <c r="T20" i="1"/>
  <c r="S20" i="1"/>
  <c r="R20" i="1"/>
  <c r="V19" i="1"/>
  <c r="U19" i="1"/>
  <c r="T19" i="1"/>
  <c r="S19" i="1"/>
  <c r="R19" i="1"/>
  <c r="V18" i="1"/>
  <c r="U18" i="1"/>
  <c r="T18" i="1"/>
  <c r="S18" i="1"/>
  <c r="R18" i="1"/>
  <c r="V17" i="1"/>
  <c r="U17" i="1"/>
  <c r="T17" i="1"/>
  <c r="S17" i="1"/>
  <c r="R17" i="1"/>
  <c r="V16" i="1"/>
  <c r="U16" i="1"/>
  <c r="T16" i="1"/>
  <c r="S16" i="1"/>
  <c r="R16" i="1"/>
  <c r="V15" i="1"/>
  <c r="U15" i="1"/>
  <c r="T15" i="1"/>
  <c r="S15" i="1"/>
  <c r="R15" i="1"/>
  <c r="V14" i="1"/>
  <c r="U14" i="1"/>
  <c r="T14" i="1"/>
  <c r="S14" i="1"/>
  <c r="R14" i="1"/>
  <c r="V13" i="1"/>
  <c r="U13" i="1"/>
  <c r="T13" i="1"/>
  <c r="S13" i="1"/>
  <c r="R13" i="1"/>
  <c r="V12" i="1"/>
  <c r="U12" i="1"/>
  <c r="T12" i="1"/>
  <c r="S12" i="1"/>
  <c r="R12" i="1"/>
  <c r="V11" i="1"/>
  <c r="U11" i="1"/>
  <c r="T11" i="1"/>
  <c r="S11" i="1"/>
  <c r="R11" i="1"/>
  <c r="V10" i="1"/>
  <c r="U10" i="1"/>
  <c r="T10" i="1"/>
  <c r="S10" i="1"/>
  <c r="R10" i="1"/>
  <c r="V9" i="1"/>
  <c r="U9" i="1"/>
  <c r="T9" i="1"/>
  <c r="S9" i="1"/>
  <c r="R9" i="1"/>
  <c r="V8" i="1"/>
  <c r="U8" i="1"/>
  <c r="T8" i="1"/>
  <c r="S8" i="1"/>
  <c r="R8" i="1"/>
  <c r="V7" i="1"/>
  <c r="U7" i="1"/>
  <c r="T7" i="1"/>
  <c r="S7" i="1"/>
  <c r="R7" i="1"/>
  <c r="V6" i="1"/>
  <c r="U6" i="1"/>
  <c r="T6" i="1"/>
  <c r="S6" i="1"/>
  <c r="R6" i="1"/>
  <c r="L32" i="1" l="1"/>
  <c r="L12" i="1"/>
  <c r="L100" i="1"/>
  <c r="L69" i="1"/>
  <c r="E14" i="1"/>
  <c r="E32" i="1"/>
  <c r="E47" i="1"/>
  <c r="L47" i="1"/>
  <c r="R212" i="1"/>
  <c r="B5" i="3"/>
  <c r="L158" i="1"/>
  <c r="L21" i="1"/>
  <c r="L7" i="1"/>
  <c r="D4" i="5"/>
  <c r="D3" i="5" s="1"/>
  <c r="B4" i="3"/>
  <c r="L194" i="1"/>
  <c r="R232" i="1"/>
  <c r="E228" i="1"/>
  <c r="E226" i="1"/>
  <c r="E224" i="1"/>
  <c r="E8" i="1"/>
  <c r="L203" i="1"/>
  <c r="E189" i="1"/>
  <c r="T232" i="1"/>
  <c r="J12" i="4"/>
  <c r="E12" i="1"/>
  <c r="E10" i="1"/>
  <c r="E6" i="1"/>
  <c r="E18" i="1"/>
  <c r="E193" i="1"/>
  <c r="E215" i="1"/>
  <c r="E222" i="1"/>
  <c r="E156" i="1"/>
  <c r="L172" i="1"/>
  <c r="E82" i="1"/>
  <c r="E170" i="1"/>
  <c r="E160" i="1"/>
  <c r="E22" i="1"/>
  <c r="E46" i="1"/>
  <c r="E20" i="1"/>
  <c r="E150" i="1"/>
  <c r="E16" i="1"/>
  <c r="E164" i="1"/>
  <c r="E71" i="1"/>
  <c r="E102" i="1"/>
  <c r="E98" i="1"/>
  <c r="E74" i="1"/>
  <c r="E96" i="1"/>
  <c r="S137" i="1"/>
  <c r="E152" i="1"/>
  <c r="E168" i="1"/>
  <c r="E220" i="1"/>
  <c r="E231" i="1"/>
  <c r="E94" i="1"/>
  <c r="E92" i="1"/>
  <c r="E76" i="1"/>
  <c r="E68" i="1"/>
  <c r="E70" i="1"/>
  <c r="E142" i="1"/>
  <c r="T184" i="1"/>
  <c r="E88" i="1"/>
  <c r="E80" i="1"/>
  <c r="E100" i="1"/>
  <c r="E86" i="1"/>
  <c r="E69" i="1"/>
  <c r="E78" i="1"/>
  <c r="E84" i="1"/>
  <c r="L23" i="1"/>
  <c r="E91" i="1"/>
  <c r="E93" i="1"/>
  <c r="E95" i="1"/>
  <c r="E97" i="1"/>
  <c r="E99" i="1"/>
  <c r="E101" i="1"/>
  <c r="E103" i="1"/>
  <c r="E176" i="1"/>
  <c r="E221" i="1"/>
  <c r="E223" i="1"/>
  <c r="E225" i="1"/>
  <c r="E227" i="1"/>
  <c r="E229" i="1"/>
  <c r="L19" i="1"/>
  <c r="E73" i="1"/>
  <c r="E75" i="1"/>
  <c r="E77" i="1"/>
  <c r="E79" i="1"/>
  <c r="E81" i="1"/>
  <c r="E83" i="1"/>
  <c r="E85" i="1"/>
  <c r="E87" i="1"/>
  <c r="E89" i="1"/>
  <c r="E172" i="1"/>
  <c r="E174" i="1"/>
  <c r="L15" i="1"/>
  <c r="E166" i="1"/>
  <c r="T138" i="1"/>
  <c r="L11" i="1"/>
  <c r="L141" i="1"/>
  <c r="L145" i="1"/>
  <c r="E162" i="1"/>
  <c r="L231" i="1"/>
  <c r="T65" i="1"/>
  <c r="L181" i="1"/>
  <c r="L183" i="1"/>
  <c r="E196" i="1"/>
  <c r="E198" i="1"/>
  <c r="E200" i="1"/>
  <c r="E202" i="1"/>
  <c r="T207" i="1"/>
  <c r="L6" i="1"/>
  <c r="L10" i="1"/>
  <c r="L14" i="1"/>
  <c r="L18" i="1"/>
  <c r="L22" i="1"/>
  <c r="E158" i="1"/>
  <c r="E188" i="1"/>
  <c r="E192" i="1"/>
  <c r="E194" i="1"/>
  <c r="E206" i="1"/>
  <c r="H208" i="1"/>
  <c r="H233" i="1" s="1"/>
  <c r="R217" i="1"/>
  <c r="D138" i="1"/>
  <c r="E122" i="1" s="1"/>
  <c r="T104" i="1"/>
  <c r="L144" i="1"/>
  <c r="T146" i="1"/>
  <c r="L176" i="1"/>
  <c r="T178" i="1"/>
  <c r="L182" i="1"/>
  <c r="E197" i="1"/>
  <c r="E199" i="1"/>
  <c r="E201" i="1"/>
  <c r="E203" i="1"/>
  <c r="C4" i="5"/>
  <c r="C3" i="5" s="1"/>
  <c r="D12" i="4"/>
  <c r="G12" i="4"/>
  <c r="H4" i="5"/>
  <c r="H3" i="5" s="1"/>
  <c r="I12" i="4"/>
  <c r="E90" i="1"/>
  <c r="L42" i="1"/>
  <c r="L63" i="1"/>
  <c r="L168" i="1"/>
  <c r="L164" i="1"/>
  <c r="L160" i="1"/>
  <c r="L156" i="1"/>
  <c r="L152" i="1"/>
  <c r="L149" i="1"/>
  <c r="L153" i="1"/>
  <c r="L157" i="1"/>
  <c r="L161" i="1"/>
  <c r="L165" i="1"/>
  <c r="L169" i="1"/>
  <c r="L173" i="1"/>
  <c r="L177" i="1"/>
  <c r="L78" i="1"/>
  <c r="L102" i="1"/>
  <c r="L59" i="1"/>
  <c r="L55" i="1"/>
  <c r="L53" i="1"/>
  <c r="L61" i="1"/>
  <c r="L51" i="1"/>
  <c r="L49" i="1"/>
  <c r="E54" i="1"/>
  <c r="E56" i="1"/>
  <c r="E58" i="1"/>
  <c r="E60" i="1"/>
  <c r="E62" i="1"/>
  <c r="E64" i="1"/>
  <c r="E52" i="1"/>
  <c r="E50" i="1"/>
  <c r="E48" i="1"/>
  <c r="L192" i="1"/>
  <c r="L197" i="1"/>
  <c r="L188" i="1"/>
  <c r="L195" i="1"/>
  <c r="L199" i="1"/>
  <c r="L223" i="1"/>
  <c r="L227" i="1"/>
  <c r="L221" i="1"/>
  <c r="L225" i="1"/>
  <c r="L229" i="1"/>
  <c r="L220" i="1"/>
  <c r="L222" i="1"/>
  <c r="L224" i="1"/>
  <c r="L226" i="1"/>
  <c r="L228" i="1"/>
  <c r="L230" i="1"/>
  <c r="L86" i="1"/>
  <c r="L94" i="1"/>
  <c r="L201" i="1"/>
  <c r="L71" i="1"/>
  <c r="E72" i="1"/>
  <c r="L74" i="1"/>
  <c r="L98" i="1"/>
  <c r="L46" i="1"/>
  <c r="L150" i="1"/>
  <c r="L151" i="1"/>
  <c r="L154" i="1"/>
  <c r="L155" i="1"/>
  <c r="L159" i="1"/>
  <c r="L162" i="1"/>
  <c r="L163" i="1"/>
  <c r="L166" i="1"/>
  <c r="L167" i="1"/>
  <c r="L170" i="1"/>
  <c r="L171" i="1"/>
  <c r="L174" i="1"/>
  <c r="L175" i="1"/>
  <c r="L76" i="1"/>
  <c r="L80" i="1"/>
  <c r="L84" i="1"/>
  <c r="L88" i="1"/>
  <c r="L92" i="1"/>
  <c r="L96" i="1"/>
  <c r="R146" i="1"/>
  <c r="L142" i="1"/>
  <c r="L143" i="1"/>
  <c r="L27" i="1"/>
  <c r="E28" i="1"/>
  <c r="L29" i="1"/>
  <c r="E30" i="1"/>
  <c r="L31" i="1"/>
  <c r="E33" i="1"/>
  <c r="L34" i="1"/>
  <c r="E35" i="1"/>
  <c r="L36" i="1"/>
  <c r="E37" i="1"/>
  <c r="L38" i="1"/>
  <c r="E39" i="1"/>
  <c r="L40" i="1"/>
  <c r="E41" i="1"/>
  <c r="E43" i="1"/>
  <c r="L44" i="1"/>
  <c r="E45" i="1"/>
  <c r="L8" i="1"/>
  <c r="L9" i="1"/>
  <c r="L13" i="1"/>
  <c r="L16" i="1"/>
  <c r="L17" i="1"/>
  <c r="L20" i="1"/>
  <c r="R178" i="1"/>
  <c r="B7" i="3"/>
  <c r="C15" i="2"/>
  <c r="C5" i="2" s="1"/>
  <c r="R110" i="1"/>
  <c r="R112" i="1"/>
  <c r="R113" i="1"/>
  <c r="R119" i="1"/>
  <c r="E7" i="1"/>
  <c r="E9" i="1"/>
  <c r="E11" i="1"/>
  <c r="E13" i="1"/>
  <c r="E15" i="1"/>
  <c r="E17" i="1"/>
  <c r="E19" i="1"/>
  <c r="E21" i="1"/>
  <c r="E23" i="1"/>
  <c r="B3" i="3"/>
  <c r="C13" i="2"/>
  <c r="C3" i="2" s="1"/>
  <c r="O208" i="1"/>
  <c r="O233" i="1" s="1"/>
  <c r="E27" i="1"/>
  <c r="L28" i="1"/>
  <c r="E29" i="1"/>
  <c r="L30" i="1"/>
  <c r="E31" i="1"/>
  <c r="L33" i="1"/>
  <c r="E34" i="1"/>
  <c r="L35" i="1"/>
  <c r="E36" i="1"/>
  <c r="L37" i="1"/>
  <c r="E38" i="1"/>
  <c r="L39" i="1"/>
  <c r="E40" i="1"/>
  <c r="L41" i="1"/>
  <c r="E42" i="1"/>
  <c r="L43" i="1"/>
  <c r="E44" i="1"/>
  <c r="L45" i="1"/>
  <c r="L48" i="1"/>
  <c r="E49" i="1"/>
  <c r="L50" i="1"/>
  <c r="E51" i="1"/>
  <c r="L52" i="1"/>
  <c r="E53" i="1"/>
  <c r="L54" i="1"/>
  <c r="E55" i="1"/>
  <c r="L56" i="1"/>
  <c r="E57" i="1"/>
  <c r="L58" i="1"/>
  <c r="E59" i="1"/>
  <c r="L60" i="1"/>
  <c r="E61" i="1"/>
  <c r="L62" i="1"/>
  <c r="E63" i="1"/>
  <c r="L64" i="1"/>
  <c r="R65" i="1"/>
  <c r="L68" i="1"/>
  <c r="L70" i="1"/>
  <c r="L72" i="1"/>
  <c r="L73" i="1"/>
  <c r="L75" i="1"/>
  <c r="L77" i="1"/>
  <c r="L79" i="1"/>
  <c r="L81" i="1"/>
  <c r="L83" i="1"/>
  <c r="L85" i="1"/>
  <c r="L87" i="1"/>
  <c r="L89" i="1"/>
  <c r="L91" i="1"/>
  <c r="L93" i="1"/>
  <c r="L95" i="1"/>
  <c r="L97" i="1"/>
  <c r="L99" i="1"/>
  <c r="L101" i="1"/>
  <c r="L103" i="1"/>
  <c r="R104" i="1"/>
  <c r="K138" i="1"/>
  <c r="L119" i="1" s="1"/>
  <c r="R109" i="1"/>
  <c r="R122" i="1"/>
  <c r="R126" i="1"/>
  <c r="S129" i="1"/>
  <c r="B19" i="2"/>
  <c r="B9" i="2" s="1"/>
  <c r="E183" i="1"/>
  <c r="E181" i="1"/>
  <c r="B13" i="2"/>
  <c r="B3" i="2" s="1"/>
  <c r="R24" i="1"/>
  <c r="T24" i="1"/>
  <c r="B8" i="3"/>
  <c r="C14" i="2"/>
  <c r="C4" i="2" s="1"/>
  <c r="L90" i="1"/>
  <c r="R131" i="1"/>
  <c r="R133" i="1"/>
  <c r="R135" i="1"/>
  <c r="B17" i="2"/>
  <c r="B7" i="2" s="1"/>
  <c r="E145" i="1"/>
  <c r="E143" i="1"/>
  <c r="E141" i="1"/>
  <c r="B18" i="2"/>
  <c r="B8" i="2" s="1"/>
  <c r="E177" i="1"/>
  <c r="E175" i="1"/>
  <c r="E173" i="1"/>
  <c r="E171" i="1"/>
  <c r="E169" i="1"/>
  <c r="E167" i="1"/>
  <c r="E165" i="1"/>
  <c r="E163" i="1"/>
  <c r="E161" i="1"/>
  <c r="E159" i="1"/>
  <c r="E157" i="1"/>
  <c r="E155" i="1"/>
  <c r="E153" i="1"/>
  <c r="E151" i="1"/>
  <c r="E149" i="1"/>
  <c r="E182" i="1"/>
  <c r="R184" i="1"/>
  <c r="L189" i="1"/>
  <c r="L193" i="1"/>
  <c r="L198" i="1"/>
  <c r="L200" i="1"/>
  <c r="L202" i="1"/>
  <c r="L206" i="1"/>
  <c r="R207" i="1"/>
  <c r="E211" i="1"/>
  <c r="L215" i="1"/>
  <c r="C17" i="2"/>
  <c r="C7" i="2" s="1"/>
  <c r="C18" i="2"/>
  <c r="C8" i="2" s="1"/>
  <c r="C19" i="2"/>
  <c r="C9" i="2" s="1"/>
  <c r="C20" i="2"/>
  <c r="C10" i="2" s="1"/>
  <c r="E125" i="1" l="1"/>
  <c r="E129" i="1"/>
  <c r="E130" i="1"/>
  <c r="E121" i="1"/>
  <c r="E108" i="1"/>
  <c r="E112" i="1"/>
  <c r="E126" i="1"/>
  <c r="D208" i="1"/>
  <c r="E65" i="1" s="1"/>
  <c r="E119" i="1"/>
  <c r="E135" i="1"/>
  <c r="E127" i="1"/>
  <c r="E110" i="1"/>
  <c r="E111" i="1"/>
  <c r="E137" i="1"/>
  <c r="E133" i="1"/>
  <c r="E114" i="1"/>
  <c r="E128" i="1"/>
  <c r="E115" i="1"/>
  <c r="E132" i="1"/>
  <c r="E131" i="1"/>
  <c r="E117" i="1"/>
  <c r="E134" i="1"/>
  <c r="E118" i="1"/>
  <c r="B16" i="2"/>
  <c r="B6" i="2" s="1"/>
  <c r="E120" i="1"/>
  <c r="E116" i="1"/>
  <c r="E109" i="1"/>
  <c r="L133" i="1"/>
  <c r="K208" i="1"/>
  <c r="L138" i="1" s="1"/>
  <c r="L126" i="1"/>
  <c r="L110" i="1"/>
  <c r="B9" i="3"/>
  <c r="C16" i="2"/>
  <c r="C6" i="2" s="1"/>
  <c r="L136" i="1"/>
  <c r="L129" i="1"/>
  <c r="L137" i="1"/>
  <c r="L134" i="1"/>
  <c r="L132" i="1"/>
  <c r="R138" i="1"/>
  <c r="L130" i="1"/>
  <c r="L128" i="1"/>
  <c r="L127" i="1"/>
  <c r="L125" i="1"/>
  <c r="L121" i="1"/>
  <c r="L117" i="1"/>
  <c r="L115" i="1"/>
  <c r="L108" i="1"/>
  <c r="L120" i="1"/>
  <c r="L118" i="1"/>
  <c r="L116" i="1"/>
  <c r="L114" i="1"/>
  <c r="L111" i="1"/>
  <c r="L109" i="1"/>
  <c r="L135" i="1"/>
  <c r="L131" i="1"/>
  <c r="L122" i="1"/>
  <c r="L112" i="1"/>
  <c r="L113" i="1"/>
  <c r="E184" i="1" l="1"/>
  <c r="E104" i="1"/>
  <c r="E178" i="1"/>
  <c r="E146" i="1"/>
  <c r="E207" i="1"/>
  <c r="D233" i="1"/>
  <c r="E24" i="1"/>
  <c r="E138" i="1"/>
  <c r="K233" i="1"/>
  <c r="R208" i="1"/>
  <c r="L184" i="1"/>
  <c r="L24" i="1"/>
  <c r="L178" i="1"/>
  <c r="L146" i="1"/>
  <c r="L65" i="1"/>
  <c r="L104" i="1"/>
  <c r="L207" i="1"/>
</calcChain>
</file>

<file path=xl/sharedStrings.xml><?xml version="1.0" encoding="utf-8"?>
<sst xmlns="http://schemas.openxmlformats.org/spreadsheetml/2006/main" count="479" uniqueCount="303">
  <si>
    <t>% Change (Current from Previous)</t>
  </si>
  <si>
    <t>Difference</t>
  </si>
  <si>
    <t>S/N</t>
  </si>
  <si>
    <t>FUND</t>
  </si>
  <si>
    <t>FUND MANAGER</t>
  </si>
  <si>
    <t>NAV (N)</t>
  </si>
  <si>
    <t>% to Total</t>
  </si>
  <si>
    <t>Bid Price (N)</t>
  </si>
  <si>
    <t>Offer Price (N)</t>
  </si>
  <si>
    <t>Unitholders</t>
  </si>
  <si>
    <t>Yield (WTD)</t>
  </si>
  <si>
    <t>Yield  (YTD)</t>
  </si>
  <si>
    <t>NAV (%)</t>
  </si>
  <si>
    <t>Unit Price (%)</t>
  </si>
  <si>
    <t>Uniholders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</si>
  <si>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</si>
  <si>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</si>
  <si>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</si>
  <si>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</si>
  <si>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</si>
  <si>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</si>
  <si>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</si>
  <si>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</si>
  <si>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ARM Investment Managers Limited</t>
  </si>
  <si>
    <t>AXA Mansard Equity Income Fund</t>
  </si>
  <si>
    <t>AXA Mansard Investments Limited</t>
  </si>
  <si>
    <t>CardinalStone Equity Fund</t>
  </si>
  <si>
    <t>CardinalStone Asset Mgt.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</si>
  <si>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</si>
  <si>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</si>
  <si>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</si>
  <si>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</si>
  <si>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</si>
  <si>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</si>
  <si>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</si>
  <si>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</si>
  <si>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Equity Income Fund</t>
  </si>
  <si>
    <t>Guaranty Trust Fund Managers</t>
  </si>
  <si>
    <t>Halo Equity Fund</t>
  </si>
  <si>
    <t>Halo Asset Management Limited</t>
  </si>
  <si>
    <t>Legacy Equity Fund</t>
  </si>
  <si>
    <t>FCMB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</si>
  <si>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</si>
  <si>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</si>
  <si>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</si>
  <si>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</si>
  <si>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</si>
  <si>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</si>
  <si>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</si>
  <si>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</si>
  <si>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</si>
  <si>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</si>
  <si>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</si>
  <si>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</si>
  <si>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</si>
  <si>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</si>
  <si>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</si>
  <si>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</si>
  <si>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</si>
  <si>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</si>
  <si>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</si>
  <si>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</si>
  <si>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Comercio Partners Money Market Fund</t>
  </si>
  <si>
    <t>Comercio Partners Asset Management Limited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</si>
  <si>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</si>
  <si>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</si>
  <si>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</si>
  <si>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</si>
  <si>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</si>
  <si>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</si>
  <si>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</si>
  <si>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</si>
  <si>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</si>
  <si>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</si>
  <si>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</si>
  <si>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</si>
  <si>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</si>
  <si>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</si>
  <si>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</si>
  <si>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</si>
  <si>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</si>
  <si>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</si>
  <si>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</si>
  <si>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</si>
  <si>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GTI  Money Market Fund</t>
  </si>
  <si>
    <t>GTI Asset Management &amp; Trust Limited</t>
  </si>
  <si>
    <t>Guaranty Trust Money Market Fund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</si>
  <si>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</si>
  <si>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</si>
  <si>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</si>
  <si>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</si>
  <si>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</si>
  <si>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</si>
  <si>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</si>
  <si>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Page Money Market Fund</t>
  </si>
  <si>
    <t>Page Asset Management Limited</t>
  </si>
  <si>
    <t>RMBN Money Market Fund</t>
  </si>
  <si>
    <t>RMB Nigeria Asset Management Ltd.</t>
  </si>
  <si>
    <t>RT Briscoe Savings &amp; Investment Fund</t>
  </si>
  <si>
    <t>DLM Asset Management Limited</t>
  </si>
  <si>
    <t>Stanbic IBTC Money Market Fund</t>
  </si>
  <si>
    <t>STL Money Market Fund</t>
  </si>
  <si>
    <t>STL Asset Management Limited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</si>
  <si>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</si>
  <si>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</si>
  <si>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</si>
  <si>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</si>
  <si>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</si>
  <si>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</si>
  <si>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</si>
  <si>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Zedcrest Money Market Fund</t>
  </si>
  <si>
    <t>Zedcrest Investment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</si>
  <si>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</si>
  <si>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</si>
  <si>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</si>
  <si>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</si>
  <si>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</si>
  <si>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</si>
  <si>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</si>
  <si>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</si>
  <si>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</si>
  <si>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CEAT Fixed Income Fund</t>
  </si>
  <si>
    <t>Capital Express Asset and Trust Limited</t>
  </si>
  <si>
    <t>Comercio Partners Fixed Income Fund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</si>
  <si>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</si>
  <si>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</si>
  <si>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</si>
  <si>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</si>
  <si>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</si>
  <si>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</si>
  <si>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EDC Fixed Income Fund</t>
  </si>
  <si>
    <t>Emerging Africa Bond Fund</t>
  </si>
  <si>
    <t>FBN Bond Fund</t>
  </si>
  <si>
    <t>GDL Income Fund</t>
  </si>
  <si>
    <t>Guaranty Trust Fixed Income Fund</t>
  </si>
  <si>
    <t>Lead Fixed Income Fund</t>
  </si>
  <si>
    <t>Lead Asset Management Limited</t>
  </si>
  <si>
    <t>Legacy Debt Fund</t>
  </si>
  <si>
    <t>Meristem Fixed Income Fund</t>
  </si>
  <si>
    <t>Nigeria Bond Fund</t>
  </si>
  <si>
    <t>Nigeria International Debt Fund</t>
  </si>
  <si>
    <t>Norrenberger Turbo Fund (NTF)</t>
  </si>
  <si>
    <t>PACAM Fixed Income Fund</t>
  </si>
  <si>
    <t>Radix Horizon Fund</t>
  </si>
  <si>
    <t>Radix Capital Partners Limited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</si>
  <si>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</si>
  <si>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</si>
  <si>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</si>
  <si>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</si>
  <si>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</si>
  <si>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</si>
  <si>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</si>
  <si>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</si>
  <si>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United Capital Stable Income Fund</t>
  </si>
  <si>
    <t>Utica Custodian Assured Fixed Income Fund</t>
  </si>
  <si>
    <t>Utica Capital Limited</t>
  </si>
  <si>
    <t>Zedcrest Fixed Income Fund</t>
  </si>
  <si>
    <t>Zenith Income Fund</t>
  </si>
  <si>
    <t>DOLLAR FUNDS</t>
  </si>
  <si>
    <t>EUROBONDS</t>
  </si>
  <si>
    <t>Afrinvest Dollar Fund</t>
  </si>
  <si>
    <t>AIICO Eurobond Fund</t>
  </si>
  <si>
    <t>ARM Eurobond Fund</t>
  </si>
  <si>
    <t>CardinalStone Dollar Fund</t>
  </si>
  <si>
    <t>Comercio Partners Dollar Fund</t>
  </si>
  <si>
    <t>Cowry Eurobond Fund</t>
  </si>
  <si>
    <t>EDC Dollar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</si>
  <si>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</si>
  <si>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</si>
  <si>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</si>
  <si>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</si>
  <si>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</si>
  <si>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</si>
  <si>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</si>
  <si>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</si>
  <si>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</si>
  <si>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</si>
  <si>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</si>
  <si>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</si>
  <si>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</si>
  <si>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Guaranty Dollar Fund</t>
  </si>
  <si>
    <t>Lead Dollar Fixed Income Fund</t>
  </si>
  <si>
    <t>Meristem Dollar Fund</t>
  </si>
  <si>
    <t>Nigeria Dollar Income Fund</t>
  </si>
  <si>
    <t>Nova Dollar Fixed Income Fund</t>
  </si>
  <si>
    <t>Stanbic IBTC Dollar Fund</t>
  </si>
  <si>
    <t>United Capital Global Fixed Income Fund</t>
  </si>
  <si>
    <t>RMBN Dollar Fixed Income Fund</t>
  </si>
  <si>
    <t>Zedcrest Dollar Fund</t>
  </si>
  <si>
    <t>REAL ESTATE INVESTMENT TRUSTS</t>
  </si>
  <si>
    <t>Housing Solution Fund</t>
  </si>
  <si>
    <t>Fundco Capital Managers Limited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</si>
  <si>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</si>
  <si>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</si>
  <si>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</si>
  <si>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</si>
  <si>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</si>
  <si>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</si>
  <si>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Alpha Morgan Balanced Fund</t>
  </si>
  <si>
    <t>Alpha Morgan Capital Managers Limited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</si>
  <si>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</si>
  <si>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</si>
  <si>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</si>
  <si>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</si>
  <si>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</si>
  <si>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</si>
  <si>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</si>
  <si>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</si>
  <si>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</si>
  <si>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</si>
  <si>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</si>
  <si>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</si>
  <si>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</si>
  <si>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GTI Balanced Fund</t>
  </si>
  <si>
    <t>Guaranty Trust Balanced Fund</t>
  </si>
  <si>
    <t>Hillcrest Balanced Fund</t>
  </si>
  <si>
    <t>Hillcrest Capital Management Limited</t>
  </si>
  <si>
    <t>Lead Balanced Fund</t>
  </si>
  <si>
    <t>Nigeria Energy Sector Fund</t>
  </si>
  <si>
    <t>Nova Hybrid Balanced Fund</t>
  </si>
  <si>
    <t>PACAM Balanced Fund</t>
  </si>
  <si>
    <t>Stanbic IBTC Balanced Fund</t>
  </si>
  <si>
    <t>STL Balanced Fund</t>
  </si>
  <si>
    <t>The Nigeria Football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</si>
  <si>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</si>
  <si>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</si>
  <si>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</si>
  <si>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</si>
  <si>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</si>
  <si>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</si>
  <si>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</si>
  <si>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</si>
  <si>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</si>
  <si>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</si>
  <si>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EQUITIES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</si>
  <si>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</si>
  <si>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</si>
  <si>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</si>
  <si>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</si>
  <si>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</si>
  <si>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</si>
  <si>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</si>
  <si>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Emerging Africa Halal Fund</t>
  </si>
  <si>
    <t>FBN Halal Fund</t>
  </si>
  <si>
    <t>FSDH Halal Fund</t>
  </si>
  <si>
    <t>Lotus Halal Fixed Income Fund</t>
  </si>
  <si>
    <t>Marble Halal Commodities Fund</t>
  </si>
  <si>
    <t xml:space="preserve">Marble Capital Limited </t>
  </si>
  <si>
    <t>Marble Halal Fixed Income Fund</t>
  </si>
  <si>
    <t>Norrenberger Islamic Fund</t>
  </si>
  <si>
    <t>Stanbic IBTC Shariah Fixed Income Fund</t>
  </si>
  <si>
    <t>United Capital Sukuk Fund</t>
  </si>
  <si>
    <t>BALANCED</t>
  </si>
  <si>
    <t>Lotus Waqf (Endowment) Fund</t>
  </si>
  <si>
    <t>Mutual Funds Total</t>
  </si>
  <si>
    <t>SPECIALISED FUNDS</t>
  </si>
  <si>
    <t>Clean Energy Fund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</si>
  <si>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</si>
  <si>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</si>
  <si>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</si>
  <si>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</si>
  <si>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</si>
  <si>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</si>
  <si>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</si>
  <si>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</si>
  <si>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</si>
  <si>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</si>
  <si>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</si>
  <si>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</si>
  <si>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</si>
  <si>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</si>
  <si>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</si>
  <si>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</si>
  <si>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</si>
  <si>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</si>
  <si>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</si>
  <si>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</si>
  <si>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</si>
  <si>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</si>
  <si>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</si>
  <si>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Note:</t>
  </si>
  <si>
    <t>FUNDS</t>
  </si>
  <si>
    <t>BONDS/FIXED INCOME FUNDS</t>
  </si>
  <si>
    <t>REAL ESTATE INVESTMENT TRUST</t>
  </si>
  <si>
    <t>SHARI'AH COMPLAINT FUNDS</t>
  </si>
  <si>
    <t>DATE</t>
  </si>
  <si>
    <t>TOTAL NAV</t>
  </si>
  <si>
    <t>ETFs AGGREGATE</t>
  </si>
  <si>
    <t>TOTAL</t>
  </si>
  <si>
    <t>MOVING AVERAGE:</t>
  </si>
  <si>
    <t>-</t>
  </si>
  <si>
    <t>EXCHANGE TRADED FUNDS (ETFs)</t>
  </si>
  <si>
    <t xml:space="preserve"> </t>
  </si>
  <si>
    <t>Guaranty Trust Investment Fund 724</t>
  </si>
  <si>
    <t>NAV, Unit Price and Yield as at Week Ended December 20, 2024</t>
  </si>
  <si>
    <t>CardinalStone Money Market Fund</t>
  </si>
  <si>
    <t xml:space="preserve">  1,051.80 </t>
  </si>
  <si>
    <t>Week Ended December 20, 2024</t>
  </si>
  <si>
    <t>WEEKLY VALUATION REPORT OF COLLECTIVE INVESTMENT SCHEMES AS AT WEEK ENDED FRIDAY, DECEMBER 27, 2024</t>
  </si>
  <si>
    <t>NAV, Unit Price and Yield as at Week Ended December 27, 2024</t>
  </si>
  <si>
    <t>NFEM RATES NG#/US$ as at 27th December, 2024 = N1,538.3917</t>
  </si>
  <si>
    <t>Week Ended December 27, 2024</t>
  </si>
  <si>
    <t>The chart above shows that the Dollar Fund category (Eurobonds and Fixed Income) has the highest share of the Aggregate Net Asset Value (NAV) at 44.61%, followed by Money Market Fund with 43.89%, Bond/Fixed Income Fund at 5.13%, Real Estate Investment Trust at 2.61%.  Next is Balanced Fund at 1.43%, Shari'ah Compliant Fund at 1.37%, Equity Fund at 0.81% and Ethical Fund at 0.15%.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</si>
</sst>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.000_);_(* \(#,##0.000\);_(* &quot;-&quot;??_);_(@_)"/>
    <numFmt numFmtId="166" formatCode="0.0%"/>
  </numFmts>
  <fonts count="56">
    <font>
      <sz val="11"/>
      <color theme="1"/>
      <name val="Calibri"/>
      <charset val="134"/>
      <scheme val="minor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8"/>
      <color theme="0"/>
      <name val="Ebrima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name val="Arial Narrow"/>
      <family val="2"/>
    </font>
    <font>
      <sz val="8"/>
      <color indexed="8"/>
      <name val="Arial Narrow"/>
      <family val="2"/>
    </font>
    <font>
      <sz val="8"/>
      <color rgb="FFFF0000"/>
      <name val="Arial Narrow"/>
      <family val="2"/>
    </font>
    <font>
      <b/>
      <sz val="12"/>
      <name val="Arial Narrow"/>
      <family val="2"/>
    </font>
    <font>
      <i/>
      <sz val="8"/>
      <name val="Arial Narrow"/>
      <family val="2"/>
    </font>
    <font>
      <sz val="10"/>
      <name val="Arial Narrow"/>
      <family val="2"/>
    </font>
    <font>
      <b/>
      <sz val="6"/>
      <color theme="0"/>
      <name val="Times New Roman"/>
      <family val="1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ptos"/>
      <charset val="134"/>
    </font>
    <font>
      <sz val="11"/>
      <color theme="1"/>
      <name val="Aptos"/>
      <charset val="134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Futura Bk BT"/>
      <charset val="134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11"/>
      <color theme="1"/>
      <name val="Aptos"/>
      <family val="2"/>
    </font>
    <font>
      <b/>
      <sz val="8"/>
      <color theme="4"/>
      <name val="Arial Narrow"/>
      <family val="2"/>
    </font>
    <font>
      <sz val="10"/>
      <color rgb="FF555555"/>
      <name val="Arial"/>
      <family val="2"/>
    </font>
    <font>
      <b/>
      <sz val="11"/>
      <color theme="0"/>
      <name val="Calibri"/>
      <family val="2"/>
      <scheme val="minor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Calibri"/>
      <family val="2"/>
      <scheme val="minor"/>
    </font>
    <font>
      <sz val="10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"/>
      <family val="2"/>
    </font>
    <font>
      <sz val="8"/>
      <color rgb="FF424242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59614856410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rgb="FFFFEB9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1">
    <xf numFmtId="0" fontId="0" fillId="0" borderId="0"/>
    <xf numFmtId="164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8" fillId="5" borderId="0" applyNumberFormat="0" applyBorder="0" applyAlignment="0" applyProtection="0"/>
    <xf numFmtId="0" fontId="8" fillId="17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43" fontId="36" fillId="0" borderId="0" applyFont="0" applyFill="0" applyBorder="0" applyAlignment="0" applyProtection="0"/>
    <xf numFmtId="164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7" fillId="21" borderId="0" applyNumberFormat="0" applyBorder="0" applyAlignment="0" applyProtection="0"/>
    <xf numFmtId="0" fontId="38" fillId="0" borderId="0"/>
    <xf numFmtId="0" fontId="41" fillId="0" borderId="0"/>
    <xf numFmtId="0" fontId="39" fillId="0" borderId="0"/>
    <xf numFmtId="9" fontId="4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40" fillId="0" borderId="0" applyNumberFormat="0" applyFill="0" applyBorder="0" applyAlignment="0" applyProtection="0"/>
    <xf numFmtId="43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43" fontId="43" fillId="0" borderId="0" applyFont="0" applyFill="0" applyBorder="0" applyAlignment="0" applyProtection="0"/>
  </cellStyleXfs>
  <cellXfs count="190">
    <xf numFmtId="0" fontId="0" fillId="0" borderId="0" xfId="0"/>
    <xf numFmtId="0" fontId="1" fillId="0" borderId="1" xfId="0" applyFont="1" applyBorder="1" applyAlignment="1">
      <alignment horizontal="right"/>
    </xf>
    <xf numFmtId="16" fontId="2" fillId="2" borderId="1" xfId="0" applyNumberFormat="1" applyFont="1" applyFill="1" applyBorder="1"/>
    <xf numFmtId="0" fontId="2" fillId="0" borderId="1" xfId="0" applyFont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/>
    <xf numFmtId="4" fontId="4" fillId="2" borderId="1" xfId="0" applyNumberFormat="1" applyFont="1" applyFill="1" applyBorder="1"/>
    <xf numFmtId="164" fontId="3" fillId="2" borderId="1" xfId="1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horizontal="right"/>
    </xf>
    <xf numFmtId="43" fontId="5" fillId="3" borderId="1" xfId="0" applyNumberFormat="1" applyFont="1" applyFill="1" applyBorder="1"/>
    <xf numFmtId="0" fontId="4" fillId="0" borderId="0" xfId="0" applyFont="1"/>
    <xf numFmtId="164" fontId="4" fillId="0" borderId="0" xfId="1" applyFont="1"/>
    <xf numFmtId="0" fontId="1" fillId="4" borderId="1" xfId="0" applyFont="1" applyFill="1" applyBorder="1" applyAlignment="1">
      <alignment horizontal="right"/>
    </xf>
    <xf numFmtId="43" fontId="1" fillId="4" borderId="1" xfId="0" applyNumberFormat="1" applyFont="1" applyFill="1" applyBorder="1"/>
    <xf numFmtId="164" fontId="1" fillId="4" borderId="1" xfId="1" applyFont="1" applyFill="1" applyBorder="1"/>
    <xf numFmtId="0" fontId="6" fillId="0" borderId="0" xfId="0" applyFont="1"/>
    <xf numFmtId="0" fontId="7" fillId="0" borderId="1" xfId="0" applyFont="1" applyBorder="1" applyAlignment="1">
      <alignment horizontal="right"/>
    </xf>
    <xf numFmtId="164" fontId="3" fillId="0" borderId="1" xfId="1" applyFont="1" applyBorder="1"/>
    <xf numFmtId="164" fontId="6" fillId="0" borderId="0" xfId="1" applyFont="1"/>
    <xf numFmtId="0" fontId="8" fillId="0" borderId="0" xfId="0" applyFont="1"/>
    <xf numFmtId="0" fontId="9" fillId="0" borderId="0" xfId="0" applyFont="1"/>
    <xf numFmtId="0" fontId="10" fillId="0" borderId="0" xfId="0" applyFont="1" applyBorder="1" applyAlignment="1">
      <alignment horizontal="right"/>
    </xf>
    <xf numFmtId="4" fontId="11" fillId="2" borderId="0" xfId="0" applyNumberFormat="1" applyFont="1" applyFill="1" applyBorder="1"/>
    <xf numFmtId="164" fontId="11" fillId="2" borderId="0" xfId="1" applyFont="1" applyFill="1" applyBorder="1" applyAlignment="1">
      <alignment horizontal="right" vertical="top" wrapText="1"/>
    </xf>
    <xf numFmtId="4" fontId="11" fillId="2" borderId="0" xfId="0" applyNumberFormat="1" applyFont="1" applyFill="1" applyBorder="1" applyAlignment="1">
      <alignment horizontal="right"/>
    </xf>
    <xf numFmtId="0" fontId="4" fillId="2" borderId="0" xfId="0" applyFont="1" applyFill="1" applyAlignment="1">
      <alignment wrapText="1"/>
    </xf>
    <xf numFmtId="0" fontId="10" fillId="0" borderId="0" xfId="0" applyFont="1" applyAlignment="1">
      <alignment horizontal="right"/>
    </xf>
    <xf numFmtId="4" fontId="11" fillId="2" borderId="0" xfId="0" applyNumberFormat="1" applyFont="1" applyFill="1"/>
    <xf numFmtId="0" fontId="7" fillId="0" borderId="0" xfId="0" applyFont="1" applyAlignment="1">
      <alignment horizontal="right"/>
    </xf>
    <xf numFmtId="4" fontId="3" fillId="2" borderId="0" xfId="0" applyNumberFormat="1" applyFont="1" applyFill="1"/>
    <xf numFmtId="0" fontId="0" fillId="7" borderId="1" xfId="0" applyFill="1" applyBorder="1"/>
    <xf numFmtId="0" fontId="15" fillId="8" borderId="1" xfId="0" applyFont="1" applyFill="1" applyBorder="1"/>
    <xf numFmtId="0" fontId="16" fillId="3" borderId="1" xfId="0" applyFont="1" applyFill="1" applyBorder="1" applyAlignment="1">
      <alignment horizontal="center" vertical="top" wrapText="1"/>
    </xf>
    <xf numFmtId="0" fontId="16" fillId="3" borderId="1" xfId="0" applyFont="1" applyFill="1" applyBorder="1" applyAlignment="1">
      <alignment vertical="top" wrapText="1"/>
    </xf>
    <xf numFmtId="0" fontId="15" fillId="3" borderId="1" xfId="0" applyFont="1" applyFill="1" applyBorder="1" applyAlignment="1">
      <alignment vertical="top" wrapText="1"/>
    </xf>
    <xf numFmtId="0" fontId="15" fillId="3" borderId="1" xfId="0" applyFont="1" applyFill="1" applyBorder="1" applyAlignment="1">
      <alignment horizontal="center" vertical="top"/>
    </xf>
    <xf numFmtId="0" fontId="15" fillId="3" borderId="1" xfId="0" applyFont="1" applyFill="1" applyBorder="1" applyAlignment="1">
      <alignment horizontal="center" vertical="top" wrapText="1"/>
    </xf>
    <xf numFmtId="0" fontId="0" fillId="0" borderId="1" xfId="0" applyBorder="1"/>
    <xf numFmtId="164" fontId="19" fillId="2" borderId="1" xfId="10" applyFont="1" applyFill="1" applyBorder="1"/>
    <xf numFmtId="10" fontId="19" fillId="8" borderId="1" xfId="2" applyNumberFormat="1" applyFont="1" applyFill="1" applyBorder="1" applyAlignment="1">
      <alignment horizontal="center"/>
    </xf>
    <xf numFmtId="4" fontId="19" fillId="2" borderId="1" xfId="0" applyNumberFormat="1" applyFont="1" applyFill="1" applyBorder="1" applyAlignment="1">
      <alignment horizontal="right"/>
    </xf>
    <xf numFmtId="164" fontId="19" fillId="10" borderId="1" xfId="1" applyFont="1" applyFill="1" applyBorder="1" applyAlignment="1">
      <alignment horizontal="center"/>
    </xf>
    <xf numFmtId="4" fontId="19" fillId="2" borderId="1" xfId="0" applyNumberFormat="1" applyFont="1" applyFill="1" applyBorder="1"/>
    <xf numFmtId="164" fontId="17" fillId="10" borderId="1" xfId="1" applyFont="1" applyFill="1" applyBorder="1" applyAlignment="1">
      <alignment horizontal="center"/>
    </xf>
    <xf numFmtId="164" fontId="19" fillId="2" borderId="1" xfId="1" applyFont="1" applyFill="1" applyBorder="1"/>
    <xf numFmtId="0" fontId="17" fillId="0" borderId="1" xfId="0" applyFont="1" applyBorder="1"/>
    <xf numFmtId="0" fontId="17" fillId="2" borderId="1" xfId="0" applyFont="1" applyFill="1" applyBorder="1"/>
    <xf numFmtId="0" fontId="16" fillId="2" borderId="1" xfId="0" applyFont="1" applyFill="1" applyBorder="1" applyAlignment="1">
      <alignment horizontal="right"/>
    </xf>
    <xf numFmtId="164" fontId="16" fillId="2" borderId="1" xfId="1" applyFont="1" applyFill="1" applyBorder="1" applyAlignment="1">
      <alignment horizontal="right" vertical="top" wrapText="1"/>
    </xf>
    <xf numFmtId="10" fontId="20" fillId="8" borderId="1" xfId="2" applyNumberFormat="1" applyFont="1" applyFill="1" applyBorder="1" applyAlignment="1">
      <alignment horizontal="center" vertical="top" wrapText="1"/>
    </xf>
    <xf numFmtId="10" fontId="19" fillId="2" borderId="1" xfId="2" applyNumberFormat="1" applyFont="1" applyFill="1" applyBorder="1" applyAlignment="1">
      <alignment horizontal="center" vertical="top" wrapText="1"/>
    </xf>
    <xf numFmtId="4" fontId="19" fillId="2" borderId="1" xfId="1" applyNumberFormat="1" applyFont="1" applyFill="1" applyBorder="1" applyAlignment="1">
      <alignment vertical="top" wrapText="1"/>
    </xf>
    <xf numFmtId="164" fontId="16" fillId="10" borderId="1" xfId="1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wrapText="1"/>
    </xf>
    <xf numFmtId="164" fontId="19" fillId="2" borderId="1" xfId="10" applyFont="1" applyFill="1" applyBorder="1" applyAlignment="1">
      <alignment horizontal="right"/>
    </xf>
    <xf numFmtId="4" fontId="19" fillId="2" borderId="1" xfId="1" applyNumberFormat="1" applyFont="1" applyFill="1" applyBorder="1" applyAlignment="1">
      <alignment horizontal="right"/>
    </xf>
    <xf numFmtId="164" fontId="19" fillId="10" borderId="1" xfId="1" applyFont="1" applyFill="1" applyBorder="1" applyAlignment="1">
      <alignment horizontal="center" wrapText="1"/>
    </xf>
    <xf numFmtId="164" fontId="19" fillId="2" borderId="1" xfId="10" applyFont="1" applyFill="1" applyBorder="1" applyAlignment="1">
      <alignment horizontal="right" wrapText="1"/>
    </xf>
    <xf numFmtId="164" fontId="16" fillId="2" borderId="1" xfId="1" applyFont="1" applyFill="1" applyBorder="1" applyAlignment="1">
      <alignment horizontal="right"/>
    </xf>
    <xf numFmtId="164" fontId="15" fillId="3" borderId="1" xfId="1" applyFont="1" applyFill="1" applyBorder="1" applyAlignment="1">
      <alignment horizontal="center" vertical="top"/>
    </xf>
    <xf numFmtId="10" fontId="19" fillId="10" borderId="1" xfId="2" applyNumberFormat="1" applyFont="1" applyFill="1" applyBorder="1" applyAlignment="1">
      <alignment horizontal="center"/>
    </xf>
    <xf numFmtId="10" fontId="17" fillId="10" borderId="1" xfId="2" applyNumberFormat="1" applyFont="1" applyFill="1" applyBorder="1" applyAlignment="1">
      <alignment horizontal="center"/>
    </xf>
    <xf numFmtId="10" fontId="19" fillId="10" borderId="1" xfId="2" applyNumberFormat="1" applyFont="1" applyFill="1" applyBorder="1" applyAlignment="1">
      <alignment horizontal="center" vertical="top" wrapText="1"/>
    </xf>
    <xf numFmtId="10" fontId="19" fillId="10" borderId="1" xfId="2" applyNumberFormat="1" applyFont="1" applyFill="1" applyBorder="1" applyAlignment="1">
      <alignment horizontal="center" wrapText="1"/>
    </xf>
    <xf numFmtId="10" fontId="19" fillId="8" borderId="1" xfId="2" applyNumberFormat="1" applyFont="1" applyFill="1" applyBorder="1" applyAlignment="1">
      <alignment horizontal="center" wrapText="1"/>
    </xf>
    <xf numFmtId="10" fontId="19" fillId="10" borderId="1" xfId="1" applyNumberFormat="1" applyFont="1" applyFill="1" applyBorder="1" applyAlignment="1">
      <alignment horizontal="center"/>
    </xf>
    <xf numFmtId="10" fontId="19" fillId="3" borderId="1" xfId="2" applyNumberFormat="1" applyFont="1" applyFill="1" applyBorder="1" applyAlignment="1">
      <alignment horizontal="center" vertical="top" wrapText="1"/>
    </xf>
    <xf numFmtId="10" fontId="17" fillId="3" borderId="1" xfId="2" applyNumberFormat="1" applyFont="1" applyFill="1" applyBorder="1" applyAlignment="1">
      <alignment horizontal="center" vertical="top" wrapText="1"/>
    </xf>
    <xf numFmtId="10" fontId="17" fillId="3" borderId="1" xfId="1" applyNumberFormat="1" applyFont="1" applyFill="1" applyBorder="1" applyAlignment="1">
      <alignment horizontal="center" vertical="top" wrapText="1"/>
    </xf>
    <xf numFmtId="10" fontId="21" fillId="11" borderId="0" xfId="0" applyNumberFormat="1" applyFont="1" applyFill="1" applyAlignment="1">
      <alignment horizontal="right" vertical="center" wrapText="1"/>
    </xf>
    <xf numFmtId="2" fontId="19" fillId="2" borderId="1" xfId="0" applyNumberFormat="1" applyFont="1" applyFill="1" applyBorder="1"/>
    <xf numFmtId="164" fontId="19" fillId="2" borderId="1" xfId="10" applyFont="1" applyFill="1" applyBorder="1" applyAlignment="1">
      <alignment wrapText="1"/>
    </xf>
    <xf numFmtId="164" fontId="19" fillId="12" borderId="1" xfId="1" applyFont="1" applyFill="1" applyBorder="1" applyAlignment="1">
      <alignment horizontal="center"/>
    </xf>
    <xf numFmtId="10" fontId="19" fillId="12" borderId="1" xfId="2" applyNumberFormat="1" applyFont="1" applyFill="1" applyBorder="1" applyAlignment="1">
      <alignment horizontal="center"/>
    </xf>
    <xf numFmtId="10" fontId="19" fillId="7" borderId="1" xfId="2" applyNumberFormat="1" applyFont="1" applyFill="1" applyBorder="1" applyAlignment="1">
      <alignment horizontal="center"/>
    </xf>
    <xf numFmtId="4" fontId="0" fillId="0" borderId="0" xfId="0" applyNumberFormat="1"/>
    <xf numFmtId="164" fontId="23" fillId="0" borderId="0" xfId="1" applyFont="1"/>
    <xf numFmtId="4" fontId="24" fillId="0" borderId="0" xfId="0" applyNumberFormat="1" applyFont="1"/>
    <xf numFmtId="2" fontId="0" fillId="0" borderId="0" xfId="0" applyNumberFormat="1"/>
    <xf numFmtId="165" fontId="0" fillId="0" borderId="0" xfId="0" applyNumberFormat="1"/>
    <xf numFmtId="4" fontId="25" fillId="11" borderId="0" xfId="0" applyNumberFormat="1" applyFont="1" applyFill="1" applyAlignment="1">
      <alignment horizontal="right" vertical="center" wrapText="1"/>
    </xf>
    <xf numFmtId="0" fontId="16" fillId="0" borderId="1" xfId="0" applyFont="1" applyBorder="1" applyAlignment="1">
      <alignment horizontal="right"/>
    </xf>
    <xf numFmtId="4" fontId="27" fillId="0" borderId="1" xfId="0" applyNumberFormat="1" applyFont="1" applyFill="1" applyBorder="1" applyAlignment="1" applyProtection="1"/>
    <xf numFmtId="0" fontId="28" fillId="2" borderId="1" xfId="0" applyFont="1" applyFill="1" applyBorder="1"/>
    <xf numFmtId="4" fontId="19" fillId="2" borderId="1" xfId="1" applyNumberFormat="1" applyFont="1" applyFill="1" applyBorder="1" applyAlignment="1">
      <alignment horizontal="right" vertical="top" wrapText="1"/>
    </xf>
    <xf numFmtId="164" fontId="16" fillId="2" borderId="1" xfId="1" applyFont="1" applyFill="1" applyBorder="1"/>
    <xf numFmtId="43" fontId="19" fillId="2" borderId="1" xfId="0" applyNumberFormat="1" applyFont="1" applyFill="1" applyBorder="1"/>
    <xf numFmtId="4" fontId="19" fillId="2" borderId="1" xfId="10" applyNumberFormat="1" applyFont="1" applyFill="1" applyBorder="1" applyAlignment="1">
      <alignment horizontal="right"/>
    </xf>
    <xf numFmtId="4" fontId="19" fillId="2" borderId="1" xfId="0" applyNumberFormat="1" applyFont="1" applyFill="1" applyBorder="1" applyAlignment="1">
      <alignment horizontal="right" wrapText="1"/>
    </xf>
    <xf numFmtId="4" fontId="19" fillId="2" borderId="1" xfId="10" applyNumberFormat="1" applyFont="1" applyFill="1" applyBorder="1" applyAlignment="1">
      <alignment horizontal="right" wrapText="1"/>
    </xf>
    <xf numFmtId="4" fontId="19" fillId="10" borderId="1" xfId="1" applyNumberFormat="1" applyFont="1" applyFill="1" applyBorder="1" applyAlignment="1">
      <alignment horizontal="center"/>
    </xf>
    <xf numFmtId="4" fontId="19" fillId="10" borderId="1" xfId="1" applyNumberFormat="1" applyFont="1" applyFill="1" applyBorder="1" applyAlignment="1">
      <alignment horizontal="center" vertical="top" wrapText="1"/>
    </xf>
    <xf numFmtId="43" fontId="19" fillId="10" borderId="1" xfId="0" applyNumberFormat="1" applyFont="1" applyFill="1" applyBorder="1" applyAlignment="1">
      <alignment horizontal="center"/>
    </xf>
    <xf numFmtId="164" fontId="0" fillId="0" borderId="0" xfId="1" applyFont="1"/>
    <xf numFmtId="4" fontId="16" fillId="10" borderId="1" xfId="1" applyNumberFormat="1" applyFont="1" applyFill="1" applyBorder="1" applyAlignment="1">
      <alignment horizontal="right" vertical="top" wrapText="1"/>
    </xf>
    <xf numFmtId="0" fontId="19" fillId="15" borderId="1" xfId="0" applyFont="1" applyFill="1" applyBorder="1" applyAlignment="1">
      <alignment horizontal="right" vertical="center"/>
    </xf>
    <xf numFmtId="0" fontId="16" fillId="15" borderId="1" xfId="0" applyFont="1" applyFill="1" applyBorder="1" applyAlignment="1">
      <alignment horizontal="right" vertical="center"/>
    </xf>
    <xf numFmtId="164" fontId="16" fillId="15" borderId="1" xfId="1" applyFont="1" applyFill="1" applyBorder="1" applyAlignment="1">
      <alignment horizontal="right" vertical="center" wrapText="1"/>
    </xf>
    <xf numFmtId="10" fontId="19" fillId="15" borderId="1" xfId="1" applyNumberFormat="1" applyFont="1" applyFill="1" applyBorder="1" applyAlignment="1">
      <alignment horizontal="right" vertical="center" wrapText="1"/>
    </xf>
    <xf numFmtId="4" fontId="19" fillId="15" borderId="1" xfId="1" applyNumberFormat="1" applyFont="1" applyFill="1" applyBorder="1" applyAlignment="1">
      <alignment horizontal="right" vertical="center" wrapText="1"/>
    </xf>
    <xf numFmtId="164" fontId="16" fillId="15" borderId="1" xfId="1" applyFont="1" applyFill="1" applyBorder="1" applyAlignment="1">
      <alignment horizontal="right" vertical="top" wrapText="1"/>
    </xf>
    <xf numFmtId="4" fontId="19" fillId="2" borderId="1" xfId="10" applyNumberFormat="1" applyFont="1" applyFill="1" applyBorder="1" applyAlignment="1">
      <alignment horizontal="right" vertical="top" wrapText="1"/>
    </xf>
    <xf numFmtId="164" fontId="30" fillId="15" borderId="1" xfId="1" applyFont="1" applyFill="1" applyBorder="1" applyAlignment="1">
      <alignment horizontal="right" vertical="top" wrapText="1"/>
    </xf>
    <xf numFmtId="4" fontId="19" fillId="15" borderId="1" xfId="1" applyNumberFormat="1" applyFont="1" applyFill="1" applyBorder="1" applyAlignment="1">
      <alignment horizontal="right" vertical="top" wrapText="1"/>
    </xf>
    <xf numFmtId="164" fontId="19" fillId="2" borderId="1" xfId="10" applyFont="1" applyFill="1" applyBorder="1" applyAlignment="1">
      <alignment horizontal="right" vertical="top" wrapText="1"/>
    </xf>
    <xf numFmtId="10" fontId="19" fillId="8" borderId="1" xfId="2" applyNumberFormat="1" applyFont="1" applyFill="1" applyBorder="1" applyAlignment="1">
      <alignment horizontal="center" vertical="top" wrapText="1"/>
    </xf>
    <xf numFmtId="164" fontId="19" fillId="10" borderId="1" xfId="1" applyFont="1" applyFill="1" applyBorder="1" applyAlignment="1">
      <alignment horizontal="center" vertical="top" wrapText="1"/>
    </xf>
    <xf numFmtId="164" fontId="19" fillId="2" borderId="1" xfId="1" applyFont="1" applyFill="1" applyBorder="1" applyAlignment="1">
      <alignment horizontal="right" vertical="top" wrapText="1"/>
    </xf>
    <xf numFmtId="0" fontId="19" fillId="16" borderId="1" xfId="0" applyFont="1" applyFill="1" applyBorder="1" applyAlignment="1">
      <alignment horizontal="right" vertical="top" wrapText="1"/>
    </xf>
    <xf numFmtId="0" fontId="26" fillId="16" borderId="1" xfId="0" applyFont="1" applyFill="1" applyBorder="1" applyAlignment="1">
      <alignment horizontal="right" vertical="top" wrapText="1"/>
    </xf>
    <xf numFmtId="164" fontId="26" fillId="16" borderId="1" xfId="1" applyFont="1" applyFill="1" applyBorder="1" applyAlignment="1">
      <alignment horizontal="right" vertical="top" wrapText="1"/>
    </xf>
    <xf numFmtId="164" fontId="31" fillId="16" borderId="1" xfId="1" applyFont="1" applyFill="1" applyBorder="1" applyAlignment="1">
      <alignment horizontal="right" vertical="top" wrapText="1"/>
    </xf>
    <xf numFmtId="4" fontId="31" fillId="16" borderId="1" xfId="0" applyNumberFormat="1" applyFont="1" applyFill="1" applyBorder="1" applyAlignment="1">
      <alignment horizontal="right"/>
    </xf>
    <xf numFmtId="0" fontId="32" fillId="6" borderId="1" xfId="0" applyFont="1" applyFill="1" applyBorder="1" applyAlignment="1">
      <alignment horizontal="right" vertical="center"/>
    </xf>
    <xf numFmtId="0" fontId="8" fillId="6" borderId="1" xfId="0" applyFont="1" applyFill="1" applyBorder="1"/>
    <xf numFmtId="0" fontId="33" fillId="0" borderId="0" xfId="0" applyFont="1"/>
    <xf numFmtId="43" fontId="0" fillId="0" borderId="0" xfId="0" applyNumberFormat="1"/>
    <xf numFmtId="0" fontId="34" fillId="0" borderId="0" xfId="0" applyFont="1"/>
    <xf numFmtId="0" fontId="28" fillId="2" borderId="0" xfId="0" applyFont="1" applyFill="1" applyAlignment="1">
      <alignment wrapText="1"/>
    </xf>
    <xf numFmtId="43" fontId="34" fillId="0" borderId="0" xfId="11" applyFont="1" applyBorder="1"/>
    <xf numFmtId="2" fontId="34" fillId="0" borderId="0" xfId="0" applyNumberFormat="1" applyFont="1"/>
    <xf numFmtId="9" fontId="19" fillId="15" borderId="1" xfId="2" applyFont="1" applyFill="1" applyBorder="1" applyAlignment="1">
      <alignment horizontal="center" vertical="center" wrapText="1"/>
    </xf>
    <xf numFmtId="4" fontId="19" fillId="15" borderId="1" xfId="1" applyNumberFormat="1" applyFont="1" applyFill="1" applyBorder="1" applyAlignment="1">
      <alignment horizontal="center" vertical="center" wrapText="1"/>
    </xf>
    <xf numFmtId="4" fontId="19" fillId="15" borderId="1" xfId="1" applyNumberFormat="1" applyFont="1" applyFill="1" applyBorder="1" applyAlignment="1">
      <alignment horizontal="center" vertical="top" wrapText="1"/>
    </xf>
    <xf numFmtId="9" fontId="31" fillId="16" borderId="1" xfId="2" applyFont="1" applyFill="1" applyBorder="1" applyAlignment="1">
      <alignment horizontal="center"/>
    </xf>
    <xf numFmtId="4" fontId="31" fillId="16" borderId="1" xfId="0" applyNumberFormat="1" applyFont="1" applyFill="1" applyBorder="1" applyAlignment="1">
      <alignment horizontal="center"/>
    </xf>
    <xf numFmtId="10" fontId="34" fillId="0" borderId="0" xfId="2" applyNumberFormat="1" applyFont="1" applyBorder="1"/>
    <xf numFmtId="10" fontId="35" fillId="0" borderId="0" xfId="2" applyNumberFormat="1" applyFont="1" applyBorder="1"/>
    <xf numFmtId="10" fontId="17" fillId="15" borderId="1" xfId="2" applyNumberFormat="1" applyFont="1" applyFill="1" applyBorder="1" applyAlignment="1">
      <alignment horizontal="center" vertical="top" wrapText="1"/>
    </xf>
    <xf numFmtId="166" fontId="17" fillId="15" borderId="1" xfId="2" applyNumberFormat="1" applyFont="1" applyFill="1" applyBorder="1" applyAlignment="1">
      <alignment horizontal="center" vertical="top" wrapText="1"/>
    </xf>
    <xf numFmtId="10" fontId="17" fillId="15" borderId="1" xfId="1" applyNumberFormat="1" applyFont="1" applyFill="1" applyBorder="1" applyAlignment="1">
      <alignment horizontal="center" vertical="top" wrapText="1"/>
    </xf>
    <xf numFmtId="10" fontId="31" fillId="16" borderId="1" xfId="2" applyNumberFormat="1" applyFont="1" applyFill="1" applyBorder="1" applyAlignment="1">
      <alignment horizontal="center" vertical="top" wrapText="1"/>
    </xf>
    <xf numFmtId="166" fontId="31" fillId="16" borderId="1" xfId="2" applyNumberFormat="1" applyFont="1" applyFill="1" applyBorder="1" applyAlignment="1">
      <alignment horizontal="center" vertical="top" wrapText="1"/>
    </xf>
    <xf numFmtId="166" fontId="19" fillId="16" borderId="1" xfId="2" applyNumberFormat="1" applyFont="1" applyFill="1" applyBorder="1" applyAlignment="1">
      <alignment horizontal="center" vertical="top" wrapText="1"/>
    </xf>
    <xf numFmtId="43" fontId="1" fillId="4" borderId="1" xfId="0" quotePrefix="1" applyNumberFormat="1" applyFont="1" applyFill="1" applyBorder="1" applyAlignment="1">
      <alignment horizontal="center"/>
    </xf>
    <xf numFmtId="0" fontId="42" fillId="3" borderId="1" xfId="0" applyFont="1" applyFill="1" applyBorder="1" applyAlignment="1">
      <alignment horizontal="center" vertical="top" wrapText="1"/>
    </xf>
    <xf numFmtId="164" fontId="3" fillId="2" borderId="0" xfId="1" applyFont="1" applyFill="1" applyBorder="1" applyAlignment="1">
      <alignment horizontal="right" vertical="top" wrapText="1"/>
    </xf>
    <xf numFmtId="0" fontId="8" fillId="0" borderId="0" xfId="0" applyFont="1" applyBorder="1"/>
    <xf numFmtId="4" fontId="3" fillId="2" borderId="0" xfId="0" applyNumberFormat="1" applyFont="1" applyFill="1" applyAlignment="1">
      <alignment horizontal="right"/>
    </xf>
    <xf numFmtId="0" fontId="44" fillId="8" borderId="1" xfId="0" applyFont="1" applyFill="1" applyBorder="1"/>
    <xf numFmtId="4" fontId="45" fillId="0" borderId="0" xfId="0" applyNumberFormat="1" applyFont="1"/>
    <xf numFmtId="0" fontId="46" fillId="0" borderId="0" xfId="0" applyFont="1"/>
    <xf numFmtId="16" fontId="47" fillId="2" borderId="0" xfId="0" applyNumberFormat="1" applyFont="1" applyFill="1"/>
    <xf numFmtId="164" fontId="48" fillId="0" borderId="0" xfId="1" applyFont="1"/>
    <xf numFmtId="43" fontId="48" fillId="0" borderId="0" xfId="0" applyNumberFormat="1" applyFont="1"/>
    <xf numFmtId="4" fontId="48" fillId="0" borderId="0" xfId="0" applyNumberFormat="1" applyFont="1"/>
    <xf numFmtId="0" fontId="49" fillId="0" borderId="0" xfId="0" applyFont="1" applyBorder="1" applyAlignment="1">
      <alignment horizontal="right"/>
    </xf>
    <xf numFmtId="16" fontId="10" fillId="2" borderId="0" xfId="0" applyNumberFormat="1" applyFont="1" applyFill="1" applyBorder="1"/>
    <xf numFmtId="0" fontId="50" fillId="0" borderId="0" xfId="0" applyFont="1" applyBorder="1" applyAlignment="1">
      <alignment horizontal="right"/>
    </xf>
    <xf numFmtId="16" fontId="50" fillId="2" borderId="0" xfId="0" applyNumberFormat="1" applyFont="1" applyFill="1" applyBorder="1" applyAlignment="1">
      <alignment horizontal="center" wrapText="1"/>
    </xf>
    <xf numFmtId="0" fontId="51" fillId="0" borderId="0" xfId="0" applyFont="1" applyBorder="1"/>
    <xf numFmtId="0" fontId="50" fillId="0" borderId="0" xfId="0" applyFont="1" applyBorder="1" applyAlignment="1">
      <alignment horizontal="right" wrapText="1"/>
    </xf>
    <xf numFmtId="4" fontId="52" fillId="2" borderId="0" xfId="0" applyNumberFormat="1" applyFont="1" applyFill="1" applyBorder="1"/>
    <xf numFmtId="4" fontId="52" fillId="2" borderId="0" xfId="0" applyNumberFormat="1" applyFont="1" applyFill="1" applyBorder="1" applyAlignment="1">
      <alignment horizontal="right"/>
    </xf>
    <xf numFmtId="164" fontId="52" fillId="2" borderId="0" xfId="1" applyFont="1" applyFill="1" applyBorder="1" applyAlignment="1">
      <alignment horizontal="right" vertical="top" wrapText="1"/>
    </xf>
    <xf numFmtId="0" fontId="53" fillId="0" borderId="0" xfId="0" applyFont="1" applyBorder="1" applyAlignment="1">
      <alignment horizontal="right" wrapText="1"/>
    </xf>
    <xf numFmtId="164" fontId="54" fillId="0" borderId="0" xfId="1" applyFont="1" applyBorder="1"/>
    <xf numFmtId="4" fontId="54" fillId="2" borderId="0" xfId="0" applyNumberFormat="1" applyFont="1" applyFill="1" applyBorder="1"/>
    <xf numFmtId="0" fontId="53" fillId="0" borderId="0" xfId="0" applyFont="1" applyBorder="1" applyAlignment="1">
      <alignment horizontal="right"/>
    </xf>
    <xf numFmtId="4" fontId="54" fillId="2" borderId="0" xfId="0" applyNumberFormat="1" applyFont="1" applyFill="1" applyBorder="1" applyAlignment="1">
      <alignment horizontal="right"/>
    </xf>
    <xf numFmtId="164" fontId="54" fillId="2" borderId="0" xfId="1" applyFont="1" applyFill="1" applyBorder="1" applyAlignment="1">
      <alignment horizontal="right" vertical="top" wrapText="1"/>
    </xf>
    <xf numFmtId="0" fontId="19" fillId="0" borderId="1" xfId="0" applyFont="1" applyBorder="1" applyAlignment="1">
      <alignment horizontal="center"/>
    </xf>
    <xf numFmtId="4" fontId="19" fillId="2" borderId="1" xfId="0" applyNumberFormat="1" applyFont="1" applyFill="1" applyBorder="1" applyAlignment="1">
      <alignment wrapText="1"/>
    </xf>
    <xf numFmtId="0" fontId="19" fillId="2" borderId="1" xfId="0" applyFont="1" applyFill="1" applyBorder="1" applyAlignment="1">
      <alignment wrapText="1"/>
    </xf>
    <xf numFmtId="0" fontId="19" fillId="0" borderId="1" xfId="0" applyFont="1" applyBorder="1" applyAlignment="1">
      <alignment horizontal="center" vertical="center"/>
    </xf>
    <xf numFmtId="0" fontId="55" fillId="0" borderId="0" xfId="0" applyFont="1"/>
    <xf numFmtId="0" fontId="32" fillId="6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center"/>
    </xf>
    <xf numFmtId="49" fontId="19" fillId="0" borderId="1" xfId="0" applyNumberFormat="1" applyFont="1" applyBorder="1" applyAlignment="1">
      <alignment wrapText="1"/>
    </xf>
    <xf numFmtId="0" fontId="19" fillId="2" borderId="1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center"/>
    </xf>
    <xf numFmtId="0" fontId="29" fillId="9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wrapText="1"/>
    </xf>
    <xf numFmtId="0" fontId="26" fillId="14" borderId="1" xfId="0" applyFont="1" applyFill="1" applyBorder="1" applyAlignment="1">
      <alignment horizontal="center" wrapText="1"/>
    </xf>
    <xf numFmtId="0" fontId="26" fillId="9" borderId="1" xfId="0" applyFont="1" applyFill="1" applyBorder="1" applyAlignment="1">
      <alignment horizontal="center"/>
    </xf>
    <xf numFmtId="0" fontId="22" fillId="13" borderId="1" xfId="0" applyFont="1" applyFill="1" applyBorder="1" applyAlignment="1">
      <alignment horizontal="center"/>
    </xf>
    <xf numFmtId="0" fontId="18" fillId="9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top" wrapText="1"/>
    </xf>
    <xf numFmtId="0" fontId="14" fillId="6" borderId="1" xfId="0" applyFont="1" applyFill="1" applyBorder="1" applyAlignment="1">
      <alignment horizontal="center"/>
    </xf>
    <xf numFmtId="0" fontId="15" fillId="8" borderId="1" xfId="0" applyFont="1" applyFill="1" applyBorder="1" applyAlignment="1">
      <alignment horizontal="center" vertical="top" wrapText="1"/>
    </xf>
    <xf numFmtId="0" fontId="12" fillId="5" borderId="0" xfId="0" applyFont="1" applyFill="1" applyAlignment="1">
      <alignment horizontal="center" wrapText="1"/>
    </xf>
    <xf numFmtId="0" fontId="13" fillId="5" borderId="0" xfId="0" applyFont="1" applyFill="1" applyAlignment="1">
      <alignment horizontal="center" wrapText="1"/>
    </xf>
    <xf numFmtId="4" fontId="19" fillId="0" borderId="1" xfId="0" applyNumberFormat="1" applyFont="1" applyBorder="1" applyAlignment="1">
      <alignment wrapText="1"/>
    </xf>
    <xf numFmtId="0" fontId="7" fillId="0" borderId="0" xfId="0" applyFont="1" applyBorder="1" applyAlignment="1">
      <alignment horizontal="right"/>
    </xf>
    <xf numFmtId="164" fontId="6" fillId="0" borderId="0" xfId="1" applyFont="1" applyBorder="1"/>
    <xf numFmtId="4" fontId="23" fillId="0" borderId="0" xfId="0" applyNumberFormat="1" applyFont="1"/>
    <xf numFmtId="0" fontId="19" fillId="15" borderId="1" xfId="0" applyFont="1" applyFill="1" applyBorder="1" applyAlignment="1">
      <alignment horizontal="right"/>
    </xf>
    <xf numFmtId="0" fontId="16" fillId="15" borderId="1" xfId="0" applyFont="1" applyFill="1" applyBorder="1" applyAlignment="1">
      <alignment horizontal="right"/>
    </xf>
  </cellXfs>
  <cellStyles count="31">
    <cellStyle name="60% - Accent1 2" xfId="3"/>
    <cellStyle name="60% - Accent2 2" xfId="4"/>
    <cellStyle name="60% - Accent3 2" xfId="5"/>
    <cellStyle name="60% - Accent4 2" xfId="6"/>
    <cellStyle name="60% - Accent5 2" xfId="7"/>
    <cellStyle name="60% - Accent6 2" xfId="8"/>
    <cellStyle name="Comma" xfId="1" builtinId="3"/>
    <cellStyle name="Comma 10" xfId="9"/>
    <cellStyle name="Comma 10 13" xfId="10"/>
    <cellStyle name="Comma 14" xfId="28"/>
    <cellStyle name="Comma 15" xfId="30"/>
    <cellStyle name="Comma 2" xfId="11"/>
    <cellStyle name="Comma 2 2" xfId="12"/>
    <cellStyle name="Comma 3" xfId="13"/>
    <cellStyle name="Comma 3 2" xfId="14"/>
    <cellStyle name="Comma 3 2 2" xfId="15"/>
    <cellStyle name="Comma 4" xfId="16"/>
    <cellStyle name="Comma 5" xfId="17"/>
    <cellStyle name="Comma 6" xfId="18"/>
    <cellStyle name="Comma 8" xfId="19"/>
    <cellStyle name="Neutral 2" xfId="20"/>
    <cellStyle name="Normal" xfId="0" builtinId="0"/>
    <cellStyle name="Normal 2" xfId="21"/>
    <cellStyle name="Normal 2 2" xfId="22"/>
    <cellStyle name="Normal 27 2" xfId="23"/>
    <cellStyle name="Percent" xfId="2" builtinId="5"/>
    <cellStyle name="Percent 13" xfId="29"/>
    <cellStyle name="Percent 2 2" xfId="24"/>
    <cellStyle name="Percent 5" xfId="25"/>
    <cellStyle name="Percent 6" xfId="26"/>
    <cellStyle name="Title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99E-2"/>
          <c:y val="0.12704985666184501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December 20, 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Comparison'!$A$4:$A$10</c:f>
              <c:strCache>
                <c:ptCount val="7"/>
                <c:pt idx="0">
                  <c:v>MONEY MARKET FUNDS</c:v>
                </c:pt>
                <c:pt idx="1">
                  <c:v>BONDS/FIXED INCOME FUNDS</c:v>
                </c:pt>
                <c:pt idx="2">
                  <c:v>DOLLAR FUNDS</c:v>
                </c:pt>
                <c:pt idx="3">
                  <c:v>REAL ESTATE INVESTMENT TRUST</c:v>
                </c:pt>
                <c:pt idx="4">
                  <c:v>BALANCED FUNDS</c:v>
                </c:pt>
                <c:pt idx="5">
                  <c:v>ETHICAL FUNDS</c:v>
                </c:pt>
                <c:pt idx="6">
                  <c:v>SHARI'AH COMPLAINT FUNDS</c:v>
                </c:pt>
              </c:strCache>
            </c:strRef>
          </c:cat>
          <c:val>
            <c:numRef>
              <c:f>'NAV Comparison'!$B$4:$B$10</c:f>
              <c:numCache>
                <c:formatCode>#,##0.00</c:formatCode>
                <c:ptCount val="7"/>
                <c:pt idx="0">
                  <c:v>1651.9941141754978</c:v>
                </c:pt>
                <c:pt idx="1">
                  <c:v>198.3718049229638</c:v>
                </c:pt>
                <c:pt idx="2">
                  <c:v>1699.0421627933724</c:v>
                </c:pt>
                <c:pt idx="3">
                  <c:v>100.24826219226375</c:v>
                </c:pt>
                <c:pt idx="4" formatCode="_-* #,##0.00_-;\-* #,##0.00_-;_-* &quot;-&quot;??_-;_-@_-">
                  <c:v>54.152150309321541</c:v>
                </c:pt>
                <c:pt idx="5">
                  <c:v>5.82185179839</c:v>
                </c:pt>
                <c:pt idx="6">
                  <c:v>51.937137539237916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4-4569-86DB-18C6F766F1CB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December 27,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Comparison'!$A$4:$A$10</c:f>
              <c:strCache>
                <c:ptCount val="7"/>
                <c:pt idx="0">
                  <c:v>MONEY MARKET FUNDS</c:v>
                </c:pt>
                <c:pt idx="1">
                  <c:v>BONDS/FIXED INCOME FUNDS</c:v>
                </c:pt>
                <c:pt idx="2">
                  <c:v>DOLLAR FUNDS</c:v>
                </c:pt>
                <c:pt idx="3">
                  <c:v>REAL ESTATE INVESTMENT TRUST</c:v>
                </c:pt>
                <c:pt idx="4">
                  <c:v>BALANCED FUNDS</c:v>
                </c:pt>
                <c:pt idx="5">
                  <c:v>ETHICAL FUNDS</c:v>
                </c:pt>
                <c:pt idx="6">
                  <c:v>SHARI'AH COMPLAINT FUNDS</c:v>
                </c:pt>
              </c:strCache>
            </c:strRef>
          </c:cat>
          <c:val>
            <c:numRef>
              <c:f>'NAV Comparison'!$C$4:$C$10</c:f>
              <c:numCache>
                <c:formatCode>#,##0.00</c:formatCode>
                <c:ptCount val="7"/>
                <c:pt idx="0">
                  <c:v>1680.7898983811579</c:v>
                </c:pt>
                <c:pt idx="1">
                  <c:v>196.29964051455568</c:v>
                </c:pt>
                <c:pt idx="2">
                  <c:v>1708.643961742885</c:v>
                </c:pt>
                <c:pt idx="3">
                  <c:v>99.946034003712882</c:v>
                </c:pt>
                <c:pt idx="4" formatCode="_-* #,##0.00_-;\-* #,##0.00_-;_-* &quot;-&quot;??_-;_-@_-">
                  <c:v>54.717751907536261</c:v>
                </c:pt>
                <c:pt idx="5">
                  <c:v>5.8837956957899999</c:v>
                </c:pt>
                <c:pt idx="6">
                  <c:v>52.3470550083237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C4-4569-86DB-18C6F766F1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27TH DECEMBER, 2024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407699914128499"/>
          <c:y val="3.1719518867076697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552536576715401"/>
          <c:y val="0.147427288479518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27-Dec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6C1-41E2-BD65-8D78AE0E5F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6C1-41E2-BD65-8D78AE0E5F1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6C1-41E2-BD65-8D78AE0E5F1E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6C1-41E2-BD65-8D78AE0E5F1E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6C1-41E2-BD65-8D78AE0E5F1E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6C1-41E2-BD65-8D78AE0E5F1E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6C1-41E2-BD65-8D78AE0E5F1E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6C1-41E2-BD65-8D78AE0E5F1E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599855860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C1-41E2-BD65-8D78AE0E5F1E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C1-41E2-BD65-8D78AE0E5F1E}"/>
                </c:ext>
              </c:extLst>
            </c:dLbl>
            <c:dLbl>
              <c:idx val="2"/>
              <c:layout>
                <c:manualLayout>
                  <c:x val="-2.65269710991878E-2"/>
                  <c:y val="-9.75631175571893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C1-41E2-BD65-8D78AE0E5F1E}"/>
                </c:ext>
              </c:extLst>
            </c:dLbl>
            <c:dLbl>
              <c:idx val="3"/>
              <c:layout>
                <c:manualLayout>
                  <c:x val="-1.82320668832372E-2"/>
                  <c:y val="3.17614579670887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C1-41E2-BD65-8D78AE0E5F1E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C1-41E2-BD65-8D78AE0E5F1E}"/>
                </c:ext>
              </c:extLst>
            </c:dLbl>
            <c:dLbl>
              <c:idx val="5"/>
              <c:layout>
                <c:manualLayout>
                  <c:x val="0.17345977414073499"/>
                  <c:y val="7.18087014623515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C1-41E2-BD65-8D78AE0E5F1E}"/>
                </c:ext>
              </c:extLst>
            </c:dLbl>
            <c:dLbl>
              <c:idx val="6"/>
              <c:layout>
                <c:manualLayout>
                  <c:x val="-0.11676596925004"/>
                  <c:y val="0.11599855860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C1-41E2-BD65-8D78AE0E5F1E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6C1-41E2-BD65-8D78AE0E5F1E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5883795695.79</c:v>
                </c:pt>
                <c:pt idx="1">
                  <c:v>31203064609.43</c:v>
                </c:pt>
                <c:pt idx="2" formatCode="_-* #,##0.00_-;\-* #,##0.00_-;_-* &quot;-&quot;??_-;_-@_-">
                  <c:v>52347055008.3237</c:v>
                </c:pt>
                <c:pt idx="3">
                  <c:v>54717751907.536263</c:v>
                </c:pt>
                <c:pt idx="4">
                  <c:v>99946034003.712875</c:v>
                </c:pt>
                <c:pt idx="5">
                  <c:v>196299640514.55566</c:v>
                </c:pt>
                <c:pt idx="6">
                  <c:v>1680789898381.158</c:v>
                </c:pt>
                <c:pt idx="7">
                  <c:v>1708643961742.885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6C1-41E2-BD65-8D78AE0E5F1E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"/>
          <c:y val="1.5686278384753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45604</c:v>
                </c:pt>
                <c:pt idx="1">
                  <c:v>45611</c:v>
                </c:pt>
                <c:pt idx="2">
                  <c:v>45618</c:v>
                </c:pt>
                <c:pt idx="3">
                  <c:v>45625</c:v>
                </c:pt>
                <c:pt idx="4">
                  <c:v>45632</c:v>
                </c:pt>
                <c:pt idx="5">
                  <c:v>45639</c:v>
                </c:pt>
                <c:pt idx="6">
                  <c:v>45646</c:v>
                </c:pt>
                <c:pt idx="7">
                  <c:v>45653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3781.6039580427923</c:v>
                </c:pt>
                <c:pt idx="1">
                  <c:v>3775.5209725078448</c:v>
                </c:pt>
                <c:pt idx="2">
                  <c:v>3826.7471799710661</c:v>
                </c:pt>
                <c:pt idx="3">
                  <c:v>3850.3823617505013</c:v>
                </c:pt>
                <c:pt idx="4">
                  <c:v>3767.9650755489829</c:v>
                </c:pt>
                <c:pt idx="5">
                  <c:v>3751.2644931970517</c:v>
                </c:pt>
                <c:pt idx="6">
                  <c:v>3792.1276820114672</c:v>
                </c:pt>
                <c:pt idx="7">
                  <c:v>3829.831201863391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8B-4464-8D73-A29E32154D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lang="en-US"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45604</c:v>
                </c:pt>
                <c:pt idx="1">
                  <c:v>45611</c:v>
                </c:pt>
                <c:pt idx="2">
                  <c:v>45618</c:v>
                </c:pt>
                <c:pt idx="3">
                  <c:v>45625</c:v>
                </c:pt>
                <c:pt idx="4">
                  <c:v>45632</c:v>
                </c:pt>
                <c:pt idx="5">
                  <c:v>45639</c:v>
                </c:pt>
                <c:pt idx="6">
                  <c:v>45646</c:v>
                </c:pt>
                <c:pt idx="7">
                  <c:v>45653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12.888080361994271</c:v>
                </c:pt>
                <c:pt idx="1">
                  <c:v>12.879805353681869</c:v>
                </c:pt>
                <c:pt idx="2">
                  <c:v>12.922326068600094</c:v>
                </c:pt>
                <c:pt idx="3">
                  <c:v>12.578926303585625</c:v>
                </c:pt>
                <c:pt idx="4">
                  <c:v>12.480727319636602</c:v>
                </c:pt>
                <c:pt idx="5">
                  <c:v>12.494363671946113</c:v>
                </c:pt>
                <c:pt idx="6">
                  <c:v>12.568890044927004</c:v>
                </c:pt>
                <c:pt idx="7">
                  <c:v>12.767135898969396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3E-4C32-8EA2-A8782F5202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510540</xdr:colOff>
      <xdr:row>22</xdr:row>
      <xdr:rowOff>127635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514575</xdr:colOff>
      <xdr:row>30</xdr:row>
      <xdr:rowOff>156883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19</xdr:row>
      <xdr:rowOff>8659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38099</xdr:colOff>
      <xdr:row>18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40"/>
  <sheetViews>
    <sheetView tabSelected="1" view="pageBreakPreview" zoomScale="120" zoomScaleNormal="160" zoomScaleSheetLayoutView="120" workbookViewId="0">
      <selection sqref="A1:V1"/>
    </sheetView>
  </sheetViews>
  <sheetFormatPr defaultColWidth="9" defaultRowHeight="14.4"/>
  <cols>
    <col min="1" max="1" width="6" customWidth="1"/>
    <col min="2" max="2" width="39.109375" customWidth="1"/>
    <col min="3" max="3" width="36.109375" customWidth="1"/>
    <col min="4" max="4" width="21" customWidth="1"/>
    <col min="8" max="8" width="9.88671875" customWidth="1"/>
    <col min="11" max="11" width="20.5546875" customWidth="1"/>
    <col min="13" max="13" width="10" customWidth="1"/>
    <col min="14" max="14" width="10.109375" customWidth="1"/>
    <col min="15" max="15" width="9.88671875" customWidth="1"/>
    <col min="17" max="17" width="9.109375" customWidth="1"/>
    <col min="20" max="20" width="8.33203125" customWidth="1"/>
    <col min="24" max="24" width="18.88671875" customWidth="1"/>
    <col min="25" max="25" width="11.33203125" customWidth="1"/>
    <col min="26" max="26" width="15.88671875" customWidth="1"/>
    <col min="27" max="27" width="17.33203125" customWidth="1"/>
  </cols>
  <sheetData>
    <row r="1" spans="1:25" ht="27">
      <c r="A1" s="180" t="s">
        <v>298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</row>
    <row r="2" spans="1:25" ht="15" customHeight="1">
      <c r="A2" s="30"/>
      <c r="B2" s="31"/>
      <c r="C2" s="139"/>
      <c r="D2" s="181" t="s">
        <v>294</v>
      </c>
      <c r="E2" s="181"/>
      <c r="F2" s="181"/>
      <c r="G2" s="181"/>
      <c r="H2" s="181"/>
      <c r="I2" s="181"/>
      <c r="J2" s="181"/>
      <c r="K2" s="181" t="s">
        <v>299</v>
      </c>
      <c r="L2" s="181"/>
      <c r="M2" s="181"/>
      <c r="N2" s="181"/>
      <c r="O2" s="181"/>
      <c r="P2" s="181"/>
      <c r="Q2" s="181"/>
      <c r="R2" s="181" t="s">
        <v>0</v>
      </c>
      <c r="S2" s="181"/>
      <c r="T2" s="181"/>
      <c r="U2" s="181" t="s">
        <v>1</v>
      </c>
      <c r="V2" s="181"/>
    </row>
    <row r="3" spans="1:25" ht="20.399999999999999">
      <c r="A3" s="32" t="s">
        <v>2</v>
      </c>
      <c r="B3" s="33" t="s">
        <v>3</v>
      </c>
      <c r="C3" s="34" t="s">
        <v>4</v>
      </c>
      <c r="D3" s="35" t="s">
        <v>5</v>
      </c>
      <c r="E3" s="36" t="s">
        <v>6</v>
      </c>
      <c r="F3" s="135" t="s">
        <v>292</v>
      </c>
      <c r="G3" s="36" t="s">
        <v>8</v>
      </c>
      <c r="H3" s="36" t="s">
        <v>9</v>
      </c>
      <c r="I3" s="36" t="s">
        <v>10</v>
      </c>
      <c r="J3" s="36" t="s">
        <v>11</v>
      </c>
      <c r="K3" s="59" t="s">
        <v>5</v>
      </c>
      <c r="L3" s="36" t="s">
        <v>6</v>
      </c>
      <c r="M3" s="36" t="s">
        <v>7</v>
      </c>
      <c r="N3" s="36" t="s">
        <v>8</v>
      </c>
      <c r="O3" s="36" t="s">
        <v>9</v>
      </c>
      <c r="P3" s="36" t="s">
        <v>10</v>
      </c>
      <c r="Q3" s="36" t="s">
        <v>11</v>
      </c>
      <c r="R3" s="35" t="s">
        <v>12</v>
      </c>
      <c r="S3" s="36" t="s">
        <v>13</v>
      </c>
      <c r="T3" s="36" t="s">
        <v>14</v>
      </c>
      <c r="U3" s="36" t="s">
        <v>15</v>
      </c>
      <c r="V3" s="36" t="s">
        <v>16</v>
      </c>
    </row>
    <row r="4" spans="1:25" ht="5.25" customHeight="1">
      <c r="A4" s="37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</row>
    <row r="5" spans="1:25" ht="15" customHeight="1">
      <c r="A5" s="178" t="s">
        <v>17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</row>
    <row r="6" spans="1:25">
      <c r="A6" s="164">
        <v>1</v>
      </c>
      <c r="B6" s="162" t="s">
        <v>18</v>
      </c>
      <c r="C6" s="163" t="s">
        <v>19</v>
      </c>
      <c r="D6" s="38">
        <v>1284475625.9200001</v>
      </c>
      <c r="E6" s="39">
        <f t="shared" ref="E6:E23" si="0">(D6/$D$24)</f>
        <v>4.2030997774741757E-2</v>
      </c>
      <c r="F6" s="40">
        <v>390.4228</v>
      </c>
      <c r="G6" s="40">
        <v>390.4228</v>
      </c>
      <c r="H6" s="41">
        <v>1948</v>
      </c>
      <c r="I6" s="60">
        <v>5.7999999999999996E-3</v>
      </c>
      <c r="J6" s="60">
        <v>0.29580000000000001</v>
      </c>
      <c r="K6" s="38">
        <v>1299526597.77</v>
      </c>
      <c r="L6" s="39">
        <f>(K6/$K$24)</f>
        <v>4.1647402716246819E-2</v>
      </c>
      <c r="M6" s="40">
        <v>394.99759999999998</v>
      </c>
      <c r="N6" s="40">
        <v>394.99759999999998</v>
      </c>
      <c r="O6" s="41">
        <v>1948</v>
      </c>
      <c r="P6" s="60">
        <v>1.17E-2</v>
      </c>
      <c r="Q6" s="60">
        <v>0.31059999999999999</v>
      </c>
      <c r="R6" s="66">
        <f>((K6-D6)/D6)</f>
        <v>1.1717600199084908E-2</v>
      </c>
      <c r="S6" s="66">
        <f>((N6-G6)/G6)</f>
        <v>1.1717553380591456E-2</v>
      </c>
      <c r="T6" s="66">
        <f>((O6-H6)/H6)</f>
        <v>0</v>
      </c>
      <c r="U6" s="67">
        <f>P6-I6</f>
        <v>5.9000000000000007E-3</v>
      </c>
      <c r="V6" s="68">
        <f>Q6-J6</f>
        <v>1.479999999999998E-2</v>
      </c>
    </row>
    <row r="7" spans="1:25">
      <c r="A7" s="164">
        <v>2</v>
      </c>
      <c r="B7" s="162" t="s">
        <v>20</v>
      </c>
      <c r="C7" s="163" t="s">
        <v>21</v>
      </c>
      <c r="D7" s="42">
        <v>604758147.34000003</v>
      </c>
      <c r="E7" s="39">
        <f t="shared" si="0"/>
        <v>1.9789077995854176E-2</v>
      </c>
      <c r="F7" s="42">
        <v>253.41480000000001</v>
      </c>
      <c r="G7" s="42">
        <v>256.31740000000002</v>
      </c>
      <c r="H7" s="41">
        <v>460</v>
      </c>
      <c r="I7" s="60">
        <v>5.6779999999999999E-3</v>
      </c>
      <c r="J7" s="60">
        <v>0.30990000000000001</v>
      </c>
      <c r="K7" s="42">
        <v>627460658.53999996</v>
      </c>
      <c r="L7" s="39">
        <f t="shared" ref="L7:L23" si="1">(K7/$K$24)</f>
        <v>2.0108943348800829E-2</v>
      </c>
      <c r="M7" s="42">
        <v>257.78859999999997</v>
      </c>
      <c r="N7" s="42">
        <v>260.69540000000001</v>
      </c>
      <c r="O7" s="41">
        <v>460</v>
      </c>
      <c r="P7" s="60">
        <v>-4.7410000000000004E-3</v>
      </c>
      <c r="Q7" s="60">
        <v>0.33260000000000001</v>
      </c>
      <c r="R7" s="66">
        <f t="shared" ref="R7:R24" si="2">((K7-D7)/D7)</f>
        <v>3.7539818685958751E-2</v>
      </c>
      <c r="S7" s="66">
        <f t="shared" ref="S7:S24" si="3">((N7-G7)/G7)</f>
        <v>1.7080385490801583E-2</v>
      </c>
      <c r="T7" s="66">
        <f t="shared" ref="T7:T24" si="4">((O7-H7)/H7)</f>
        <v>0</v>
      </c>
      <c r="U7" s="67">
        <f t="shared" ref="U7:U24" si="5">P7-I7</f>
        <v>-1.0419000000000001E-2</v>
      </c>
      <c r="V7" s="68">
        <f t="shared" ref="V7:V24" si="6">Q7-J7</f>
        <v>2.2699999999999998E-2</v>
      </c>
    </row>
    <row r="8" spans="1:25">
      <c r="A8" s="164">
        <v>3</v>
      </c>
      <c r="B8" s="162" t="s">
        <v>22</v>
      </c>
      <c r="C8" s="163" t="s">
        <v>23</v>
      </c>
      <c r="D8" s="42">
        <v>3859115299.5100002</v>
      </c>
      <c r="E8" s="39">
        <f t="shared" si="0"/>
        <v>0.12627913157168699</v>
      </c>
      <c r="F8" s="42">
        <v>35.025500000000001</v>
      </c>
      <c r="G8" s="42">
        <v>36.081499999999998</v>
      </c>
      <c r="H8" s="43">
        <v>6617</v>
      </c>
      <c r="I8" s="61">
        <v>-0.59130000000000005</v>
      </c>
      <c r="J8" s="61">
        <v>0.15110000000000001</v>
      </c>
      <c r="K8" s="42">
        <v>3893526262.0900002</v>
      </c>
      <c r="L8" s="39">
        <f t="shared" si="1"/>
        <v>0.12478025190235072</v>
      </c>
      <c r="M8" s="42">
        <v>35.327199999999998</v>
      </c>
      <c r="N8" s="42">
        <v>36.392299999999999</v>
      </c>
      <c r="O8" s="43">
        <v>6618</v>
      </c>
      <c r="P8" s="61">
        <v>0.45040000000000002</v>
      </c>
      <c r="Q8" s="61">
        <v>0.15809999999999999</v>
      </c>
      <c r="R8" s="66">
        <f t="shared" si="2"/>
        <v>8.9168008492436484E-3</v>
      </c>
      <c r="S8" s="66">
        <f t="shared" si="3"/>
        <v>8.6138325734794949E-3</v>
      </c>
      <c r="T8" s="66">
        <f t="shared" si="4"/>
        <v>1.511258878645912E-4</v>
      </c>
      <c r="U8" s="67">
        <f t="shared" si="5"/>
        <v>1.0417000000000001</v>
      </c>
      <c r="V8" s="68">
        <f t="shared" si="6"/>
        <v>6.9999999999999785E-3</v>
      </c>
      <c r="X8" s="69"/>
      <c r="Y8" s="69"/>
    </row>
    <row r="9" spans="1:25">
      <c r="A9" s="164">
        <v>4</v>
      </c>
      <c r="B9" s="162" t="s">
        <v>24</v>
      </c>
      <c r="C9" s="163" t="s">
        <v>25</v>
      </c>
      <c r="D9" s="42">
        <v>618676661.73000002</v>
      </c>
      <c r="E9" s="39">
        <f t="shared" si="0"/>
        <v>2.0244523810121602E-2</v>
      </c>
      <c r="F9" s="42">
        <v>216.36930000000001</v>
      </c>
      <c r="G9" s="42">
        <v>216.36930000000001</v>
      </c>
      <c r="H9" s="41">
        <v>1864</v>
      </c>
      <c r="I9" s="60">
        <v>5.8999999999999999E-3</v>
      </c>
      <c r="J9" s="60">
        <v>0.2404</v>
      </c>
      <c r="K9" s="42">
        <v>626798096.46000004</v>
      </c>
      <c r="L9" s="39">
        <f t="shared" si="1"/>
        <v>2.0087709470388782E-2</v>
      </c>
      <c r="M9" s="42">
        <v>217.97659999999999</v>
      </c>
      <c r="N9" s="42">
        <v>217.97659999999999</v>
      </c>
      <c r="O9" s="41">
        <v>1869</v>
      </c>
      <c r="P9" s="60">
        <v>7.4000000000000003E-3</v>
      </c>
      <c r="Q9" s="60">
        <v>0.24829999999999999</v>
      </c>
      <c r="R9" s="66">
        <f t="shared" si="2"/>
        <v>1.3127106988794638E-2</v>
      </c>
      <c r="S9" s="66">
        <f t="shared" si="3"/>
        <v>7.4285030270005072E-3</v>
      </c>
      <c r="T9" s="66">
        <f t="shared" si="4"/>
        <v>2.6824034334763948E-3</v>
      </c>
      <c r="U9" s="67">
        <f t="shared" si="5"/>
        <v>1.5000000000000005E-3</v>
      </c>
      <c r="V9" s="68">
        <f t="shared" si="6"/>
        <v>7.8999999999999904E-3</v>
      </c>
    </row>
    <row r="10" spans="1:25">
      <c r="A10" s="164">
        <v>5</v>
      </c>
      <c r="B10" s="162" t="s">
        <v>26</v>
      </c>
      <c r="C10" s="163" t="s">
        <v>27</v>
      </c>
      <c r="D10" s="42">
        <v>981317585.75999999</v>
      </c>
      <c r="E10" s="39">
        <f t="shared" si="0"/>
        <v>3.2110969201032076E-2</v>
      </c>
      <c r="F10" s="42">
        <v>1.2562</v>
      </c>
      <c r="G10" s="42">
        <v>1.2719</v>
      </c>
      <c r="H10" s="41">
        <v>500</v>
      </c>
      <c r="I10" s="60">
        <v>-1.44E-2</v>
      </c>
      <c r="J10" s="60">
        <v>0.2641</v>
      </c>
      <c r="K10" s="42">
        <v>981317585.75999999</v>
      </c>
      <c r="L10" s="39">
        <f t="shared" si="1"/>
        <v>3.1449397616650519E-2</v>
      </c>
      <c r="M10" s="42">
        <v>1.2441</v>
      </c>
      <c r="N10" s="42">
        <v>1.2597</v>
      </c>
      <c r="O10" s="41">
        <v>507</v>
      </c>
      <c r="P10" s="60">
        <v>-9.5999999999999992E-3</v>
      </c>
      <c r="Q10" s="60">
        <v>0.25190000000000001</v>
      </c>
      <c r="R10" s="66">
        <f t="shared" si="2"/>
        <v>0</v>
      </c>
      <c r="S10" s="66">
        <f t="shared" si="3"/>
        <v>-9.5919490525984662E-3</v>
      </c>
      <c r="T10" s="66">
        <f t="shared" si="4"/>
        <v>1.4E-2</v>
      </c>
      <c r="U10" s="67">
        <f t="shared" si="5"/>
        <v>4.8000000000000004E-3</v>
      </c>
      <c r="V10" s="68">
        <f t="shared" si="6"/>
        <v>-1.2199999999999989E-2</v>
      </c>
    </row>
    <row r="11" spans="1:25">
      <c r="A11" s="164">
        <v>6</v>
      </c>
      <c r="B11" s="162" t="s">
        <v>28</v>
      </c>
      <c r="C11" s="163" t="s">
        <v>29</v>
      </c>
      <c r="D11" s="44">
        <v>95504268.590000004</v>
      </c>
      <c r="E11" s="39">
        <f t="shared" si="0"/>
        <v>3.1251194024873143E-3</v>
      </c>
      <c r="F11" s="42">
        <v>170.53</v>
      </c>
      <c r="G11" s="42">
        <v>171.09639999999999</v>
      </c>
      <c r="H11" s="43">
        <v>63</v>
      </c>
      <c r="I11" s="61">
        <v>2.1699999999999999E-4</v>
      </c>
      <c r="J11" s="61">
        <v>0.2213</v>
      </c>
      <c r="K11" s="44">
        <v>95922705.209999993</v>
      </c>
      <c r="L11" s="39">
        <f t="shared" si="1"/>
        <v>3.0741437230819573E-3</v>
      </c>
      <c r="M11" s="42">
        <v>171.36</v>
      </c>
      <c r="N11" s="42">
        <v>171.929</v>
      </c>
      <c r="O11" s="43">
        <v>63</v>
      </c>
      <c r="P11" s="61">
        <v>2.7799999999999998E-4</v>
      </c>
      <c r="Q11" s="61">
        <v>0.22470000000000001</v>
      </c>
      <c r="R11" s="66">
        <f t="shared" si="2"/>
        <v>4.3813394540126683E-3</v>
      </c>
      <c r="S11" s="66">
        <f t="shared" si="3"/>
        <v>4.8662625280252161E-3</v>
      </c>
      <c r="T11" s="66">
        <f t="shared" si="4"/>
        <v>0</v>
      </c>
      <c r="U11" s="67">
        <f t="shared" si="5"/>
        <v>6.0999999999999992E-5</v>
      </c>
      <c r="V11" s="68">
        <f t="shared" si="6"/>
        <v>3.4000000000000141E-3</v>
      </c>
    </row>
    <row r="12" spans="1:25">
      <c r="A12" s="164">
        <v>7</v>
      </c>
      <c r="B12" s="162" t="s">
        <v>30</v>
      </c>
      <c r="C12" s="163" t="s">
        <v>31</v>
      </c>
      <c r="D12" s="42">
        <v>1133642863.55</v>
      </c>
      <c r="E12" s="39">
        <f t="shared" si="0"/>
        <v>3.7095402757132238E-2</v>
      </c>
      <c r="F12" s="42">
        <v>314.43</v>
      </c>
      <c r="G12" s="42">
        <v>318.85000000000002</v>
      </c>
      <c r="H12" s="43">
        <v>1641</v>
      </c>
      <c r="I12" s="61">
        <v>2.6800000000000001E-2</v>
      </c>
      <c r="J12" s="61">
        <v>0.39429999999999998</v>
      </c>
      <c r="K12" s="42">
        <v>1155627356.4300001</v>
      </c>
      <c r="L12" s="39">
        <f t="shared" si="1"/>
        <v>3.7035700527978055E-2</v>
      </c>
      <c r="M12" s="42">
        <v>321.06</v>
      </c>
      <c r="N12" s="42">
        <v>325.60000000000002</v>
      </c>
      <c r="O12" s="43">
        <v>1640</v>
      </c>
      <c r="P12" s="61">
        <v>2.12E-2</v>
      </c>
      <c r="Q12" s="61">
        <v>0.42099999999999999</v>
      </c>
      <c r="R12" s="66">
        <f t="shared" si="2"/>
        <v>1.9392785494327311E-2</v>
      </c>
      <c r="S12" s="66">
        <f t="shared" si="3"/>
        <v>2.1169829073231925E-2</v>
      </c>
      <c r="T12" s="66">
        <f t="shared" si="4"/>
        <v>-6.0938452163315055E-4</v>
      </c>
      <c r="U12" s="67">
        <f t="shared" si="5"/>
        <v>-5.6000000000000008E-3</v>
      </c>
      <c r="V12" s="68">
        <f t="shared" si="6"/>
        <v>2.6700000000000002E-2</v>
      </c>
    </row>
    <row r="13" spans="1:25">
      <c r="A13" s="164">
        <v>8</v>
      </c>
      <c r="B13" s="162" t="s">
        <v>32</v>
      </c>
      <c r="C13" s="163" t="s">
        <v>33</v>
      </c>
      <c r="D13" s="38">
        <v>414728783.14999998</v>
      </c>
      <c r="E13" s="39">
        <f t="shared" si="0"/>
        <v>1.3570879983973067E-2</v>
      </c>
      <c r="F13" s="42">
        <v>208.06</v>
      </c>
      <c r="G13" s="42">
        <v>216.94</v>
      </c>
      <c r="H13" s="41">
        <v>2465</v>
      </c>
      <c r="I13" s="60">
        <v>8.6999999999999994E-3</v>
      </c>
      <c r="J13" s="60">
        <v>0.65510000000000002</v>
      </c>
      <c r="K13" s="38">
        <v>410317118.10000002</v>
      </c>
      <c r="L13" s="39">
        <f t="shared" si="1"/>
        <v>1.3149898038412435E-2</v>
      </c>
      <c r="M13" s="42">
        <v>205.84</v>
      </c>
      <c r="N13" s="42">
        <v>214.58</v>
      </c>
      <c r="O13" s="41">
        <v>2465</v>
      </c>
      <c r="P13" s="60">
        <v>-2.0999999999999999E-3</v>
      </c>
      <c r="Q13" s="60">
        <v>0.63739999999999997</v>
      </c>
      <c r="R13" s="66">
        <f t="shared" si="2"/>
        <v>-1.063747014733803E-2</v>
      </c>
      <c r="S13" s="66">
        <f t="shared" si="3"/>
        <v>-1.0878583940259912E-2</v>
      </c>
      <c r="T13" s="66">
        <f t="shared" si="4"/>
        <v>0</v>
      </c>
      <c r="U13" s="67">
        <f t="shared" si="5"/>
        <v>-1.0799999999999999E-2</v>
      </c>
      <c r="V13" s="68">
        <f t="shared" si="6"/>
        <v>-1.7700000000000049E-2</v>
      </c>
    </row>
    <row r="14" spans="1:25">
      <c r="A14" s="164">
        <v>9</v>
      </c>
      <c r="B14" s="162" t="s">
        <v>34</v>
      </c>
      <c r="C14" s="163" t="s">
        <v>35</v>
      </c>
      <c r="D14" s="44">
        <v>60338797</v>
      </c>
      <c r="E14" s="39">
        <f t="shared" si="0"/>
        <v>1.9744242640814024E-3</v>
      </c>
      <c r="F14" s="42">
        <v>214.83</v>
      </c>
      <c r="G14" s="42">
        <v>221.68</v>
      </c>
      <c r="H14" s="41">
        <v>16</v>
      </c>
      <c r="I14" s="60">
        <v>2.1100000000000001E-2</v>
      </c>
      <c r="J14" s="60">
        <v>0.19270000000000001</v>
      </c>
      <c r="K14" s="44">
        <v>60338797</v>
      </c>
      <c r="L14" s="39">
        <f t="shared" si="1"/>
        <v>1.9337458597500957E-3</v>
      </c>
      <c r="M14" s="42">
        <v>214.83</v>
      </c>
      <c r="N14" s="42">
        <v>221.68</v>
      </c>
      <c r="O14" s="41">
        <v>16</v>
      </c>
      <c r="P14" s="60">
        <v>2.1100000000000001E-2</v>
      </c>
      <c r="Q14" s="60">
        <v>0.19270000000000001</v>
      </c>
      <c r="R14" s="66">
        <f t="shared" si="2"/>
        <v>0</v>
      </c>
      <c r="S14" s="66">
        <f t="shared" si="3"/>
        <v>0</v>
      </c>
      <c r="T14" s="66">
        <f t="shared" si="4"/>
        <v>0</v>
      </c>
      <c r="U14" s="67">
        <f t="shared" si="5"/>
        <v>0</v>
      </c>
      <c r="V14" s="68">
        <f t="shared" si="6"/>
        <v>0</v>
      </c>
    </row>
    <row r="15" spans="1:25" ht="14.25" customHeight="1">
      <c r="A15" s="164">
        <v>10</v>
      </c>
      <c r="B15" s="162" t="s">
        <v>36</v>
      </c>
      <c r="C15" s="163" t="s">
        <v>37</v>
      </c>
      <c r="D15" s="38">
        <v>597922144.50999999</v>
      </c>
      <c r="E15" s="39">
        <f t="shared" si="0"/>
        <v>1.9565388255124321E-2</v>
      </c>
      <c r="F15" s="42">
        <v>2.0542410000000002</v>
      </c>
      <c r="G15" s="42">
        <v>2.0911749999999998</v>
      </c>
      <c r="H15" s="41">
        <v>474</v>
      </c>
      <c r="I15" s="60">
        <v>2.1070148833089553E-2</v>
      </c>
      <c r="J15" s="60">
        <v>0.21215613382899634</v>
      </c>
      <c r="K15" s="38">
        <v>608136124.55999994</v>
      </c>
      <c r="L15" s="39">
        <f t="shared" si="1"/>
        <v>1.9489628091729577E-2</v>
      </c>
      <c r="M15" s="42">
        <v>2.0897190000000001</v>
      </c>
      <c r="N15" s="42">
        <v>2.1276079999999999</v>
      </c>
      <c r="O15" s="41">
        <v>474</v>
      </c>
      <c r="P15" s="60">
        <v>1.727061235755678E-2</v>
      </c>
      <c r="Q15" s="60">
        <v>0.23309081253319164</v>
      </c>
      <c r="R15" s="66">
        <f t="shared" si="2"/>
        <v>1.7082458215977862E-2</v>
      </c>
      <c r="S15" s="66">
        <f t="shared" si="3"/>
        <v>1.7422262603560279E-2</v>
      </c>
      <c r="T15" s="66">
        <f t="shared" si="4"/>
        <v>0</v>
      </c>
      <c r="U15" s="67">
        <f t="shared" si="5"/>
        <v>-3.7995364755327721E-3</v>
      </c>
      <c r="V15" s="68">
        <f t="shared" si="6"/>
        <v>2.0934678704195298E-2</v>
      </c>
    </row>
    <row r="16" spans="1:25" ht="14.25" customHeight="1">
      <c r="A16" s="164">
        <v>11</v>
      </c>
      <c r="B16" s="162" t="s">
        <v>38</v>
      </c>
      <c r="C16" s="163" t="s">
        <v>39</v>
      </c>
      <c r="D16" s="38">
        <v>14742480.07</v>
      </c>
      <c r="E16" s="39">
        <f t="shared" si="0"/>
        <v>4.8240786708002303E-4</v>
      </c>
      <c r="F16" s="42">
        <v>12.74</v>
      </c>
      <c r="G16" s="42">
        <v>13.5</v>
      </c>
      <c r="H16" s="41">
        <v>28</v>
      </c>
      <c r="I16" s="60">
        <v>1.44E-2</v>
      </c>
      <c r="J16" s="60">
        <v>0.88129999999999997</v>
      </c>
      <c r="K16" s="38">
        <v>15355779.01</v>
      </c>
      <c r="L16" s="39">
        <f t="shared" si="1"/>
        <v>4.9212406544706089E-4</v>
      </c>
      <c r="M16" s="42">
        <v>13.26</v>
      </c>
      <c r="N16" s="42">
        <v>14.04</v>
      </c>
      <c r="O16" s="41">
        <v>28</v>
      </c>
      <c r="P16" s="60">
        <v>0.14299999999999999</v>
      </c>
      <c r="Q16" s="60">
        <v>0.98909999999999998</v>
      </c>
      <c r="R16" s="66">
        <f t="shared" ref="R16" si="7">((K16-D16)/D16)</f>
        <v>4.1600798311270802E-2</v>
      </c>
      <c r="S16" s="66">
        <f t="shared" ref="S16" si="8">((N16-G16)/G16)</f>
        <v>3.9999999999999938E-2</v>
      </c>
      <c r="T16" s="66">
        <f t="shared" ref="T16" si="9">((O16-H16)/H16)</f>
        <v>0</v>
      </c>
      <c r="U16" s="67">
        <f t="shared" ref="U16" si="10">P16-I16</f>
        <v>0.12859999999999999</v>
      </c>
      <c r="V16" s="68">
        <f t="shared" ref="V16" si="11">Q16-J16</f>
        <v>0.10780000000000001</v>
      </c>
    </row>
    <row r="17" spans="1:22">
      <c r="A17" s="164">
        <v>12</v>
      </c>
      <c r="B17" s="162" t="s">
        <v>40</v>
      </c>
      <c r="C17" s="163" t="s">
        <v>41</v>
      </c>
      <c r="D17" s="38">
        <v>1756892824.1099999</v>
      </c>
      <c r="E17" s="39">
        <f t="shared" si="0"/>
        <v>5.7489575427121679E-2</v>
      </c>
      <c r="F17" s="42">
        <v>3.57</v>
      </c>
      <c r="G17" s="42">
        <v>3.65</v>
      </c>
      <c r="H17" s="41">
        <v>3661</v>
      </c>
      <c r="I17" s="60">
        <v>-4.8999999999999998E-3</v>
      </c>
      <c r="J17" s="60">
        <v>0.29039999999999999</v>
      </c>
      <c r="K17" s="187">
        <v>1777512162.1900001</v>
      </c>
      <c r="L17" s="39">
        <f t="shared" si="1"/>
        <v>5.6965948198973097E-2</v>
      </c>
      <c r="M17" s="42">
        <v>3.62</v>
      </c>
      <c r="N17" s="42">
        <v>3.69</v>
      </c>
      <c r="O17" s="41">
        <v>3661</v>
      </c>
      <c r="P17" s="60">
        <v>1.2999999999999999E-3</v>
      </c>
      <c r="Q17" s="60">
        <v>0.30570000000000003</v>
      </c>
      <c r="R17" s="66">
        <f t="shared" si="2"/>
        <v>1.1736252659831671E-2</v>
      </c>
      <c r="S17" s="66">
        <f t="shared" si="3"/>
        <v>1.0958904109589052E-2</v>
      </c>
      <c r="T17" s="66">
        <f t="shared" si="4"/>
        <v>0</v>
      </c>
      <c r="U17" s="67">
        <f t="shared" si="5"/>
        <v>6.1999999999999998E-3</v>
      </c>
      <c r="V17" s="68">
        <f t="shared" si="6"/>
        <v>1.5300000000000036E-2</v>
      </c>
    </row>
    <row r="18" spans="1:22">
      <c r="A18" s="164">
        <v>13</v>
      </c>
      <c r="B18" s="162" t="s">
        <v>42</v>
      </c>
      <c r="C18" s="163" t="s">
        <v>43</v>
      </c>
      <c r="D18" s="42">
        <v>720173874.24000001</v>
      </c>
      <c r="E18" s="39">
        <f t="shared" si="0"/>
        <v>2.3565746126111273E-2</v>
      </c>
      <c r="F18" s="42">
        <v>23.775175000000001</v>
      </c>
      <c r="G18" s="42">
        <v>23.904722</v>
      </c>
      <c r="H18" s="41">
        <v>359</v>
      </c>
      <c r="I18" s="60">
        <v>1.7920404990192207E-2</v>
      </c>
      <c r="J18" s="60">
        <v>0.34943370209605473</v>
      </c>
      <c r="K18" s="42">
        <v>738399824.85000002</v>
      </c>
      <c r="L18" s="39">
        <f t="shared" si="1"/>
        <v>2.3664336631436047E-2</v>
      </c>
      <c r="M18" s="42">
        <v>24.191604000000002</v>
      </c>
      <c r="N18" s="42">
        <v>24.328582000000001</v>
      </c>
      <c r="O18" s="41">
        <v>370</v>
      </c>
      <c r="P18" s="60">
        <v>1.7515286427965293E-2</v>
      </c>
      <c r="Q18" s="60">
        <v>0.37211541179659813</v>
      </c>
      <c r="R18" s="66">
        <f t="shared" si="2"/>
        <v>2.5307708682481535E-2</v>
      </c>
      <c r="S18" s="66">
        <f t="shared" si="3"/>
        <v>1.7731224818259807E-2</v>
      </c>
      <c r="T18" s="66">
        <f t="shared" si="4"/>
        <v>3.0640668523676879E-2</v>
      </c>
      <c r="U18" s="67">
        <f t="shared" si="5"/>
        <v>-4.0511856222691378E-4</v>
      </c>
      <c r="V18" s="68">
        <f t="shared" si="6"/>
        <v>2.2681709700543395E-2</v>
      </c>
    </row>
    <row r="19" spans="1:22">
      <c r="A19" s="164">
        <v>14</v>
      </c>
      <c r="B19" s="162" t="s">
        <v>44</v>
      </c>
      <c r="C19" s="163" t="s">
        <v>45</v>
      </c>
      <c r="D19" s="42">
        <v>128564507.12</v>
      </c>
      <c r="E19" s="39">
        <f t="shared" si="0"/>
        <v>4.2069264714938584E-3</v>
      </c>
      <c r="F19" s="42">
        <v>1.388908</v>
      </c>
      <c r="G19" s="42">
        <v>1.4432469999999999</v>
      </c>
      <c r="H19" s="41">
        <v>22</v>
      </c>
      <c r="I19" s="60">
        <v>-5.8999999999999999E-3</v>
      </c>
      <c r="J19" s="60">
        <v>-0.34760000000000002</v>
      </c>
      <c r="K19" s="42">
        <v>128956704.7</v>
      </c>
      <c r="L19" s="39">
        <f t="shared" si="1"/>
        <v>4.1328217697253842E-3</v>
      </c>
      <c r="M19" s="42">
        <v>1.3931450000000001</v>
      </c>
      <c r="N19" s="42">
        <v>1.448108</v>
      </c>
      <c r="O19" s="41">
        <v>22</v>
      </c>
      <c r="P19" s="60">
        <v>-2.9999999999999997E-4</v>
      </c>
      <c r="Q19" s="60">
        <v>-0.34560000000000002</v>
      </c>
      <c r="R19" s="66">
        <f t="shared" si="2"/>
        <v>3.0505898461845884E-3</v>
      </c>
      <c r="S19" s="66">
        <f t="shared" si="3"/>
        <v>3.3680998470809256E-3</v>
      </c>
      <c r="T19" s="66">
        <f t="shared" si="4"/>
        <v>0</v>
      </c>
      <c r="U19" s="67">
        <f t="shared" si="5"/>
        <v>5.5999999999999999E-3</v>
      </c>
      <c r="V19" s="68">
        <f t="shared" si="6"/>
        <v>2.0000000000000018E-3</v>
      </c>
    </row>
    <row r="20" spans="1:22">
      <c r="A20" s="164">
        <v>15</v>
      </c>
      <c r="B20" s="162" t="s">
        <v>46</v>
      </c>
      <c r="C20" s="163" t="s">
        <v>47</v>
      </c>
      <c r="D20" s="38">
        <v>1699605113.95</v>
      </c>
      <c r="E20" s="39">
        <f t="shared" si="0"/>
        <v>5.561498974432183E-2</v>
      </c>
      <c r="F20" s="42">
        <v>30.2</v>
      </c>
      <c r="G20" s="42">
        <v>30.83</v>
      </c>
      <c r="H20" s="41">
        <v>8944</v>
      </c>
      <c r="I20" s="60">
        <v>1.6799999999999999E-2</v>
      </c>
      <c r="J20" s="60">
        <v>0.20030000000000001</v>
      </c>
      <c r="K20" s="38">
        <v>1768264544.4200001</v>
      </c>
      <c r="L20" s="39">
        <f t="shared" si="1"/>
        <v>5.6669579304258658E-2</v>
      </c>
      <c r="M20" s="42">
        <v>31.41</v>
      </c>
      <c r="N20" s="42">
        <v>32.07</v>
      </c>
      <c r="O20" s="41">
        <v>8944</v>
      </c>
      <c r="P20" s="60">
        <v>0.03</v>
      </c>
      <c r="Q20" s="60">
        <v>0.24840000000000001</v>
      </c>
      <c r="R20" s="66">
        <f t="shared" si="2"/>
        <v>4.0397283996416532E-2</v>
      </c>
      <c r="S20" s="66">
        <f t="shared" si="3"/>
        <v>4.0220564385339025E-2</v>
      </c>
      <c r="T20" s="66">
        <f t="shared" si="4"/>
        <v>0</v>
      </c>
      <c r="U20" s="67">
        <f t="shared" si="5"/>
        <v>1.32E-2</v>
      </c>
      <c r="V20" s="68">
        <f t="shared" si="6"/>
        <v>4.8100000000000004E-2</v>
      </c>
    </row>
    <row r="21" spans="1:22" ht="12.75" customHeight="1">
      <c r="A21" s="164">
        <v>16</v>
      </c>
      <c r="B21" s="162" t="s">
        <v>48</v>
      </c>
      <c r="C21" s="163" t="s">
        <v>49</v>
      </c>
      <c r="D21" s="42">
        <v>733938593.19000006</v>
      </c>
      <c r="E21" s="39">
        <f t="shared" si="0"/>
        <v>2.4016159399732572E-2</v>
      </c>
      <c r="F21" s="42">
        <v>7740.08</v>
      </c>
      <c r="G21" s="42">
        <v>7838.64</v>
      </c>
      <c r="H21" s="41">
        <v>19</v>
      </c>
      <c r="I21" s="60">
        <v>1.6299999999999999E-2</v>
      </c>
      <c r="J21" s="60">
        <v>0.43890000000000001</v>
      </c>
      <c r="K21" s="42">
        <v>750183568.66999996</v>
      </c>
      <c r="L21" s="39">
        <f t="shared" si="1"/>
        <v>2.4041983633982029E-2</v>
      </c>
      <c r="M21" s="42">
        <v>7910.99</v>
      </c>
      <c r="N21" s="42">
        <v>8012.42</v>
      </c>
      <c r="O21" s="41">
        <v>19</v>
      </c>
      <c r="P21" s="60">
        <v>2.2200000000000001E-2</v>
      </c>
      <c r="Q21" s="60">
        <v>0.4708</v>
      </c>
      <c r="R21" s="66">
        <f t="shared" si="2"/>
        <v>2.2133970921725931E-2</v>
      </c>
      <c r="S21" s="66">
        <f t="shared" si="3"/>
        <v>2.216966208423907E-2</v>
      </c>
      <c r="T21" s="66">
        <f t="shared" si="4"/>
        <v>0</v>
      </c>
      <c r="U21" s="67">
        <f t="shared" si="5"/>
        <v>5.9000000000000025E-3</v>
      </c>
      <c r="V21" s="68">
        <f t="shared" si="6"/>
        <v>3.1899999999999984E-2</v>
      </c>
    </row>
    <row r="22" spans="1:22">
      <c r="A22" s="164">
        <v>17</v>
      </c>
      <c r="B22" s="162" t="s">
        <v>50</v>
      </c>
      <c r="C22" s="163" t="s">
        <v>49</v>
      </c>
      <c r="D22" s="42">
        <v>12236278186.73</v>
      </c>
      <c r="E22" s="39">
        <f t="shared" si="0"/>
        <v>0.40039917524258389</v>
      </c>
      <c r="F22" s="42">
        <v>24469.75</v>
      </c>
      <c r="G22" s="42">
        <v>24833.05</v>
      </c>
      <c r="H22" s="41">
        <v>17448</v>
      </c>
      <c r="I22" s="60">
        <v>1.37E-2</v>
      </c>
      <c r="J22" s="60">
        <v>0.3523</v>
      </c>
      <c r="K22" s="42">
        <v>12537514327.129999</v>
      </c>
      <c r="L22" s="39">
        <f t="shared" si="1"/>
        <v>0.40180394086486582</v>
      </c>
      <c r="M22" s="42">
        <v>25134.1</v>
      </c>
      <c r="N22" s="42">
        <v>25509.75</v>
      </c>
      <c r="O22" s="41">
        <v>17450</v>
      </c>
      <c r="P22" s="60">
        <v>2.7300000000000001E-2</v>
      </c>
      <c r="Q22" s="60">
        <v>0.38919999999999999</v>
      </c>
      <c r="R22" s="66">
        <f t="shared" si="2"/>
        <v>2.4618281458056765E-2</v>
      </c>
      <c r="S22" s="66">
        <f t="shared" si="3"/>
        <v>2.7249975335289091E-2</v>
      </c>
      <c r="T22" s="66">
        <f t="shared" si="4"/>
        <v>1.1462631820265933E-4</v>
      </c>
      <c r="U22" s="67">
        <f t="shared" si="5"/>
        <v>1.3600000000000001E-2</v>
      </c>
      <c r="V22" s="68">
        <f t="shared" si="6"/>
        <v>3.6899999999999988E-2</v>
      </c>
    </row>
    <row r="23" spans="1:22">
      <c r="A23" s="164">
        <v>18</v>
      </c>
      <c r="B23" s="163" t="s">
        <v>51</v>
      </c>
      <c r="C23" s="163" t="s">
        <v>52</v>
      </c>
      <c r="D23" s="42">
        <v>3619522523.9499998</v>
      </c>
      <c r="E23" s="39">
        <f t="shared" si="0"/>
        <v>0.11843910470531983</v>
      </c>
      <c r="F23" s="42">
        <v>1.4460999999999999</v>
      </c>
      <c r="G23" s="40">
        <v>1.4599</v>
      </c>
      <c r="H23" s="41">
        <v>4531</v>
      </c>
      <c r="I23" s="60">
        <v>1.14E-2</v>
      </c>
      <c r="J23" s="60">
        <v>0.28420000000000001</v>
      </c>
      <c r="K23" s="42">
        <v>3727906396.54</v>
      </c>
      <c r="L23" s="39">
        <f t="shared" si="1"/>
        <v>0.1194724442359221</v>
      </c>
      <c r="M23" s="42">
        <v>1.4863999999999999</v>
      </c>
      <c r="N23" s="40">
        <v>1.5007999999999999</v>
      </c>
      <c r="O23" s="41">
        <v>4550</v>
      </c>
      <c r="P23" s="60">
        <v>2.7900000000000001E-2</v>
      </c>
      <c r="Q23" s="60">
        <v>0.31390000000000001</v>
      </c>
      <c r="R23" s="66">
        <f t="shared" si="2"/>
        <v>2.9944245925487539E-2</v>
      </c>
      <c r="S23" s="66">
        <f t="shared" si="3"/>
        <v>2.8015617508048454E-2</v>
      </c>
      <c r="T23" s="66">
        <f t="shared" si="4"/>
        <v>4.193334804678879E-3</v>
      </c>
      <c r="U23" s="67">
        <f t="shared" si="5"/>
        <v>1.6500000000000001E-2</v>
      </c>
      <c r="V23" s="68">
        <f t="shared" si="6"/>
        <v>2.9700000000000004E-2</v>
      </c>
    </row>
    <row r="24" spans="1:22">
      <c r="A24" s="45"/>
      <c r="B24" s="46"/>
      <c r="C24" s="47" t="s">
        <v>53</v>
      </c>
      <c r="D24" s="48">
        <f>SUM(D6:D23)</f>
        <v>30560198280.420002</v>
      </c>
      <c r="E24" s="49">
        <f>(D24/$D$208)</f>
        <v>8.0588526661132583E-3</v>
      </c>
      <c r="F24" s="50"/>
      <c r="G24" s="51"/>
      <c r="H24" s="52">
        <f>SUM(H6:H23)</f>
        <v>51060</v>
      </c>
      <c r="I24" s="62"/>
      <c r="J24" s="41">
        <v>0</v>
      </c>
      <c r="K24" s="48">
        <f>SUM(K6:K23)</f>
        <v>31203064609.43</v>
      </c>
      <c r="L24" s="49">
        <f>(K24/$K$208)</f>
        <v>8.1473733344300543E-3</v>
      </c>
      <c r="M24" s="50"/>
      <c r="N24" s="51"/>
      <c r="O24" s="52">
        <f>SUM(O6:O23)</f>
        <v>51104</v>
      </c>
      <c r="P24" s="62"/>
      <c r="Q24" s="52"/>
      <c r="R24" s="66">
        <f t="shared" si="2"/>
        <v>2.1036065378603398E-2</v>
      </c>
      <c r="S24" s="66" t="e">
        <f t="shared" si="3"/>
        <v>#DIV/0!</v>
      </c>
      <c r="T24" s="66">
        <f t="shared" si="4"/>
        <v>8.6173129651390525E-4</v>
      </c>
      <c r="U24" s="67">
        <f t="shared" si="5"/>
        <v>0</v>
      </c>
      <c r="V24" s="68">
        <f t="shared" si="6"/>
        <v>0</v>
      </c>
    </row>
    <row r="25" spans="1:22" ht="4.5" customHeight="1">
      <c r="A25" s="45"/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</row>
    <row r="26" spans="1:22" ht="15" customHeight="1">
      <c r="A26" s="178" t="s">
        <v>54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</row>
    <row r="27" spans="1:22">
      <c r="A27" s="161">
        <v>19</v>
      </c>
      <c r="B27" s="162" t="s">
        <v>55</v>
      </c>
      <c r="C27" s="163" t="s">
        <v>19</v>
      </c>
      <c r="D27" s="54">
        <v>1732536494.51</v>
      </c>
      <c r="E27" s="39">
        <f>(D27/$K$65)</f>
        <v>1.0307870699238979E-3</v>
      </c>
      <c r="F27" s="40">
        <v>100</v>
      </c>
      <c r="G27" s="40">
        <v>100</v>
      </c>
      <c r="H27" s="41">
        <v>876</v>
      </c>
      <c r="I27" s="60">
        <v>0.2213</v>
      </c>
      <c r="J27" s="60">
        <v>0.2213</v>
      </c>
      <c r="K27" s="54">
        <v>1735139629.49</v>
      </c>
      <c r="L27" s="39">
        <f t="shared" ref="L27:L64" si="12">(K27/$K$65)</f>
        <v>1.0323358268402188E-3</v>
      </c>
      <c r="M27" s="40">
        <v>100</v>
      </c>
      <c r="N27" s="40">
        <v>100</v>
      </c>
      <c r="O27" s="41">
        <v>876</v>
      </c>
      <c r="P27" s="60">
        <v>0.2213</v>
      </c>
      <c r="Q27" s="60">
        <v>0.2213</v>
      </c>
      <c r="R27" s="66">
        <f>((K27-D27)/D27)</f>
        <v>1.502499363360449E-3</v>
      </c>
      <c r="S27" s="66">
        <f>((N27-G27)/G27)</f>
        <v>0</v>
      </c>
      <c r="T27" s="66">
        <f>((O27-H27)/H27)</f>
        <v>0</v>
      </c>
      <c r="U27" s="67">
        <f>P27-I27</f>
        <v>0</v>
      </c>
      <c r="V27" s="68">
        <f>Q27-J27</f>
        <v>0</v>
      </c>
    </row>
    <row r="28" spans="1:22">
      <c r="A28" s="161">
        <v>20</v>
      </c>
      <c r="B28" s="162" t="s">
        <v>56</v>
      </c>
      <c r="C28" s="163" t="s">
        <v>57</v>
      </c>
      <c r="D28" s="54">
        <v>10346597376.48</v>
      </c>
      <c r="E28" s="39">
        <f t="shared" ref="E28:E64" si="13">(D28/$K$65)</f>
        <v>6.1557945977931319E-3</v>
      </c>
      <c r="F28" s="40">
        <v>100</v>
      </c>
      <c r="G28" s="40">
        <v>100</v>
      </c>
      <c r="H28" s="41">
        <v>1907</v>
      </c>
      <c r="I28" s="60">
        <v>0.20076279999999999</v>
      </c>
      <c r="J28" s="60">
        <v>0.20076279999999999</v>
      </c>
      <c r="K28" s="54">
        <v>10658429162.49</v>
      </c>
      <c r="L28" s="39">
        <f t="shared" si="12"/>
        <v>6.3413215255253485E-3</v>
      </c>
      <c r="M28" s="40">
        <v>100</v>
      </c>
      <c r="N28" s="40">
        <v>100</v>
      </c>
      <c r="O28" s="41">
        <v>1936</v>
      </c>
      <c r="P28" s="60">
        <v>0.238927</v>
      </c>
      <c r="Q28" s="60">
        <v>0.238927</v>
      </c>
      <c r="R28" s="66">
        <f t="shared" ref="R28:R65" si="14">((K28-D28)/D28)</f>
        <v>3.0138583213729735E-2</v>
      </c>
      <c r="S28" s="66">
        <f t="shared" ref="S28:S65" si="15">((N28-G28)/G28)</f>
        <v>0</v>
      </c>
      <c r="T28" s="66">
        <f t="shared" ref="T28:T65" si="16">((O28-H28)/H28)</f>
        <v>1.5207131620346093E-2</v>
      </c>
      <c r="U28" s="67">
        <f t="shared" ref="U28:U65" si="17">P28-I28</f>
        <v>3.8164200000000009E-2</v>
      </c>
      <c r="V28" s="68">
        <f t="shared" ref="V28:V65" si="18">Q28-J28</f>
        <v>3.8164200000000009E-2</v>
      </c>
    </row>
    <row r="29" spans="1:22">
      <c r="A29" s="161">
        <v>21</v>
      </c>
      <c r="B29" s="162" t="s">
        <v>58</v>
      </c>
      <c r="C29" s="163" t="s">
        <v>21</v>
      </c>
      <c r="D29" s="54">
        <v>1068530247.4400001</v>
      </c>
      <c r="E29" s="39">
        <f t="shared" si="13"/>
        <v>6.3573100270839812E-4</v>
      </c>
      <c r="F29" s="40">
        <v>100</v>
      </c>
      <c r="G29" s="40">
        <v>100</v>
      </c>
      <c r="H29" s="41">
        <v>1796</v>
      </c>
      <c r="I29" s="60">
        <v>0.22600000000000001</v>
      </c>
      <c r="J29" s="60">
        <v>0.22600000000000001</v>
      </c>
      <c r="K29" s="54">
        <v>1112830268.8</v>
      </c>
      <c r="L29" s="39">
        <f t="shared" si="12"/>
        <v>6.6208767072661217E-4</v>
      </c>
      <c r="M29" s="40">
        <v>100</v>
      </c>
      <c r="N29" s="40">
        <v>100</v>
      </c>
      <c r="O29" s="41">
        <v>1802</v>
      </c>
      <c r="P29" s="60">
        <v>0.2346</v>
      </c>
      <c r="Q29" s="60">
        <v>0.2346</v>
      </c>
      <c r="R29" s="66">
        <f t="shared" si="14"/>
        <v>4.1458837001698841E-2</v>
      </c>
      <c r="S29" s="66">
        <f t="shared" si="15"/>
        <v>0</v>
      </c>
      <c r="T29" s="66">
        <f t="shared" si="16"/>
        <v>3.3407572383073497E-3</v>
      </c>
      <c r="U29" s="67">
        <f t="shared" si="17"/>
        <v>8.5999999999999965E-3</v>
      </c>
      <c r="V29" s="68">
        <f t="shared" si="18"/>
        <v>8.5999999999999965E-3</v>
      </c>
    </row>
    <row r="30" spans="1:22">
      <c r="A30" s="161">
        <v>22</v>
      </c>
      <c r="B30" s="162" t="s">
        <v>59</v>
      </c>
      <c r="C30" s="163" t="s">
        <v>23</v>
      </c>
      <c r="D30" s="54">
        <v>115339995030.66</v>
      </c>
      <c r="E30" s="39">
        <f t="shared" si="13"/>
        <v>6.8622494186661276E-2</v>
      </c>
      <c r="F30" s="40">
        <v>1</v>
      </c>
      <c r="G30" s="40">
        <v>1</v>
      </c>
      <c r="H30" s="41">
        <v>63798</v>
      </c>
      <c r="I30" s="60">
        <v>0.22700000000000001</v>
      </c>
      <c r="J30" s="60">
        <v>0.22700000000000001</v>
      </c>
      <c r="K30" s="54">
        <v>117754183064.50999</v>
      </c>
      <c r="L30" s="39">
        <f t="shared" si="12"/>
        <v>7.0058835537936168E-2</v>
      </c>
      <c r="M30" s="40">
        <v>1</v>
      </c>
      <c r="N30" s="40">
        <v>1</v>
      </c>
      <c r="O30" s="41">
        <v>63928</v>
      </c>
      <c r="P30" s="60">
        <v>0.2243</v>
      </c>
      <c r="Q30" s="60">
        <v>0.2243</v>
      </c>
      <c r="R30" s="66">
        <f t="shared" si="14"/>
        <v>2.0931057203602658E-2</v>
      </c>
      <c r="S30" s="66">
        <f t="shared" si="15"/>
        <v>0</v>
      </c>
      <c r="T30" s="66">
        <f t="shared" si="16"/>
        <v>2.0376814320198127E-3</v>
      </c>
      <c r="U30" s="67">
        <f t="shared" si="17"/>
        <v>-2.7000000000000079E-3</v>
      </c>
      <c r="V30" s="68">
        <f t="shared" si="18"/>
        <v>-2.7000000000000079E-3</v>
      </c>
    </row>
    <row r="31" spans="1:22">
      <c r="A31" s="161">
        <v>23</v>
      </c>
      <c r="B31" s="162" t="s">
        <v>60</v>
      </c>
      <c r="C31" s="163" t="s">
        <v>25</v>
      </c>
      <c r="D31" s="54">
        <v>80136842374.929993</v>
      </c>
      <c r="E31" s="39">
        <f t="shared" si="13"/>
        <v>4.767808424605198E-2</v>
      </c>
      <c r="F31" s="40">
        <v>1</v>
      </c>
      <c r="G31" s="40">
        <v>1</v>
      </c>
      <c r="H31" s="41">
        <v>30408</v>
      </c>
      <c r="I31" s="60">
        <v>0.2175</v>
      </c>
      <c r="J31" s="60">
        <v>0.2175</v>
      </c>
      <c r="K31" s="54">
        <v>82968155018.880005</v>
      </c>
      <c r="L31" s="39">
        <f t="shared" si="12"/>
        <v>4.9362597370908909E-2</v>
      </c>
      <c r="M31" s="40">
        <v>1</v>
      </c>
      <c r="N31" s="40">
        <v>1</v>
      </c>
      <c r="O31" s="41">
        <v>30504</v>
      </c>
      <c r="P31" s="60">
        <v>0.2077</v>
      </c>
      <c r="Q31" s="60">
        <v>0.20377000000000001</v>
      </c>
      <c r="R31" s="66">
        <f t="shared" si="14"/>
        <v>3.5330973370567439E-2</v>
      </c>
      <c r="S31" s="66">
        <f t="shared" si="15"/>
        <v>0</v>
      </c>
      <c r="T31" s="66">
        <f t="shared" si="16"/>
        <v>3.1570639305445935E-3</v>
      </c>
      <c r="U31" s="67">
        <f t="shared" si="17"/>
        <v>-9.8000000000000032E-3</v>
      </c>
      <c r="V31" s="68">
        <f t="shared" si="18"/>
        <v>-1.3729999999999992E-2</v>
      </c>
    </row>
    <row r="32" spans="1:22">
      <c r="A32" s="161">
        <v>24</v>
      </c>
      <c r="B32" s="162" t="s">
        <v>295</v>
      </c>
      <c r="C32" s="163" t="s">
        <v>27</v>
      </c>
      <c r="D32" s="42">
        <v>2384238239.4000001</v>
      </c>
      <c r="E32" s="39">
        <f t="shared" ref="E32" si="19">(D32/$D$24)</f>
        <v>7.8017760798613264E-2</v>
      </c>
      <c r="F32" s="42">
        <v>1</v>
      </c>
      <c r="G32" s="42">
        <v>1</v>
      </c>
      <c r="H32" s="41">
        <v>312</v>
      </c>
      <c r="I32" s="60">
        <v>0.2056</v>
      </c>
      <c r="J32" s="60">
        <v>0.2056</v>
      </c>
      <c r="K32" s="42">
        <v>1892712521.71</v>
      </c>
      <c r="L32" s="39">
        <f t="shared" ref="L32" si="20">(K32/$K$24)</f>
        <v>6.0657904773173975E-2</v>
      </c>
      <c r="M32" s="42">
        <v>1</v>
      </c>
      <c r="N32" s="42">
        <v>1</v>
      </c>
      <c r="O32" s="41">
        <v>312</v>
      </c>
      <c r="P32" s="60">
        <v>1.32E-2</v>
      </c>
      <c r="Q32" s="60">
        <v>0.22189999999999999</v>
      </c>
      <c r="R32" s="66">
        <f t="shared" si="14"/>
        <v>-0.20615629326274618</v>
      </c>
      <c r="S32" s="66">
        <f t="shared" si="15"/>
        <v>0</v>
      </c>
      <c r="T32" s="66">
        <f t="shared" si="16"/>
        <v>0</v>
      </c>
      <c r="U32" s="67">
        <f t="shared" si="17"/>
        <v>-0.19240000000000002</v>
      </c>
      <c r="V32" s="68">
        <f t="shared" si="18"/>
        <v>1.6299999999999981E-2</v>
      </c>
    </row>
    <row r="33" spans="1:22" ht="15" customHeight="1">
      <c r="A33" s="161">
        <v>25</v>
      </c>
      <c r="B33" s="162" t="s">
        <v>61</v>
      </c>
      <c r="C33" s="163" t="s">
        <v>47</v>
      </c>
      <c r="D33" s="54">
        <v>11944358676</v>
      </c>
      <c r="E33" s="39">
        <f t="shared" si="13"/>
        <v>7.1063960388530016E-3</v>
      </c>
      <c r="F33" s="40">
        <v>100</v>
      </c>
      <c r="G33" s="40">
        <v>100</v>
      </c>
      <c r="H33" s="41">
        <v>2083</v>
      </c>
      <c r="I33" s="60">
        <v>0.2409</v>
      </c>
      <c r="J33" s="60">
        <v>0.2409</v>
      </c>
      <c r="K33" s="54">
        <v>12104556092</v>
      </c>
      <c r="L33" s="39">
        <f t="shared" si="12"/>
        <v>7.2017068306148352E-3</v>
      </c>
      <c r="M33" s="40">
        <v>100</v>
      </c>
      <c r="N33" s="40">
        <v>100</v>
      </c>
      <c r="O33" s="41">
        <v>2083</v>
      </c>
      <c r="P33" s="60">
        <v>0.24410000000000001</v>
      </c>
      <c r="Q33" s="60">
        <v>0.21410000000000001</v>
      </c>
      <c r="R33" s="66">
        <f t="shared" si="14"/>
        <v>1.3411972994572521E-2</v>
      </c>
      <c r="S33" s="66">
        <f t="shared" si="15"/>
        <v>0</v>
      </c>
      <c r="T33" s="66">
        <f t="shared" si="16"/>
        <v>0</v>
      </c>
      <c r="U33" s="67">
        <f t="shared" si="17"/>
        <v>3.2000000000000084E-3</v>
      </c>
      <c r="V33" s="68">
        <f t="shared" si="18"/>
        <v>-2.679999999999999E-2</v>
      </c>
    </row>
    <row r="34" spans="1:22" ht="15" customHeight="1">
      <c r="A34" s="161">
        <v>26</v>
      </c>
      <c r="B34" s="162" t="s">
        <v>62</v>
      </c>
      <c r="C34" s="163" t="s">
        <v>63</v>
      </c>
      <c r="D34" s="54">
        <v>319346262.49000001</v>
      </c>
      <c r="E34" s="39">
        <f t="shared" si="13"/>
        <v>1.8999772832855333E-4</v>
      </c>
      <c r="F34" s="40">
        <v>1</v>
      </c>
      <c r="G34" s="40">
        <v>1</v>
      </c>
      <c r="H34" s="41">
        <v>290</v>
      </c>
      <c r="I34" s="60">
        <v>0.214</v>
      </c>
      <c r="J34" s="60">
        <v>0.214</v>
      </c>
      <c r="K34" s="54">
        <v>333434302.22000003</v>
      </c>
      <c r="L34" s="39">
        <f t="shared" si="12"/>
        <v>1.9837952532981377E-4</v>
      </c>
      <c r="M34" s="40">
        <v>1</v>
      </c>
      <c r="N34" s="40">
        <v>1</v>
      </c>
      <c r="O34" s="41">
        <v>291</v>
      </c>
      <c r="P34" s="60">
        <v>0.21099999999999999</v>
      </c>
      <c r="Q34" s="60">
        <v>0.21099999999999999</v>
      </c>
      <c r="R34" s="66">
        <f t="shared" si="14"/>
        <v>4.4115248508478068E-2</v>
      </c>
      <c r="S34" s="66">
        <f t="shared" si="15"/>
        <v>0</v>
      </c>
      <c r="T34" s="66">
        <f t="shared" si="16"/>
        <v>3.4482758620689655E-3</v>
      </c>
      <c r="U34" s="67">
        <f t="shared" si="17"/>
        <v>-3.0000000000000027E-3</v>
      </c>
      <c r="V34" s="68">
        <f t="shared" si="18"/>
        <v>-3.0000000000000027E-3</v>
      </c>
    </row>
    <row r="35" spans="1:22">
      <c r="A35" s="161">
        <v>27</v>
      </c>
      <c r="B35" s="162" t="s">
        <v>64</v>
      </c>
      <c r="C35" s="163" t="s">
        <v>65</v>
      </c>
      <c r="D35" s="54">
        <v>31132647112.779999</v>
      </c>
      <c r="E35" s="39">
        <f t="shared" si="13"/>
        <v>1.8522628641905337E-2</v>
      </c>
      <c r="F35" s="40">
        <v>100</v>
      </c>
      <c r="G35" s="40">
        <v>100</v>
      </c>
      <c r="H35" s="41">
        <v>3262</v>
      </c>
      <c r="I35" s="60">
        <v>0.238594520373971</v>
      </c>
      <c r="J35" s="60">
        <v>0.238594520373971</v>
      </c>
      <c r="K35" s="54">
        <v>32622593632</v>
      </c>
      <c r="L35" s="39">
        <f t="shared" si="12"/>
        <v>1.9409084778186876E-2</v>
      </c>
      <c r="M35" s="40">
        <v>100</v>
      </c>
      <c r="N35" s="40">
        <v>100</v>
      </c>
      <c r="O35" s="41">
        <v>3305</v>
      </c>
      <c r="P35" s="60">
        <v>0.242841913061806</v>
      </c>
      <c r="Q35" s="60">
        <v>0.242841913061806</v>
      </c>
      <c r="R35" s="66">
        <f t="shared" si="14"/>
        <v>4.7858009433716799E-2</v>
      </c>
      <c r="S35" s="66">
        <f t="shared" si="15"/>
        <v>0</v>
      </c>
      <c r="T35" s="66">
        <f t="shared" si="16"/>
        <v>1.3182096873083998E-2</v>
      </c>
      <c r="U35" s="67">
        <f t="shared" si="17"/>
        <v>4.2473926878349999E-3</v>
      </c>
      <c r="V35" s="68">
        <f t="shared" si="18"/>
        <v>4.2473926878349999E-3</v>
      </c>
    </row>
    <row r="36" spans="1:22">
      <c r="A36" s="161">
        <v>28</v>
      </c>
      <c r="B36" s="162" t="s">
        <v>66</v>
      </c>
      <c r="C36" s="163" t="s">
        <v>67</v>
      </c>
      <c r="D36" s="54">
        <v>13150490978.15</v>
      </c>
      <c r="E36" s="39">
        <f t="shared" si="13"/>
        <v>7.823994534245959E-3</v>
      </c>
      <c r="F36" s="40">
        <v>100</v>
      </c>
      <c r="G36" s="40">
        <v>100</v>
      </c>
      <c r="H36" s="41">
        <v>6467</v>
      </c>
      <c r="I36" s="60">
        <v>0.22109999999999999</v>
      </c>
      <c r="J36" s="60">
        <v>0.22109999999999999</v>
      </c>
      <c r="K36" s="54">
        <v>13386482200.219999</v>
      </c>
      <c r="L36" s="39">
        <f t="shared" si="12"/>
        <v>7.9643994845001766E-3</v>
      </c>
      <c r="M36" s="40">
        <v>100</v>
      </c>
      <c r="N36" s="40">
        <v>100</v>
      </c>
      <c r="O36" s="41">
        <v>6471</v>
      </c>
      <c r="P36" s="60">
        <v>0.22289999999999999</v>
      </c>
      <c r="Q36" s="60">
        <v>0.22289999999999999</v>
      </c>
      <c r="R36" s="66">
        <f t="shared" si="14"/>
        <v>1.7945430513743355E-2</v>
      </c>
      <c r="S36" s="66">
        <f t="shared" si="15"/>
        <v>0</v>
      </c>
      <c r="T36" s="66">
        <f t="shared" si="16"/>
        <v>6.1852481830833458E-4</v>
      </c>
      <c r="U36" s="67">
        <f t="shared" si="17"/>
        <v>1.799999999999996E-3</v>
      </c>
      <c r="V36" s="68">
        <f t="shared" si="18"/>
        <v>1.799999999999996E-3</v>
      </c>
    </row>
    <row r="37" spans="1:22">
      <c r="A37" s="161">
        <v>29</v>
      </c>
      <c r="B37" s="162" t="s">
        <v>68</v>
      </c>
      <c r="C37" s="163" t="s">
        <v>69</v>
      </c>
      <c r="D37" s="54">
        <v>44514190.369999997</v>
      </c>
      <c r="E37" s="39">
        <f t="shared" si="13"/>
        <v>2.6484089660982349E-5</v>
      </c>
      <c r="F37" s="40">
        <v>100</v>
      </c>
      <c r="G37" s="40">
        <v>100</v>
      </c>
      <c r="H37" s="41">
        <v>0</v>
      </c>
      <c r="I37" s="60">
        <v>0</v>
      </c>
      <c r="J37" s="60">
        <v>0</v>
      </c>
      <c r="K37" s="54">
        <v>44514190.369999997</v>
      </c>
      <c r="L37" s="39">
        <f t="shared" si="12"/>
        <v>2.6484089660982349E-5</v>
      </c>
      <c r="M37" s="40">
        <v>100</v>
      </c>
      <c r="N37" s="40">
        <v>100</v>
      </c>
      <c r="O37" s="41">
        <v>0</v>
      </c>
      <c r="P37" s="60">
        <v>0</v>
      </c>
      <c r="Q37" s="60">
        <v>0</v>
      </c>
      <c r="R37" s="66">
        <f t="shared" si="14"/>
        <v>0</v>
      </c>
      <c r="S37" s="66">
        <f t="shared" si="15"/>
        <v>0</v>
      </c>
      <c r="T37" s="66" t="e">
        <f t="shared" si="16"/>
        <v>#DIV/0!</v>
      </c>
      <c r="U37" s="67">
        <f t="shared" si="17"/>
        <v>0</v>
      </c>
      <c r="V37" s="68">
        <f t="shared" si="18"/>
        <v>0</v>
      </c>
    </row>
    <row r="38" spans="1:22">
      <c r="A38" s="161">
        <v>30</v>
      </c>
      <c r="B38" s="162" t="s">
        <v>70</v>
      </c>
      <c r="C38" s="163" t="s">
        <v>71</v>
      </c>
      <c r="D38" s="54">
        <v>9138410302.3400002</v>
      </c>
      <c r="E38" s="39">
        <f t="shared" si="13"/>
        <v>5.4369735986285984E-3</v>
      </c>
      <c r="F38" s="40">
        <v>1</v>
      </c>
      <c r="G38" s="40">
        <v>1</v>
      </c>
      <c r="H38" s="41">
        <v>3457</v>
      </c>
      <c r="I38" s="60">
        <v>0.25140000000000001</v>
      </c>
      <c r="J38" s="60">
        <v>0.25140000000000001</v>
      </c>
      <c r="K38" s="54">
        <v>8722294056.2299995</v>
      </c>
      <c r="L38" s="39">
        <f t="shared" si="12"/>
        <v>5.1894017596314816E-3</v>
      </c>
      <c r="M38" s="40">
        <v>1</v>
      </c>
      <c r="N38" s="40">
        <v>1</v>
      </c>
      <c r="O38" s="41">
        <v>3502</v>
      </c>
      <c r="P38" s="60">
        <v>0.28029999999999999</v>
      </c>
      <c r="Q38" s="60">
        <v>0.28029999999999999</v>
      </c>
      <c r="R38" s="66">
        <f t="shared" si="14"/>
        <v>-4.5534861353669909E-2</v>
      </c>
      <c r="S38" s="66">
        <f t="shared" si="15"/>
        <v>0</v>
      </c>
      <c r="T38" s="66">
        <f t="shared" si="16"/>
        <v>1.3017066820943014E-2</v>
      </c>
      <c r="U38" s="67">
        <f t="shared" si="17"/>
        <v>2.8899999999999981E-2</v>
      </c>
      <c r="V38" s="68">
        <f t="shared" si="18"/>
        <v>2.8899999999999981E-2</v>
      </c>
    </row>
    <row r="39" spans="1:22">
      <c r="A39" s="161">
        <v>31</v>
      </c>
      <c r="B39" s="162" t="s">
        <v>72</v>
      </c>
      <c r="C39" s="163" t="s">
        <v>73</v>
      </c>
      <c r="D39" s="54">
        <v>31260618048.5</v>
      </c>
      <c r="E39" s="39">
        <f t="shared" si="13"/>
        <v>1.8598766019838925E-2</v>
      </c>
      <c r="F39" s="55">
        <v>100</v>
      </c>
      <c r="G39" s="55">
        <v>100</v>
      </c>
      <c r="H39" s="41">
        <v>3046</v>
      </c>
      <c r="I39" s="60">
        <v>0.22209999999999999</v>
      </c>
      <c r="J39" s="60">
        <v>0.22209999999999999</v>
      </c>
      <c r="K39" s="54">
        <v>30963190490.360001</v>
      </c>
      <c r="L39" s="39">
        <f t="shared" si="12"/>
        <v>1.8421809007884923E-2</v>
      </c>
      <c r="M39" s="55">
        <v>100</v>
      </c>
      <c r="N39" s="55">
        <v>100</v>
      </c>
      <c r="O39" s="41">
        <v>3046</v>
      </c>
      <c r="P39" s="60">
        <v>0.22420000000000001</v>
      </c>
      <c r="Q39" s="60">
        <v>0.22420000000000001</v>
      </c>
      <c r="R39" s="66">
        <f t="shared" si="14"/>
        <v>-9.514449064268295E-3</v>
      </c>
      <c r="S39" s="66">
        <f t="shared" si="15"/>
        <v>0</v>
      </c>
      <c r="T39" s="66">
        <f t="shared" si="16"/>
        <v>0</v>
      </c>
      <c r="U39" s="67">
        <f t="shared" si="17"/>
        <v>2.1000000000000185E-3</v>
      </c>
      <c r="V39" s="68">
        <f t="shared" si="18"/>
        <v>2.1000000000000185E-3</v>
      </c>
    </row>
    <row r="40" spans="1:22">
      <c r="A40" s="161">
        <v>32</v>
      </c>
      <c r="B40" s="162" t="s">
        <v>74</v>
      </c>
      <c r="C40" s="163" t="s">
        <v>73</v>
      </c>
      <c r="D40" s="54">
        <v>1797125874.0999999</v>
      </c>
      <c r="E40" s="39">
        <f t="shared" si="13"/>
        <v>1.0692150612226371E-3</v>
      </c>
      <c r="F40" s="55">
        <v>1000000</v>
      </c>
      <c r="G40" s="55">
        <v>1000000</v>
      </c>
      <c r="H40" s="41">
        <v>6</v>
      </c>
      <c r="I40" s="60">
        <v>0.22589999999999999</v>
      </c>
      <c r="J40" s="60">
        <v>0.22589999999999999</v>
      </c>
      <c r="K40" s="54">
        <v>1803726963.79</v>
      </c>
      <c r="L40" s="39">
        <f t="shared" si="12"/>
        <v>1.0731424347131357E-3</v>
      </c>
      <c r="M40" s="55">
        <v>1000000</v>
      </c>
      <c r="N40" s="55">
        <v>1000000</v>
      </c>
      <c r="O40" s="41">
        <v>6</v>
      </c>
      <c r="P40" s="60">
        <v>0.23200000000000001</v>
      </c>
      <c r="Q40" s="60">
        <v>0.23200000000000001</v>
      </c>
      <c r="R40" s="66">
        <f t="shared" si="14"/>
        <v>3.6731370824572211E-3</v>
      </c>
      <c r="S40" s="66">
        <f t="shared" si="15"/>
        <v>0</v>
      </c>
      <c r="T40" s="66">
        <f t="shared" si="16"/>
        <v>0</v>
      </c>
      <c r="U40" s="67">
        <f t="shared" si="17"/>
        <v>6.1000000000000221E-3</v>
      </c>
      <c r="V40" s="68">
        <f t="shared" si="18"/>
        <v>6.1000000000000221E-3</v>
      </c>
    </row>
    <row r="41" spans="1:22">
      <c r="A41" s="161">
        <v>33</v>
      </c>
      <c r="B41" s="162" t="s">
        <v>75</v>
      </c>
      <c r="C41" s="163" t="s">
        <v>76</v>
      </c>
      <c r="D41" s="54">
        <v>3454836271.25</v>
      </c>
      <c r="E41" s="39">
        <f t="shared" si="13"/>
        <v>2.055483719040377E-3</v>
      </c>
      <c r="F41" s="40">
        <v>1</v>
      </c>
      <c r="G41" s="40">
        <v>1</v>
      </c>
      <c r="H41" s="41">
        <v>679</v>
      </c>
      <c r="I41" s="60">
        <v>0.22750000000000001</v>
      </c>
      <c r="J41" s="60">
        <v>0.22750000000000001</v>
      </c>
      <c r="K41" s="54">
        <v>3475021772.3899999</v>
      </c>
      <c r="L41" s="39">
        <f t="shared" si="12"/>
        <v>2.0674932516770508E-3</v>
      </c>
      <c r="M41" s="40">
        <v>1</v>
      </c>
      <c r="N41" s="40">
        <v>1</v>
      </c>
      <c r="O41" s="41">
        <v>673</v>
      </c>
      <c r="P41" s="60">
        <v>0.2306</v>
      </c>
      <c r="Q41" s="60">
        <v>0.2306</v>
      </c>
      <c r="R41" s="66">
        <f t="shared" si="14"/>
        <v>5.842679523766988E-3</v>
      </c>
      <c r="S41" s="66">
        <f t="shared" si="15"/>
        <v>0</v>
      </c>
      <c r="T41" s="66">
        <f t="shared" si="16"/>
        <v>-8.836524300441826E-3</v>
      </c>
      <c r="U41" s="67">
        <f t="shared" si="17"/>
        <v>3.0999999999999917E-3</v>
      </c>
      <c r="V41" s="68">
        <f t="shared" si="18"/>
        <v>3.0999999999999917E-3</v>
      </c>
    </row>
    <row r="42" spans="1:22">
      <c r="A42" s="161">
        <v>34</v>
      </c>
      <c r="B42" s="162" t="s">
        <v>77</v>
      </c>
      <c r="C42" s="163" t="s">
        <v>31</v>
      </c>
      <c r="D42" s="54">
        <v>344557467168.09998</v>
      </c>
      <c r="E42" s="39">
        <f t="shared" si="13"/>
        <v>0.20499734529577926</v>
      </c>
      <c r="F42" s="40">
        <v>100</v>
      </c>
      <c r="G42" s="40">
        <v>100</v>
      </c>
      <c r="H42" s="41">
        <v>16138</v>
      </c>
      <c r="I42" s="60">
        <v>0.2361</v>
      </c>
      <c r="J42" s="60">
        <v>0.2361</v>
      </c>
      <c r="K42" s="54">
        <v>347406664047.42999</v>
      </c>
      <c r="L42" s="39">
        <f t="shared" si="12"/>
        <v>0.20669249879597235</v>
      </c>
      <c r="M42" s="40">
        <v>100</v>
      </c>
      <c r="N42" s="40">
        <v>100</v>
      </c>
      <c r="O42" s="41">
        <v>16197</v>
      </c>
      <c r="P42" s="60">
        <v>0.23749999999999999</v>
      </c>
      <c r="Q42" s="60">
        <v>0.23749999999999999</v>
      </c>
      <c r="R42" s="66">
        <f t="shared" si="14"/>
        <v>8.2691485479836468E-3</v>
      </c>
      <c r="S42" s="66">
        <f t="shared" si="15"/>
        <v>0</v>
      </c>
      <c r="T42" s="66">
        <f t="shared" si="16"/>
        <v>3.6559672821911016E-3</v>
      </c>
      <c r="U42" s="67">
        <f t="shared" si="17"/>
        <v>1.3999999999999846E-3</v>
      </c>
      <c r="V42" s="68">
        <f t="shared" si="18"/>
        <v>1.3999999999999846E-3</v>
      </c>
    </row>
    <row r="43" spans="1:22">
      <c r="A43" s="161">
        <v>35</v>
      </c>
      <c r="B43" s="162" t="s">
        <v>78</v>
      </c>
      <c r="C43" s="163" t="s">
        <v>79</v>
      </c>
      <c r="D43" s="54">
        <v>721078870.28999996</v>
      </c>
      <c r="E43" s="39">
        <f t="shared" si="13"/>
        <v>4.2901190147828853E-4</v>
      </c>
      <c r="F43" s="40">
        <v>1</v>
      </c>
      <c r="G43" s="40">
        <v>1</v>
      </c>
      <c r="H43" s="56">
        <v>776</v>
      </c>
      <c r="I43" s="63">
        <v>0.23480000000000001</v>
      </c>
      <c r="J43" s="63">
        <v>0.23480000000000001</v>
      </c>
      <c r="K43" s="54">
        <v>724270292.02999997</v>
      </c>
      <c r="L43" s="39">
        <f t="shared" si="12"/>
        <v>4.3091066452004279E-4</v>
      </c>
      <c r="M43" s="40">
        <v>1</v>
      </c>
      <c r="N43" s="40">
        <v>1</v>
      </c>
      <c r="O43" s="56">
        <v>784</v>
      </c>
      <c r="P43" s="63">
        <v>0.2389</v>
      </c>
      <c r="Q43" s="63">
        <v>0.2389</v>
      </c>
      <c r="R43" s="66">
        <f t="shared" si="14"/>
        <v>4.4258982914261507E-3</v>
      </c>
      <c r="S43" s="66">
        <f t="shared" si="15"/>
        <v>0</v>
      </c>
      <c r="T43" s="66">
        <f t="shared" si="16"/>
        <v>1.0309278350515464E-2</v>
      </c>
      <c r="U43" s="67">
        <f t="shared" si="17"/>
        <v>4.0999999999999925E-3</v>
      </c>
      <c r="V43" s="68">
        <f t="shared" si="18"/>
        <v>4.0999999999999925E-3</v>
      </c>
    </row>
    <row r="44" spans="1:22">
      <c r="A44" s="161">
        <v>36</v>
      </c>
      <c r="B44" s="162" t="s">
        <v>80</v>
      </c>
      <c r="C44" s="163" t="s">
        <v>81</v>
      </c>
      <c r="D44" s="54">
        <v>755067480.55999994</v>
      </c>
      <c r="E44" s="39">
        <f t="shared" si="13"/>
        <v>4.4923370927397787E-4</v>
      </c>
      <c r="F44" s="40">
        <v>10</v>
      </c>
      <c r="G44" s="40">
        <v>10</v>
      </c>
      <c r="H44" s="41">
        <v>406</v>
      </c>
      <c r="I44" s="60">
        <v>0.18990000000000001</v>
      </c>
      <c r="J44" s="60">
        <v>0.18990000000000001</v>
      </c>
      <c r="K44" s="54">
        <v>754402529.26999998</v>
      </c>
      <c r="L44" s="39">
        <f t="shared" si="12"/>
        <v>4.4883809094557146E-4</v>
      </c>
      <c r="M44" s="40">
        <v>10</v>
      </c>
      <c r="N44" s="40">
        <v>10</v>
      </c>
      <c r="O44" s="41">
        <v>406</v>
      </c>
      <c r="P44" s="60">
        <v>0.19009999999999999</v>
      </c>
      <c r="Q44" s="60">
        <v>0.19009999999999999</v>
      </c>
      <c r="R44" s="66">
        <f t="shared" si="14"/>
        <v>-8.8065147436464499E-4</v>
      </c>
      <c r="S44" s="66">
        <f t="shared" si="15"/>
        <v>0</v>
      </c>
      <c r="T44" s="66">
        <f t="shared" si="16"/>
        <v>0</v>
      </c>
      <c r="U44" s="67">
        <f t="shared" si="17"/>
        <v>1.9999999999997797E-4</v>
      </c>
      <c r="V44" s="68">
        <f t="shared" si="18"/>
        <v>1.9999999999997797E-4</v>
      </c>
    </row>
    <row r="45" spans="1:22">
      <c r="A45" s="161">
        <v>37</v>
      </c>
      <c r="B45" s="162" t="s">
        <v>82</v>
      </c>
      <c r="C45" s="163" t="s">
        <v>83</v>
      </c>
      <c r="D45" s="54">
        <v>4621460332.6499996</v>
      </c>
      <c r="E45" s="39">
        <f t="shared" si="13"/>
        <v>2.7495764563442043E-3</v>
      </c>
      <c r="F45" s="40">
        <v>100</v>
      </c>
      <c r="G45" s="40">
        <v>100</v>
      </c>
      <c r="H45" s="41">
        <v>712</v>
      </c>
      <c r="I45" s="60">
        <v>0.2155</v>
      </c>
      <c r="J45" s="60">
        <v>0.2155</v>
      </c>
      <c r="K45" s="54">
        <v>4655674914.5299997</v>
      </c>
      <c r="L45" s="39">
        <f t="shared" si="12"/>
        <v>2.7699327078381914E-3</v>
      </c>
      <c r="M45" s="40">
        <v>100</v>
      </c>
      <c r="N45" s="40">
        <v>100</v>
      </c>
      <c r="O45" s="41">
        <v>725</v>
      </c>
      <c r="P45" s="60">
        <v>0.21579999999999999</v>
      </c>
      <c r="Q45" s="60">
        <v>0.21579999999999999</v>
      </c>
      <c r="R45" s="66">
        <f t="shared" si="14"/>
        <v>7.4034135137498996E-3</v>
      </c>
      <c r="S45" s="66">
        <f t="shared" si="15"/>
        <v>0</v>
      </c>
      <c r="T45" s="66">
        <f t="shared" si="16"/>
        <v>1.8258426966292134E-2</v>
      </c>
      <c r="U45" s="67">
        <f t="shared" si="17"/>
        <v>2.9999999999999472E-4</v>
      </c>
      <c r="V45" s="68">
        <f t="shared" si="18"/>
        <v>2.9999999999999472E-4</v>
      </c>
    </row>
    <row r="46" spans="1:22">
      <c r="A46" s="161">
        <v>38</v>
      </c>
      <c r="B46" s="162" t="s">
        <v>84</v>
      </c>
      <c r="C46" s="162" t="s">
        <v>85</v>
      </c>
      <c r="D46" s="42">
        <v>76280663.980000004</v>
      </c>
      <c r="E46" s="39">
        <f t="shared" ref="E46" si="21">(D46/$D$178)</f>
        <v>1.4086359183204836E-3</v>
      </c>
      <c r="F46" s="42">
        <v>1</v>
      </c>
      <c r="G46" s="42">
        <v>1</v>
      </c>
      <c r="H46" s="41">
        <v>44</v>
      </c>
      <c r="I46" s="60">
        <v>3.3000000000000002E-2</v>
      </c>
      <c r="J46" s="60">
        <v>0.152</v>
      </c>
      <c r="K46" s="42">
        <v>76547234.819999993</v>
      </c>
      <c r="L46" s="64">
        <f t="shared" ref="L46" si="22">(K46/$K$178)</f>
        <v>1.3989469989438138E-3</v>
      </c>
      <c r="M46" s="42">
        <v>1</v>
      </c>
      <c r="N46" s="42">
        <v>1</v>
      </c>
      <c r="O46" s="41">
        <v>44</v>
      </c>
      <c r="P46" s="60">
        <v>0.15709999999999999</v>
      </c>
      <c r="Q46" s="60">
        <v>0.15709999999999999</v>
      </c>
      <c r="R46" s="67">
        <f t="shared" si="14"/>
        <v>3.4946056587798024E-3</v>
      </c>
      <c r="S46" s="67">
        <f t="shared" si="15"/>
        <v>0</v>
      </c>
      <c r="T46" s="67">
        <f t="shared" si="16"/>
        <v>0</v>
      </c>
      <c r="U46" s="67">
        <f t="shared" si="17"/>
        <v>0.12409999999999999</v>
      </c>
      <c r="V46" s="68">
        <f t="shared" si="18"/>
        <v>5.0999999999999934E-3</v>
      </c>
    </row>
    <row r="47" spans="1:22">
      <c r="A47" s="161">
        <v>39</v>
      </c>
      <c r="B47" s="162" t="s">
        <v>293</v>
      </c>
      <c r="C47" s="163" t="s">
        <v>37</v>
      </c>
      <c r="D47" s="54">
        <v>157961580.09999999</v>
      </c>
      <c r="E47" s="39">
        <f t="shared" ref="E47" si="23">(D47/$K$65)</f>
        <v>9.3980562503463206E-5</v>
      </c>
      <c r="F47" s="40">
        <v>1</v>
      </c>
      <c r="G47" s="40">
        <v>1</v>
      </c>
      <c r="H47" s="41">
        <v>255</v>
      </c>
      <c r="I47" s="60">
        <v>0.1321</v>
      </c>
      <c r="J47" s="60">
        <v>0.1321</v>
      </c>
      <c r="K47" s="54">
        <v>158665137.24000001</v>
      </c>
      <c r="L47" s="39">
        <f t="shared" ref="L47" si="24">(K47/$K$65)</f>
        <v>9.4399149705038881E-5</v>
      </c>
      <c r="M47" s="40">
        <v>1</v>
      </c>
      <c r="N47" s="40">
        <v>1</v>
      </c>
      <c r="O47" s="41">
        <v>267</v>
      </c>
      <c r="P47" s="60">
        <v>0.15529999999999999</v>
      </c>
      <c r="Q47" s="60">
        <v>0.15529999999999999</v>
      </c>
      <c r="R47" s="66">
        <f t="shared" ref="R47" si="25">((K47-D47)/D47)</f>
        <v>4.4539763375031948E-3</v>
      </c>
      <c r="S47" s="66">
        <f t="shared" ref="S47" si="26">((N47-G47)/G47)</f>
        <v>0</v>
      </c>
      <c r="T47" s="66">
        <f t="shared" ref="T47" si="27">((O47-H47)/H47)</f>
        <v>4.7058823529411764E-2</v>
      </c>
      <c r="U47" s="67">
        <f t="shared" ref="U47" si="28">P47-I47</f>
        <v>2.3199999999999998E-2</v>
      </c>
      <c r="V47" s="68">
        <f t="shared" ref="V47" si="29">Q47-J47</f>
        <v>2.3199999999999998E-2</v>
      </c>
    </row>
    <row r="48" spans="1:22">
      <c r="A48" s="161">
        <v>40</v>
      </c>
      <c r="B48" s="162" t="s">
        <v>86</v>
      </c>
      <c r="C48" s="163" t="s">
        <v>37</v>
      </c>
      <c r="D48" s="54">
        <v>41300156221.790001</v>
      </c>
      <c r="E48" s="39">
        <f t="shared" si="13"/>
        <v>2.457187317794329E-2</v>
      </c>
      <c r="F48" s="40">
        <v>100</v>
      </c>
      <c r="G48" s="40">
        <v>100</v>
      </c>
      <c r="H48" s="41">
        <v>12925</v>
      </c>
      <c r="I48" s="60">
        <v>0.2218</v>
      </c>
      <c r="J48" s="60">
        <v>0.2218</v>
      </c>
      <c r="K48" s="54">
        <v>41818831303.870003</v>
      </c>
      <c r="L48" s="39">
        <f t="shared" si="12"/>
        <v>2.4880463253704431E-2</v>
      </c>
      <c r="M48" s="40">
        <v>100</v>
      </c>
      <c r="N48" s="40">
        <v>100</v>
      </c>
      <c r="O48" s="41">
        <v>12943</v>
      </c>
      <c r="P48" s="60">
        <v>0.22803591000000001</v>
      </c>
      <c r="Q48" s="60">
        <v>0.22803591000000001</v>
      </c>
      <c r="R48" s="66">
        <f t="shared" si="14"/>
        <v>1.2558671189876719E-2</v>
      </c>
      <c r="S48" s="66">
        <f t="shared" si="15"/>
        <v>0</v>
      </c>
      <c r="T48" s="66">
        <f t="shared" si="16"/>
        <v>1.3926499032882011E-3</v>
      </c>
      <c r="U48" s="67">
        <f t="shared" si="17"/>
        <v>6.2359100000000112E-3</v>
      </c>
      <c r="V48" s="68">
        <f t="shared" si="18"/>
        <v>6.2359100000000112E-3</v>
      </c>
    </row>
    <row r="49" spans="1:22">
      <c r="A49" s="161">
        <v>41</v>
      </c>
      <c r="B49" s="162" t="s">
        <v>87</v>
      </c>
      <c r="C49" s="163" t="s">
        <v>41</v>
      </c>
      <c r="D49" s="54">
        <v>8457153980.4700003</v>
      </c>
      <c r="E49" s="39">
        <f t="shared" si="13"/>
        <v>5.0316544552150471E-3</v>
      </c>
      <c r="F49" s="40">
        <v>1</v>
      </c>
      <c r="G49" s="40">
        <v>1</v>
      </c>
      <c r="H49" s="41">
        <v>1160</v>
      </c>
      <c r="I49" s="60">
        <v>0.2445</v>
      </c>
      <c r="J49" s="60">
        <v>0.2445</v>
      </c>
      <c r="K49" s="54">
        <v>8443831255.1000004</v>
      </c>
      <c r="L49" s="39">
        <f t="shared" si="12"/>
        <v>5.0237279883896388E-3</v>
      </c>
      <c r="M49" s="40">
        <v>1</v>
      </c>
      <c r="N49" s="40">
        <v>1</v>
      </c>
      <c r="O49" s="41">
        <v>1162</v>
      </c>
      <c r="P49" s="60">
        <v>0.23089999999999999</v>
      </c>
      <c r="Q49" s="60">
        <v>0.23089999999999999</v>
      </c>
      <c r="R49" s="66">
        <f t="shared" si="14"/>
        <v>-1.5753201846349125E-3</v>
      </c>
      <c r="S49" s="66">
        <f t="shared" si="15"/>
        <v>0</v>
      </c>
      <c r="T49" s="66">
        <f t="shared" si="16"/>
        <v>1.7241379310344827E-3</v>
      </c>
      <c r="U49" s="67">
        <f t="shared" si="17"/>
        <v>-1.3600000000000001E-2</v>
      </c>
      <c r="V49" s="68">
        <f t="shared" si="18"/>
        <v>-1.3600000000000001E-2</v>
      </c>
    </row>
    <row r="50" spans="1:22">
      <c r="A50" s="161">
        <v>42</v>
      </c>
      <c r="B50" s="162" t="s">
        <v>88</v>
      </c>
      <c r="C50" s="163" t="s">
        <v>43</v>
      </c>
      <c r="D50" s="57">
        <v>16405389246.6</v>
      </c>
      <c r="E50" s="39">
        <f t="shared" si="13"/>
        <v>9.7605234672107129E-3</v>
      </c>
      <c r="F50" s="40">
        <v>10</v>
      </c>
      <c r="G50" s="40">
        <v>10</v>
      </c>
      <c r="H50" s="41">
        <v>3107</v>
      </c>
      <c r="I50" s="60">
        <v>0.2346</v>
      </c>
      <c r="J50" s="60">
        <v>0.2346</v>
      </c>
      <c r="K50" s="57">
        <v>17029123802.300001</v>
      </c>
      <c r="L50" s="39">
        <f t="shared" si="12"/>
        <v>1.0131619555008924E-2</v>
      </c>
      <c r="M50" s="40">
        <v>10</v>
      </c>
      <c r="N50" s="40">
        <v>10</v>
      </c>
      <c r="O50" s="41">
        <v>3142</v>
      </c>
      <c r="P50" s="60">
        <v>0.24129999999999999</v>
      </c>
      <c r="Q50" s="60">
        <v>0.24129999999999999</v>
      </c>
      <c r="R50" s="66">
        <f t="shared" si="14"/>
        <v>3.8020100975615014E-2</v>
      </c>
      <c r="S50" s="66">
        <f t="shared" si="15"/>
        <v>0</v>
      </c>
      <c r="T50" s="66">
        <f t="shared" si="16"/>
        <v>1.126488574187319E-2</v>
      </c>
      <c r="U50" s="67">
        <f t="shared" si="17"/>
        <v>6.6999999999999837E-3</v>
      </c>
      <c r="V50" s="68">
        <f t="shared" si="18"/>
        <v>6.6999999999999837E-3</v>
      </c>
    </row>
    <row r="51" spans="1:22">
      <c r="A51" s="161">
        <v>43</v>
      </c>
      <c r="B51" s="162" t="s">
        <v>89</v>
      </c>
      <c r="C51" s="163" t="s">
        <v>90</v>
      </c>
      <c r="D51" s="54">
        <v>11920554119</v>
      </c>
      <c r="E51" s="39">
        <f t="shared" si="13"/>
        <v>7.0922333186802262E-3</v>
      </c>
      <c r="F51" s="40">
        <v>100</v>
      </c>
      <c r="G51" s="40">
        <v>100</v>
      </c>
      <c r="H51" s="41">
        <v>3190</v>
      </c>
      <c r="I51" s="60">
        <v>0.22950000000000001</v>
      </c>
      <c r="J51" s="60">
        <v>0.22950000000000001</v>
      </c>
      <c r="K51" s="54">
        <v>12414296519</v>
      </c>
      <c r="L51" s="39">
        <f t="shared" si="12"/>
        <v>7.3859894868220886E-3</v>
      </c>
      <c r="M51" s="40">
        <v>100</v>
      </c>
      <c r="N51" s="40">
        <v>100</v>
      </c>
      <c r="O51" s="41">
        <v>3213</v>
      </c>
      <c r="P51" s="60">
        <v>0.2298</v>
      </c>
      <c r="Q51" s="60">
        <v>0.2298</v>
      </c>
      <c r="R51" s="66">
        <f t="shared" si="14"/>
        <v>4.1419416838436314E-2</v>
      </c>
      <c r="S51" s="66">
        <f t="shared" si="15"/>
        <v>0</v>
      </c>
      <c r="T51" s="66">
        <f t="shared" si="16"/>
        <v>7.2100313479623824E-3</v>
      </c>
      <c r="U51" s="67">
        <f t="shared" si="17"/>
        <v>2.9999999999999472E-4</v>
      </c>
      <c r="V51" s="68">
        <f t="shared" si="18"/>
        <v>2.9999999999999472E-4</v>
      </c>
    </row>
    <row r="52" spans="1:22">
      <c r="A52" s="161">
        <v>44</v>
      </c>
      <c r="B52" s="162" t="s">
        <v>91</v>
      </c>
      <c r="C52" s="163" t="s">
        <v>92</v>
      </c>
      <c r="D52" s="54">
        <v>245011145.99000001</v>
      </c>
      <c r="E52" s="39">
        <f t="shared" si="13"/>
        <v>1.4577142938922998E-4</v>
      </c>
      <c r="F52" s="40">
        <v>1</v>
      </c>
      <c r="G52" s="40">
        <v>1</v>
      </c>
      <c r="H52" s="41">
        <v>85</v>
      </c>
      <c r="I52" s="60">
        <v>0.15260000000000001</v>
      </c>
      <c r="J52" s="60">
        <v>0.15260000000000001</v>
      </c>
      <c r="K52" s="54">
        <v>245314128.09999999</v>
      </c>
      <c r="L52" s="39">
        <f t="shared" si="12"/>
        <v>1.4595169112824436E-4</v>
      </c>
      <c r="M52" s="40">
        <v>1</v>
      </c>
      <c r="N52" s="40">
        <v>1</v>
      </c>
      <c r="O52" s="41">
        <v>85</v>
      </c>
      <c r="P52" s="60">
        <v>0.2387</v>
      </c>
      <c r="Q52" s="60">
        <v>0.2387</v>
      </c>
      <c r="R52" s="66">
        <f t="shared" si="14"/>
        <v>1.2366054155444443E-3</v>
      </c>
      <c r="S52" s="66">
        <f t="shared" si="15"/>
        <v>0</v>
      </c>
      <c r="T52" s="66">
        <f t="shared" si="16"/>
        <v>0</v>
      </c>
      <c r="U52" s="67">
        <f t="shared" si="17"/>
        <v>8.6099999999999982E-2</v>
      </c>
      <c r="V52" s="68">
        <f t="shared" si="18"/>
        <v>8.6099999999999982E-2</v>
      </c>
    </row>
    <row r="53" spans="1:22">
      <c r="A53" s="161">
        <v>45</v>
      </c>
      <c r="B53" s="162" t="s">
        <v>93</v>
      </c>
      <c r="C53" s="163" t="s">
        <v>45</v>
      </c>
      <c r="D53" s="57">
        <v>950622675.65999997</v>
      </c>
      <c r="E53" s="39">
        <f t="shared" si="13"/>
        <v>5.6558090727198333E-4</v>
      </c>
      <c r="F53" s="40">
        <v>10</v>
      </c>
      <c r="G53" s="40">
        <v>10</v>
      </c>
      <c r="H53" s="41">
        <v>734</v>
      </c>
      <c r="I53" s="60">
        <v>0.16400000000000001</v>
      </c>
      <c r="J53" s="60">
        <v>0.16400000000000001</v>
      </c>
      <c r="K53" s="57">
        <v>946044995.89999998</v>
      </c>
      <c r="L53" s="39">
        <f t="shared" si="12"/>
        <v>5.6285737843330514E-4</v>
      </c>
      <c r="M53" s="40">
        <v>10</v>
      </c>
      <c r="N53" s="40">
        <v>10</v>
      </c>
      <c r="O53" s="41">
        <v>737</v>
      </c>
      <c r="P53" s="60">
        <v>0.16400000000000001</v>
      </c>
      <c r="Q53" s="60">
        <v>0.16400000000000001</v>
      </c>
      <c r="R53" s="66">
        <f t="shared" si="14"/>
        <v>-4.8154539936908101E-3</v>
      </c>
      <c r="S53" s="66">
        <f t="shared" si="15"/>
        <v>0</v>
      </c>
      <c r="T53" s="66">
        <f t="shared" si="16"/>
        <v>4.0871934604904629E-3</v>
      </c>
      <c r="U53" s="67">
        <f t="shared" si="17"/>
        <v>0</v>
      </c>
      <c r="V53" s="68">
        <f t="shared" si="18"/>
        <v>0</v>
      </c>
    </row>
    <row r="54" spans="1:22">
      <c r="A54" s="161">
        <v>46</v>
      </c>
      <c r="B54" s="162" t="s">
        <v>94</v>
      </c>
      <c r="C54" s="163" t="s">
        <v>95</v>
      </c>
      <c r="D54" s="57">
        <v>714906420.63</v>
      </c>
      <c r="E54" s="39">
        <f t="shared" si="13"/>
        <v>4.2533955095670051E-4</v>
      </c>
      <c r="F54" s="40">
        <v>1</v>
      </c>
      <c r="G54" s="40">
        <v>1</v>
      </c>
      <c r="H54" s="41">
        <v>62</v>
      </c>
      <c r="I54" s="60">
        <v>0.21729999999999999</v>
      </c>
      <c r="J54" s="60">
        <v>0.21729999999999999</v>
      </c>
      <c r="K54" s="57">
        <v>717318865.52999997</v>
      </c>
      <c r="L54" s="39">
        <f t="shared" si="12"/>
        <v>4.2677485521592026E-4</v>
      </c>
      <c r="M54" s="40">
        <v>1</v>
      </c>
      <c r="N54" s="40">
        <v>1</v>
      </c>
      <c r="O54" s="41">
        <v>62</v>
      </c>
      <c r="P54" s="60">
        <v>0.21890000000000001</v>
      </c>
      <c r="Q54" s="60">
        <v>0.21890000000000001</v>
      </c>
      <c r="R54" s="66">
        <f t="shared" si="14"/>
        <v>3.374490465303203E-3</v>
      </c>
      <c r="S54" s="66">
        <f t="shared" si="15"/>
        <v>0</v>
      </c>
      <c r="T54" s="66">
        <f t="shared" si="16"/>
        <v>0</v>
      </c>
      <c r="U54" s="67">
        <f t="shared" si="17"/>
        <v>1.6000000000000181E-3</v>
      </c>
      <c r="V54" s="68">
        <f t="shared" si="18"/>
        <v>1.6000000000000181E-3</v>
      </c>
    </row>
    <row r="55" spans="1:22">
      <c r="A55" s="161">
        <v>47</v>
      </c>
      <c r="B55" s="162" t="s">
        <v>96</v>
      </c>
      <c r="C55" s="163" t="s">
        <v>97</v>
      </c>
      <c r="D55" s="57">
        <v>5086078318.7179995</v>
      </c>
      <c r="E55" s="39">
        <f t="shared" si="13"/>
        <v>3.0260048109621691E-3</v>
      </c>
      <c r="F55" s="40">
        <v>100</v>
      </c>
      <c r="G55" s="40">
        <v>100</v>
      </c>
      <c r="H55" s="41">
        <v>77</v>
      </c>
      <c r="I55" s="60">
        <v>0.19539999999999999</v>
      </c>
      <c r="J55" s="60">
        <v>0.19539999999999999</v>
      </c>
      <c r="K55" s="57">
        <v>5094330256.5578995</v>
      </c>
      <c r="L55" s="39">
        <f t="shared" si="12"/>
        <v>3.0309143703591218E-3</v>
      </c>
      <c r="M55" s="40">
        <v>100</v>
      </c>
      <c r="N55" s="40">
        <v>100</v>
      </c>
      <c r="O55" s="41">
        <v>78</v>
      </c>
      <c r="P55" s="60">
        <v>0.24279999999999999</v>
      </c>
      <c r="Q55" s="60">
        <v>0.24279999999999999</v>
      </c>
      <c r="R55" s="66">
        <f t="shared" si="14"/>
        <v>1.6224559125507148E-3</v>
      </c>
      <c r="S55" s="66">
        <f t="shared" si="15"/>
        <v>0</v>
      </c>
      <c r="T55" s="66">
        <f t="shared" si="16"/>
        <v>1.2987012987012988E-2</v>
      </c>
      <c r="U55" s="67">
        <f t="shared" si="17"/>
        <v>4.7399999999999998E-2</v>
      </c>
      <c r="V55" s="68">
        <f t="shared" si="18"/>
        <v>4.7399999999999998E-2</v>
      </c>
    </row>
    <row r="56" spans="1:22">
      <c r="A56" s="161">
        <v>48</v>
      </c>
      <c r="B56" s="162" t="s">
        <v>98</v>
      </c>
      <c r="C56" s="163" t="s">
        <v>99</v>
      </c>
      <c r="D56" s="57">
        <v>58121703.109999999</v>
      </c>
      <c r="E56" s="39">
        <f t="shared" si="13"/>
        <v>3.4579993112749869E-5</v>
      </c>
      <c r="F56" s="40">
        <v>1000</v>
      </c>
      <c r="G56" s="40">
        <v>1000</v>
      </c>
      <c r="H56" s="41">
        <v>21</v>
      </c>
      <c r="I56" s="60">
        <v>0.19189999999999999</v>
      </c>
      <c r="J56" s="60">
        <v>0.19189999999999999</v>
      </c>
      <c r="K56" s="57">
        <v>58184708.710000001</v>
      </c>
      <c r="L56" s="39">
        <f t="shared" si="12"/>
        <v>3.4617478821142509E-5</v>
      </c>
      <c r="M56" s="40">
        <v>1000</v>
      </c>
      <c r="N56" s="40">
        <v>1000</v>
      </c>
      <c r="O56" s="41">
        <v>21</v>
      </c>
      <c r="P56" s="60">
        <v>0.191</v>
      </c>
      <c r="Q56" s="60">
        <v>0.191</v>
      </c>
      <c r="R56" s="66">
        <f t="shared" si="14"/>
        <v>1.0840287986874425E-3</v>
      </c>
      <c r="S56" s="66">
        <f t="shared" si="15"/>
        <v>0</v>
      </c>
      <c r="T56" s="66">
        <f t="shared" si="16"/>
        <v>0</v>
      </c>
      <c r="U56" s="67">
        <f t="shared" si="17"/>
        <v>-8.9999999999998415E-4</v>
      </c>
      <c r="V56" s="68">
        <f t="shared" si="18"/>
        <v>-8.9999999999998415E-4</v>
      </c>
    </row>
    <row r="57" spans="1:22">
      <c r="A57" s="161">
        <v>49</v>
      </c>
      <c r="B57" s="162" t="s">
        <v>100</v>
      </c>
      <c r="C57" s="163" t="s">
        <v>49</v>
      </c>
      <c r="D57" s="54">
        <v>760154214588.84998</v>
      </c>
      <c r="E57" s="39">
        <f t="shared" si="13"/>
        <v>0.45226010420516427</v>
      </c>
      <c r="F57" s="40">
        <v>100</v>
      </c>
      <c r="G57" s="40">
        <v>100</v>
      </c>
      <c r="H57" s="41">
        <v>146813</v>
      </c>
      <c r="I57" s="60">
        <v>0.21149999999999999</v>
      </c>
      <c r="J57" s="60">
        <v>0.21149999999999999</v>
      </c>
      <c r="K57" s="54">
        <v>775676544396.30005</v>
      </c>
      <c r="L57" s="39">
        <f t="shared" si="12"/>
        <v>0.46149524407743525</v>
      </c>
      <c r="M57" s="40">
        <v>100</v>
      </c>
      <c r="N57" s="40">
        <v>100</v>
      </c>
      <c r="O57" s="41">
        <v>147378</v>
      </c>
      <c r="P57" s="60">
        <v>0.20960000000000001</v>
      </c>
      <c r="Q57" s="60">
        <v>0.20960000000000001</v>
      </c>
      <c r="R57" s="66">
        <f t="shared" si="14"/>
        <v>2.0419974670331527E-2</v>
      </c>
      <c r="S57" s="66">
        <f t="shared" si="15"/>
        <v>0</v>
      </c>
      <c r="T57" s="66">
        <f t="shared" si="16"/>
        <v>3.8484330406707854E-3</v>
      </c>
      <c r="U57" s="67">
        <f t="shared" si="17"/>
        <v>-1.899999999999985E-3</v>
      </c>
      <c r="V57" s="68">
        <f t="shared" si="18"/>
        <v>-1.899999999999985E-3</v>
      </c>
    </row>
    <row r="58" spans="1:22">
      <c r="A58" s="161">
        <v>50</v>
      </c>
      <c r="B58" s="162" t="s">
        <v>101</v>
      </c>
      <c r="C58" s="162" t="s">
        <v>102</v>
      </c>
      <c r="D58" s="54">
        <v>1604819678.1900001</v>
      </c>
      <c r="E58" s="39">
        <f t="shared" si="13"/>
        <v>9.5480088245156148E-4</v>
      </c>
      <c r="F58" s="40">
        <v>100</v>
      </c>
      <c r="G58" s="40">
        <v>100</v>
      </c>
      <c r="H58" s="41">
        <v>336</v>
      </c>
      <c r="I58" s="60">
        <v>0.21970000000000001</v>
      </c>
      <c r="J58" s="60">
        <v>0.21970000000000001</v>
      </c>
      <c r="K58" s="54">
        <v>1579021511.51</v>
      </c>
      <c r="L58" s="39">
        <f t="shared" si="12"/>
        <v>9.394520475348076E-4</v>
      </c>
      <c r="M58" s="40">
        <v>100</v>
      </c>
      <c r="N58" s="40">
        <v>100</v>
      </c>
      <c r="O58" s="41">
        <v>337</v>
      </c>
      <c r="P58" s="60">
        <v>0.22209999999999999</v>
      </c>
      <c r="Q58" s="60">
        <v>0.22209999999999999</v>
      </c>
      <c r="R58" s="66">
        <f t="shared" si="14"/>
        <v>-1.6075430174869614E-2</v>
      </c>
      <c r="S58" s="66">
        <f t="shared" si="15"/>
        <v>0</v>
      </c>
      <c r="T58" s="66">
        <f t="shared" si="16"/>
        <v>2.976190476190476E-3</v>
      </c>
      <c r="U58" s="67">
        <f t="shared" si="17"/>
        <v>2.3999999999999855E-3</v>
      </c>
      <c r="V58" s="68">
        <f t="shared" si="18"/>
        <v>2.3999999999999855E-3</v>
      </c>
    </row>
    <row r="59" spans="1:22">
      <c r="A59" s="161">
        <v>51</v>
      </c>
      <c r="B59" s="162" t="s">
        <v>103</v>
      </c>
      <c r="C59" s="163" t="s">
        <v>104</v>
      </c>
      <c r="D59" s="54">
        <v>3630407147.3600001</v>
      </c>
      <c r="E59" s="39">
        <f t="shared" si="13"/>
        <v>2.1599410794035613E-3</v>
      </c>
      <c r="F59" s="40">
        <v>1</v>
      </c>
      <c r="G59" s="40">
        <v>1</v>
      </c>
      <c r="H59" s="41">
        <v>401</v>
      </c>
      <c r="I59" s="60">
        <v>0.20307402469999999</v>
      </c>
      <c r="J59" s="60">
        <v>0.20307402469999999</v>
      </c>
      <c r="K59" s="54">
        <v>3658095131.02</v>
      </c>
      <c r="L59" s="39">
        <f t="shared" si="12"/>
        <v>2.1764142767298107E-3</v>
      </c>
      <c r="M59" s="40">
        <v>1</v>
      </c>
      <c r="N59" s="40">
        <v>1</v>
      </c>
      <c r="O59" s="41">
        <v>401</v>
      </c>
      <c r="P59" s="60">
        <v>0.21568823449999999</v>
      </c>
      <c r="Q59" s="60">
        <v>0.21568823449999999</v>
      </c>
      <c r="R59" s="66">
        <f t="shared" si="14"/>
        <v>7.6266882848482443E-3</v>
      </c>
      <c r="S59" s="66">
        <f t="shared" si="15"/>
        <v>0</v>
      </c>
      <c r="T59" s="66">
        <f t="shared" si="16"/>
        <v>0</v>
      </c>
      <c r="U59" s="67">
        <f t="shared" si="17"/>
        <v>1.2614209799999998E-2</v>
      </c>
      <c r="V59" s="68">
        <f t="shared" si="18"/>
        <v>1.2614209799999998E-2</v>
      </c>
    </row>
    <row r="60" spans="1:22">
      <c r="A60" s="161">
        <v>52</v>
      </c>
      <c r="B60" s="162" t="s">
        <v>105</v>
      </c>
      <c r="C60" s="163" t="s">
        <v>52</v>
      </c>
      <c r="D60" s="54">
        <v>71638550137.429993</v>
      </c>
      <c r="E60" s="39">
        <f t="shared" si="13"/>
        <v>4.2621954240936483E-2</v>
      </c>
      <c r="F60" s="40">
        <v>1</v>
      </c>
      <c r="G60" s="40">
        <v>1</v>
      </c>
      <c r="H60" s="41">
        <v>40622</v>
      </c>
      <c r="I60" s="60">
        <v>0.2218</v>
      </c>
      <c r="J60" s="60">
        <v>0.2218</v>
      </c>
      <c r="K60" s="54">
        <v>72407981928.589996</v>
      </c>
      <c r="L60" s="39">
        <f t="shared" si="12"/>
        <v>4.3079734116875212E-2</v>
      </c>
      <c r="M60" s="40">
        <v>1</v>
      </c>
      <c r="N60" s="40">
        <v>1</v>
      </c>
      <c r="O60" s="41">
        <v>40702</v>
      </c>
      <c r="P60" s="60">
        <v>0.22370000000000001</v>
      </c>
      <c r="Q60" s="60">
        <v>0.22370000000000001</v>
      </c>
      <c r="R60" s="66">
        <f t="shared" si="14"/>
        <v>1.0740471292117732E-2</v>
      </c>
      <c r="S60" s="66">
        <f t="shared" si="15"/>
        <v>0</v>
      </c>
      <c r="T60" s="66">
        <f t="shared" si="16"/>
        <v>1.969376200088622E-3</v>
      </c>
      <c r="U60" s="67">
        <f t="shared" si="17"/>
        <v>1.9000000000000128E-3</v>
      </c>
      <c r="V60" s="68">
        <f t="shared" si="18"/>
        <v>1.9000000000000128E-3</v>
      </c>
    </row>
    <row r="61" spans="1:22">
      <c r="A61" s="161">
        <v>53</v>
      </c>
      <c r="B61" s="162" t="s">
        <v>106</v>
      </c>
      <c r="C61" s="163" t="s">
        <v>107</v>
      </c>
      <c r="D61" s="54">
        <v>1534513979.28</v>
      </c>
      <c r="E61" s="39">
        <f t="shared" si="13"/>
        <v>9.1297191918987455E-4</v>
      </c>
      <c r="F61" s="40">
        <v>1</v>
      </c>
      <c r="G61" s="40">
        <v>1</v>
      </c>
      <c r="H61" s="41">
        <v>135</v>
      </c>
      <c r="I61" s="60">
        <v>0.22789999999999999</v>
      </c>
      <c r="J61" s="60">
        <v>0.22789999999999999</v>
      </c>
      <c r="K61" s="54">
        <v>1538961944.1500001</v>
      </c>
      <c r="L61" s="39">
        <f t="shared" si="12"/>
        <v>9.1561827307044233E-4</v>
      </c>
      <c r="M61" s="40">
        <v>1</v>
      </c>
      <c r="N61" s="40">
        <v>1</v>
      </c>
      <c r="O61" s="41">
        <v>135</v>
      </c>
      <c r="P61" s="60">
        <v>0.2291</v>
      </c>
      <c r="Q61" s="60">
        <v>0.2291</v>
      </c>
      <c r="R61" s="66">
        <f t="shared" si="14"/>
        <v>2.8986147601516975E-3</v>
      </c>
      <c r="S61" s="66">
        <f t="shared" si="15"/>
        <v>0</v>
      </c>
      <c r="T61" s="66">
        <f t="shared" si="16"/>
        <v>0</v>
      </c>
      <c r="U61" s="67">
        <f t="shared" si="17"/>
        <v>1.2000000000000066E-3</v>
      </c>
      <c r="V61" s="68">
        <f t="shared" si="18"/>
        <v>1.2000000000000066E-3</v>
      </c>
    </row>
    <row r="62" spans="1:22">
      <c r="A62" s="161">
        <v>54</v>
      </c>
      <c r="B62" s="162" t="s">
        <v>108</v>
      </c>
      <c r="C62" s="163" t="s">
        <v>109</v>
      </c>
      <c r="D62" s="54">
        <v>3236183013.3899999</v>
      </c>
      <c r="E62" s="39">
        <f t="shared" si="13"/>
        <v>1.9253941355233683E-3</v>
      </c>
      <c r="F62" s="40">
        <v>1</v>
      </c>
      <c r="G62" s="40">
        <v>1</v>
      </c>
      <c r="H62" s="41">
        <v>332</v>
      </c>
      <c r="I62" s="60">
        <v>0.22090000000000001</v>
      </c>
      <c r="J62" s="60">
        <v>0.22090000000000001</v>
      </c>
      <c r="K62" s="54">
        <v>3214964619.5500002</v>
      </c>
      <c r="L62" s="39">
        <f t="shared" si="12"/>
        <v>1.9127700747407351E-3</v>
      </c>
      <c r="M62" s="40">
        <v>1</v>
      </c>
      <c r="N62" s="40">
        <v>1</v>
      </c>
      <c r="O62" s="41">
        <v>332</v>
      </c>
      <c r="P62" s="60">
        <v>0.22620000000000001</v>
      </c>
      <c r="Q62" s="60">
        <v>0.17280000000000001</v>
      </c>
      <c r="R62" s="66">
        <f t="shared" si="14"/>
        <v>-6.5566112151898247E-3</v>
      </c>
      <c r="S62" s="66">
        <f t="shared" si="15"/>
        <v>0</v>
      </c>
      <c r="T62" s="66">
        <f t="shared" si="16"/>
        <v>0</v>
      </c>
      <c r="U62" s="67">
        <f t="shared" si="17"/>
        <v>5.2999999999999992E-3</v>
      </c>
      <c r="V62" s="68">
        <f t="shared" si="18"/>
        <v>-4.8100000000000004E-2</v>
      </c>
    </row>
    <row r="63" spans="1:22">
      <c r="A63" s="161">
        <v>55</v>
      </c>
      <c r="B63" s="162" t="s">
        <v>110</v>
      </c>
      <c r="C63" s="163" t="s">
        <v>111</v>
      </c>
      <c r="D63" s="54">
        <v>2762056515.23</v>
      </c>
      <c r="E63" s="39">
        <f t="shared" si="13"/>
        <v>1.643308612153284E-3</v>
      </c>
      <c r="F63" s="40">
        <v>1</v>
      </c>
      <c r="G63" s="40">
        <v>1</v>
      </c>
      <c r="H63" s="41">
        <v>1770</v>
      </c>
      <c r="I63" s="60">
        <v>0.23350000000000001</v>
      </c>
      <c r="J63" s="60">
        <v>0.23350000000000001</v>
      </c>
      <c r="K63" s="54">
        <v>2853506880.5300002</v>
      </c>
      <c r="L63" s="39">
        <f t="shared" si="12"/>
        <v>1.697717771434929E-3</v>
      </c>
      <c r="M63" s="40">
        <v>1</v>
      </c>
      <c r="N63" s="40">
        <v>1</v>
      </c>
      <c r="O63" s="41">
        <v>1830</v>
      </c>
      <c r="P63" s="60">
        <v>0.23080000000000001</v>
      </c>
      <c r="Q63" s="60">
        <v>0.23080000000000001</v>
      </c>
      <c r="R63" s="66">
        <f t="shared" si="14"/>
        <v>3.3109519952159633E-2</v>
      </c>
      <c r="S63" s="66">
        <f t="shared" si="15"/>
        <v>0</v>
      </c>
      <c r="T63" s="66">
        <f t="shared" si="16"/>
        <v>3.3898305084745763E-2</v>
      </c>
      <c r="U63" s="67">
        <f t="shared" si="17"/>
        <v>-2.7000000000000079E-3</v>
      </c>
      <c r="V63" s="68">
        <f t="shared" si="18"/>
        <v>-2.7000000000000079E-3</v>
      </c>
    </row>
    <row r="64" spans="1:22">
      <c r="A64" s="161">
        <v>56</v>
      </c>
      <c r="B64" s="162" t="s">
        <v>112</v>
      </c>
      <c r="C64" s="163" t="s">
        <v>113</v>
      </c>
      <c r="D64" s="54">
        <v>58154971708.720001</v>
      </c>
      <c r="E64" s="39">
        <f t="shared" si="13"/>
        <v>3.4599786543655212E-2</v>
      </c>
      <c r="F64" s="40">
        <v>1</v>
      </c>
      <c r="G64" s="40">
        <v>1</v>
      </c>
      <c r="H64" s="41">
        <v>4214</v>
      </c>
      <c r="I64" s="60">
        <v>0.22320000000000001</v>
      </c>
      <c r="J64" s="60">
        <v>0.22320000000000001</v>
      </c>
      <c r="K64" s="54">
        <v>59740058613.660004</v>
      </c>
      <c r="L64" s="39">
        <f t="shared" si="12"/>
        <v>3.5542847247712672E-2</v>
      </c>
      <c r="M64" s="40">
        <v>1</v>
      </c>
      <c r="N64" s="40">
        <v>1</v>
      </c>
      <c r="O64" s="41">
        <v>4224</v>
      </c>
      <c r="P64" s="60">
        <v>0.2213</v>
      </c>
      <c r="Q64" s="60">
        <v>0.2213</v>
      </c>
      <c r="R64" s="66">
        <f t="shared" si="14"/>
        <v>2.7256257863544412E-2</v>
      </c>
      <c r="S64" s="66">
        <f t="shared" si="15"/>
        <v>0</v>
      </c>
      <c r="T64" s="66">
        <f t="shared" si="16"/>
        <v>2.3730422401518746E-3</v>
      </c>
      <c r="U64" s="67">
        <f t="shared" si="17"/>
        <v>-1.9000000000000128E-3</v>
      </c>
      <c r="V64" s="68">
        <f t="shared" si="18"/>
        <v>-1.9000000000000128E-3</v>
      </c>
    </row>
    <row r="65" spans="1:22">
      <c r="A65" s="45"/>
      <c r="B65" s="46"/>
      <c r="C65" s="47" t="s">
        <v>53</v>
      </c>
      <c r="D65" s="58">
        <f>SUM(D27:D64)</f>
        <v>1651994114175.4978</v>
      </c>
      <c r="E65" s="49">
        <f>(D65/$D$208)</f>
        <v>0.43563778772850459</v>
      </c>
      <c r="F65" s="50"/>
      <c r="G65" s="55"/>
      <c r="H65" s="52">
        <f>SUM(H27:H64)</f>
        <v>352702</v>
      </c>
      <c r="I65" s="65"/>
      <c r="J65" s="65"/>
      <c r="K65" s="58">
        <f>SUM(K27:K64)</f>
        <v>1680789898381.158</v>
      </c>
      <c r="L65" s="49">
        <f>(K65/$K$208)</f>
        <v>0.43886787949384698</v>
      </c>
      <c r="M65" s="50"/>
      <c r="N65" s="55"/>
      <c r="O65" s="52">
        <f>SUM(O27:O64)</f>
        <v>353940</v>
      </c>
      <c r="P65" s="65"/>
      <c r="Q65" s="65"/>
      <c r="R65" s="66">
        <f t="shared" si="14"/>
        <v>1.7430924213693091E-2</v>
      </c>
      <c r="S65" s="66" t="e">
        <f t="shared" si="15"/>
        <v>#DIV/0!</v>
      </c>
      <c r="T65" s="66">
        <f t="shared" si="16"/>
        <v>3.5100453073699609E-3</v>
      </c>
      <c r="U65" s="67">
        <f t="shared" si="17"/>
        <v>0</v>
      </c>
      <c r="V65" s="68">
        <f t="shared" si="18"/>
        <v>0</v>
      </c>
    </row>
    <row r="66" spans="1:22" ht="3" customHeight="1">
      <c r="A66" s="45"/>
      <c r="B66" s="174"/>
      <c r="C66" s="174"/>
      <c r="D66" s="174"/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</row>
    <row r="67" spans="1:22" ht="15" customHeight="1">
      <c r="A67" s="178" t="s">
        <v>114</v>
      </c>
      <c r="B67" s="178"/>
      <c r="C67" s="178"/>
      <c r="D67" s="178"/>
      <c r="E67" s="178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8"/>
      <c r="T67" s="178"/>
      <c r="U67" s="178"/>
      <c r="V67" s="178"/>
    </row>
    <row r="68" spans="1:22">
      <c r="A68" s="161">
        <v>57</v>
      </c>
      <c r="B68" s="162" t="s">
        <v>115</v>
      </c>
      <c r="C68" s="163" t="s">
        <v>21</v>
      </c>
      <c r="D68" s="38">
        <v>498461629.91000003</v>
      </c>
      <c r="E68" s="39">
        <f>(D68/$D$104)</f>
        <v>2.5127645035219288E-3</v>
      </c>
      <c r="F68" s="70">
        <v>1.3008999999999999</v>
      </c>
      <c r="G68" s="70">
        <v>1.3008999999999999</v>
      </c>
      <c r="H68" s="41">
        <v>466</v>
      </c>
      <c r="I68" s="60">
        <v>4.6099999999999998E-4</v>
      </c>
      <c r="J68" s="60">
        <v>1.6199999999999999E-2</v>
      </c>
      <c r="K68" s="38">
        <v>497711554.92000002</v>
      </c>
      <c r="L68" s="39">
        <f t="shared" ref="L68:L89" si="30">(K68/$K$104)</f>
        <v>2.5354684991544577E-3</v>
      </c>
      <c r="M68" s="70">
        <v>1.3053999999999999</v>
      </c>
      <c r="N68" s="70">
        <v>1.3053999999999999</v>
      </c>
      <c r="O68" s="41">
        <v>466</v>
      </c>
      <c r="P68" s="60">
        <v>5.3700000000000004E-4</v>
      </c>
      <c r="Q68" s="60">
        <v>1.9800000000000002E-2</v>
      </c>
      <c r="R68" s="66">
        <f>((K68-D68)/D68)</f>
        <v>-1.5047797964618454E-3</v>
      </c>
      <c r="S68" s="66">
        <f>((N68-G68)/G68)</f>
        <v>3.4591436697670448E-3</v>
      </c>
      <c r="T68" s="66">
        <f>((O68-H68)/H68)</f>
        <v>0</v>
      </c>
      <c r="U68" s="67">
        <f>P68-I68</f>
        <v>7.6000000000000058E-5</v>
      </c>
      <c r="V68" s="68">
        <f>Q68-J68</f>
        <v>3.6000000000000025E-3</v>
      </c>
    </row>
    <row r="69" spans="1:22">
      <c r="A69" s="161">
        <v>58</v>
      </c>
      <c r="B69" s="162" t="s">
        <v>116</v>
      </c>
      <c r="C69" s="163" t="s">
        <v>23</v>
      </c>
      <c r="D69" s="38">
        <v>1306707439.4300001</v>
      </c>
      <c r="E69" s="39">
        <f>(D69/$D$104)</f>
        <v>6.5871631300499084E-3</v>
      </c>
      <c r="F69" s="70">
        <v>1.2218</v>
      </c>
      <c r="G69" s="70">
        <v>1.2218</v>
      </c>
      <c r="H69" s="41">
        <v>820</v>
      </c>
      <c r="I69" s="60">
        <v>-8.9700000000000002E-2</v>
      </c>
      <c r="J69" s="60">
        <v>5.4699999999999999E-2</v>
      </c>
      <c r="K69" s="38">
        <v>1309929647.98</v>
      </c>
      <c r="L69" s="39">
        <f t="shared" si="30"/>
        <v>6.6731128215329998E-3</v>
      </c>
      <c r="M69" s="70">
        <v>1.2248000000000001</v>
      </c>
      <c r="N69" s="70">
        <v>1.2248000000000001</v>
      </c>
      <c r="O69" s="41">
        <v>821</v>
      </c>
      <c r="P69" s="60">
        <v>0.12839999999999999</v>
      </c>
      <c r="Q69" s="60">
        <v>5.6300000000000003E-2</v>
      </c>
      <c r="R69" s="66">
        <f t="shared" ref="R69:R104" si="31">((K69-D69)/D69)</f>
        <v>2.4658989860848381E-3</v>
      </c>
      <c r="S69" s="66">
        <f t="shared" ref="S69:S104" si="32">((N69-G69)/G69)</f>
        <v>2.4553936814536862E-3</v>
      </c>
      <c r="T69" s="66">
        <f t="shared" ref="T69:T104" si="33">((O69-H69)/H69)</f>
        <v>1.2195121951219512E-3</v>
      </c>
      <c r="U69" s="67">
        <f t="shared" ref="U69:U104" si="34">P69-I69</f>
        <v>0.21809999999999999</v>
      </c>
      <c r="V69" s="68">
        <f t="shared" ref="V69:V104" si="35">Q69-J69</f>
        <v>1.6000000000000042E-3</v>
      </c>
    </row>
    <row r="70" spans="1:22">
      <c r="A70" s="161">
        <v>59</v>
      </c>
      <c r="B70" s="162" t="s">
        <v>117</v>
      </c>
      <c r="C70" s="163" t="s">
        <v>23</v>
      </c>
      <c r="D70" s="38">
        <v>843731144.25999999</v>
      </c>
      <c r="E70" s="39">
        <f>(D70/$D$104)</f>
        <v>4.2532815819650207E-3</v>
      </c>
      <c r="F70" s="70">
        <v>1.1136999999999999</v>
      </c>
      <c r="G70" s="70">
        <v>1.1136999999999999</v>
      </c>
      <c r="H70" s="41">
        <v>200</v>
      </c>
      <c r="I70" s="60">
        <v>0.1176</v>
      </c>
      <c r="J70" s="60">
        <v>4.19E-2</v>
      </c>
      <c r="K70" s="38">
        <v>842199842.23000002</v>
      </c>
      <c r="L70" s="39">
        <f t="shared" si="30"/>
        <v>4.2903789330554108E-3</v>
      </c>
      <c r="M70" s="70">
        <v>1.1162000000000001</v>
      </c>
      <c r="N70" s="70">
        <v>1.1162000000000001</v>
      </c>
      <c r="O70" s="41">
        <v>200</v>
      </c>
      <c r="P70" s="60">
        <v>0.1174</v>
      </c>
      <c r="Q70" s="60">
        <v>4.3499999999999997E-2</v>
      </c>
      <c r="R70" s="66">
        <f t="shared" si="31"/>
        <v>-1.8149170389378123E-3</v>
      </c>
      <c r="S70" s="66">
        <f t="shared" si="32"/>
        <v>2.2447696866303036E-3</v>
      </c>
      <c r="T70" s="66">
        <f t="shared" si="33"/>
        <v>0</v>
      </c>
      <c r="U70" s="67">
        <f t="shared" si="34"/>
        <v>-1.9999999999999185E-4</v>
      </c>
      <c r="V70" s="68">
        <f t="shared" si="35"/>
        <v>1.5999999999999973E-3</v>
      </c>
    </row>
    <row r="71" spans="1:22">
      <c r="A71" s="161">
        <v>60</v>
      </c>
      <c r="B71" s="162" t="s">
        <v>118</v>
      </c>
      <c r="C71" s="163" t="s">
        <v>119</v>
      </c>
      <c r="D71" s="38">
        <v>278064193.98000002</v>
      </c>
      <c r="E71" s="39">
        <f>(D71/$D$104)</f>
        <v>1.4017324391840068E-3</v>
      </c>
      <c r="F71" s="44">
        <v>1107.3399999999999</v>
      </c>
      <c r="G71" s="44">
        <v>1107.3399999999999</v>
      </c>
      <c r="H71" s="41">
        <v>110</v>
      </c>
      <c r="I71" s="60">
        <v>1.031E-3</v>
      </c>
      <c r="J71" s="60">
        <v>6.8662000000000001E-2</v>
      </c>
      <c r="K71" s="38">
        <v>278994371.93000001</v>
      </c>
      <c r="L71" s="39">
        <f t="shared" si="30"/>
        <v>1.4212678698681189E-3</v>
      </c>
      <c r="M71" s="44">
        <v>1111.04</v>
      </c>
      <c r="N71" s="44">
        <v>1111.04</v>
      </c>
      <c r="O71" s="41">
        <v>110</v>
      </c>
      <c r="P71" s="60">
        <v>2.6979999999999999E-3</v>
      </c>
      <c r="Q71" s="60">
        <v>7.2292999999999996E-2</v>
      </c>
      <c r="R71" s="66">
        <f t="shared" si="31"/>
        <v>3.3451913987418741E-3</v>
      </c>
      <c r="S71" s="66">
        <f t="shared" si="32"/>
        <v>3.3413405096899287E-3</v>
      </c>
      <c r="T71" s="66">
        <f t="shared" si="33"/>
        <v>0</v>
      </c>
      <c r="U71" s="67">
        <f t="shared" si="34"/>
        <v>1.6669999999999999E-3</v>
      </c>
      <c r="V71" s="68">
        <f t="shared" si="35"/>
        <v>3.6309999999999953E-3</v>
      </c>
    </row>
    <row r="72" spans="1:22" ht="15" customHeight="1">
      <c r="A72" s="161">
        <v>61</v>
      </c>
      <c r="B72" s="162" t="s">
        <v>120</v>
      </c>
      <c r="C72" s="163" t="s">
        <v>27</v>
      </c>
      <c r="D72" s="38">
        <v>1649718874.8299999</v>
      </c>
      <c r="E72" s="39">
        <f>(D72/$K$104)</f>
        <v>8.4040850533685669E-3</v>
      </c>
      <c r="F72" s="44">
        <v>1.1084000000000001</v>
      </c>
      <c r="G72" s="44">
        <v>1.1084000000000001</v>
      </c>
      <c r="H72" s="41">
        <v>869</v>
      </c>
      <c r="I72" s="60">
        <v>2.0000000000000001E-4</v>
      </c>
      <c r="J72" s="60">
        <v>0.12342</v>
      </c>
      <c r="K72" s="38">
        <v>1640006626.97</v>
      </c>
      <c r="L72" s="39">
        <f t="shared" si="30"/>
        <v>8.3546084071834722E-3</v>
      </c>
      <c r="M72" s="44">
        <v>1.1113</v>
      </c>
      <c r="N72" s="44">
        <v>1.1113</v>
      </c>
      <c r="O72" s="41">
        <v>906</v>
      </c>
      <c r="P72" s="60">
        <v>2.5999999999999999E-3</v>
      </c>
      <c r="Q72" s="60">
        <v>0.129</v>
      </c>
      <c r="R72" s="66">
        <f t="shared" si="31"/>
        <v>-5.8872138812139868E-3</v>
      </c>
      <c r="S72" s="66">
        <f t="shared" si="32"/>
        <v>2.6163839769035571E-3</v>
      </c>
      <c r="T72" s="66">
        <f t="shared" si="33"/>
        <v>4.2577675489067893E-2</v>
      </c>
      <c r="U72" s="67">
        <f t="shared" si="34"/>
        <v>2.3999999999999998E-3</v>
      </c>
      <c r="V72" s="68">
        <f t="shared" si="35"/>
        <v>5.5800000000000016E-3</v>
      </c>
    </row>
    <row r="73" spans="1:22">
      <c r="A73" s="161">
        <v>62</v>
      </c>
      <c r="B73" s="162" t="s">
        <v>121</v>
      </c>
      <c r="C73" s="163" t="s">
        <v>122</v>
      </c>
      <c r="D73" s="38">
        <v>426180721.02996981</v>
      </c>
      <c r="E73" s="39">
        <f t="shared" ref="E73:E89" si="36">(D73/$D$104)</f>
        <v>2.148393624766755E-3</v>
      </c>
      <c r="F73" s="44">
        <v>2.4529999999999998</v>
      </c>
      <c r="G73" s="44">
        <v>2.4529999999999998</v>
      </c>
      <c r="H73" s="41">
        <v>1390</v>
      </c>
      <c r="I73" s="60">
        <v>0.1346</v>
      </c>
      <c r="J73" s="60">
        <v>0.12720000000000001</v>
      </c>
      <c r="K73" s="38">
        <v>427278403.50111169</v>
      </c>
      <c r="L73" s="39">
        <f t="shared" si="30"/>
        <v>2.1766642179328337E-3</v>
      </c>
      <c r="M73" s="44">
        <v>2.4592999999999998</v>
      </c>
      <c r="N73" s="44">
        <v>2.4592999999999998</v>
      </c>
      <c r="O73" s="41">
        <v>1390</v>
      </c>
      <c r="P73" s="60">
        <v>0.1343</v>
      </c>
      <c r="Q73" s="60">
        <v>0.1275</v>
      </c>
      <c r="R73" s="66">
        <f t="shared" si="31"/>
        <v>2.5756267634280991E-3</v>
      </c>
      <c r="S73" s="66">
        <f t="shared" si="32"/>
        <v>2.5682837342030054E-3</v>
      </c>
      <c r="T73" s="66">
        <f t="shared" si="33"/>
        <v>0</v>
      </c>
      <c r="U73" s="67">
        <f t="shared" si="34"/>
        <v>-2.9999999999999472E-4</v>
      </c>
      <c r="V73" s="68">
        <f t="shared" si="35"/>
        <v>2.9999999999999472E-4</v>
      </c>
    </row>
    <row r="74" spans="1:22">
      <c r="A74" s="161">
        <v>63</v>
      </c>
      <c r="B74" s="162" t="s">
        <v>123</v>
      </c>
      <c r="C74" s="163" t="s">
        <v>63</v>
      </c>
      <c r="D74" s="38">
        <v>141321236.30000001</v>
      </c>
      <c r="E74" s="39">
        <f t="shared" si="36"/>
        <v>7.1240586007109751E-4</v>
      </c>
      <c r="F74" s="44">
        <v>11.33</v>
      </c>
      <c r="G74" s="44">
        <v>11.35</v>
      </c>
      <c r="H74" s="41">
        <v>29</v>
      </c>
      <c r="I74" s="60">
        <v>0.11799999999999999</v>
      </c>
      <c r="J74" s="60">
        <v>8.2000000000000003E-2</v>
      </c>
      <c r="K74" s="38">
        <v>141923312.11000001</v>
      </c>
      <c r="L74" s="39">
        <f t="shared" si="30"/>
        <v>7.2299323492381218E-4</v>
      </c>
      <c r="M74" s="44">
        <v>11.33</v>
      </c>
      <c r="N74" s="44">
        <v>11.35</v>
      </c>
      <c r="O74" s="41">
        <v>29</v>
      </c>
      <c r="P74" s="60">
        <v>0.16800000000000001</v>
      </c>
      <c r="Q74" s="60">
        <v>8.4000000000000005E-2</v>
      </c>
      <c r="R74" s="66">
        <f t="shared" si="31"/>
        <v>4.2603350052917866E-3</v>
      </c>
      <c r="S74" s="66">
        <f t="shared" si="32"/>
        <v>0</v>
      </c>
      <c r="T74" s="66">
        <f t="shared" si="33"/>
        <v>0</v>
      </c>
      <c r="U74" s="67">
        <f t="shared" si="34"/>
        <v>5.0000000000000017E-2</v>
      </c>
      <c r="V74" s="68">
        <f t="shared" si="35"/>
        <v>2.0000000000000018E-3</v>
      </c>
    </row>
    <row r="75" spans="1:22">
      <c r="A75" s="161">
        <v>64</v>
      </c>
      <c r="B75" s="162" t="s">
        <v>124</v>
      </c>
      <c r="C75" s="163" t="s">
        <v>65</v>
      </c>
      <c r="D75" s="38">
        <v>2068319449.8157799</v>
      </c>
      <c r="E75" s="39">
        <f t="shared" si="36"/>
        <v>1.0426478957627048E-2</v>
      </c>
      <c r="F75" s="38">
        <v>4371.8607991647004</v>
      </c>
      <c r="G75" s="38">
        <v>4371.8607991647004</v>
      </c>
      <c r="H75" s="41">
        <v>1037</v>
      </c>
      <c r="I75" s="60">
        <v>9.0738257345089987E-2</v>
      </c>
      <c r="J75" s="60">
        <v>9.6216690234588634E-2</v>
      </c>
      <c r="K75" s="38">
        <v>1997687394.2328899</v>
      </c>
      <c r="L75" s="39">
        <f t="shared" si="30"/>
        <v>1.0176724669471622E-2</v>
      </c>
      <c r="M75" s="38">
        <v>4379.7008312364796</v>
      </c>
      <c r="N75" s="38">
        <v>4379.7008312364796</v>
      </c>
      <c r="O75" s="41">
        <v>1038</v>
      </c>
      <c r="P75" s="60">
        <v>9.3763661682504829E-2</v>
      </c>
      <c r="Q75" s="60">
        <v>9.6338464299363172E-2</v>
      </c>
      <c r="R75" s="66">
        <f t="shared" si="31"/>
        <v>-3.414949058724031E-2</v>
      </c>
      <c r="S75" s="66">
        <f t="shared" si="32"/>
        <v>1.7932940758949012E-3</v>
      </c>
      <c r="T75" s="66">
        <f t="shared" si="33"/>
        <v>9.6432015429122472E-4</v>
      </c>
      <c r="U75" s="67">
        <f t="shared" si="34"/>
        <v>3.0254043374148415E-3</v>
      </c>
      <c r="V75" s="68">
        <f t="shared" si="35"/>
        <v>1.21774064774538E-4</v>
      </c>
    </row>
    <row r="76" spans="1:22">
      <c r="A76" s="161">
        <v>65</v>
      </c>
      <c r="B76" s="162" t="s">
        <v>125</v>
      </c>
      <c r="C76" s="163" t="s">
        <v>67</v>
      </c>
      <c r="D76" s="38">
        <v>356866045.25999999</v>
      </c>
      <c r="E76" s="39">
        <f t="shared" si="36"/>
        <v>1.7989756427259722E-3</v>
      </c>
      <c r="F76" s="70">
        <v>109.47</v>
      </c>
      <c r="G76" s="70">
        <v>109.47</v>
      </c>
      <c r="H76" s="41">
        <v>136</v>
      </c>
      <c r="I76" s="60">
        <v>2.3999999999999998E-3</v>
      </c>
      <c r="J76" s="60">
        <v>0.1283</v>
      </c>
      <c r="K76" s="38">
        <v>359359156.38</v>
      </c>
      <c r="L76" s="39">
        <f t="shared" si="30"/>
        <v>1.830666400804506E-3</v>
      </c>
      <c r="M76" s="70">
        <v>109.73</v>
      </c>
      <c r="N76" s="70">
        <v>109.73</v>
      </c>
      <c r="O76" s="41">
        <v>136</v>
      </c>
      <c r="P76" s="60">
        <v>2.3999999999999998E-3</v>
      </c>
      <c r="Q76" s="60">
        <v>0.1303</v>
      </c>
      <c r="R76" s="66">
        <f t="shared" si="31"/>
        <v>6.9861258954564088E-3</v>
      </c>
      <c r="S76" s="66">
        <f t="shared" si="32"/>
        <v>2.3750799305746334E-3</v>
      </c>
      <c r="T76" s="66">
        <f t="shared" si="33"/>
        <v>0</v>
      </c>
      <c r="U76" s="67">
        <f t="shared" si="34"/>
        <v>0</v>
      </c>
      <c r="V76" s="68">
        <f t="shared" si="35"/>
        <v>2.0000000000000018E-3</v>
      </c>
    </row>
    <row r="77" spans="1:22" ht="13.5" customHeight="1">
      <c r="A77" s="161">
        <v>66</v>
      </c>
      <c r="B77" s="162" t="s">
        <v>126</v>
      </c>
      <c r="C77" s="163" t="s">
        <v>127</v>
      </c>
      <c r="D77" s="38">
        <v>354593632.12</v>
      </c>
      <c r="E77" s="39">
        <f t="shared" si="36"/>
        <v>1.7875203195217373E-3</v>
      </c>
      <c r="F77" s="70">
        <v>1.3955</v>
      </c>
      <c r="G77" s="70">
        <v>1.3955</v>
      </c>
      <c r="H77" s="41">
        <v>371</v>
      </c>
      <c r="I77" s="60">
        <v>-3.7129596572653689E-3</v>
      </c>
      <c r="J77" s="60">
        <v>6.3095255082151858E-2</v>
      </c>
      <c r="K77" s="38">
        <v>355455361.20999998</v>
      </c>
      <c r="L77" s="39">
        <f t="shared" si="30"/>
        <v>1.8107794811964666E-3</v>
      </c>
      <c r="M77" s="70">
        <v>1.4006000000000001</v>
      </c>
      <c r="N77" s="70">
        <v>1.4006000000000001</v>
      </c>
      <c r="O77" s="41">
        <v>371</v>
      </c>
      <c r="P77" s="60">
        <v>-3.7129596572653689E-3</v>
      </c>
      <c r="Q77" s="60">
        <v>6.3095255082151858E-2</v>
      </c>
      <c r="R77" s="66">
        <f t="shared" si="31"/>
        <v>2.4301877189614935E-3</v>
      </c>
      <c r="S77" s="66">
        <f t="shared" si="32"/>
        <v>3.6546040845575811E-3</v>
      </c>
      <c r="T77" s="66">
        <f t="shared" si="33"/>
        <v>0</v>
      </c>
      <c r="U77" s="67">
        <f t="shared" si="34"/>
        <v>0</v>
      </c>
      <c r="V77" s="68">
        <f t="shared" si="35"/>
        <v>0</v>
      </c>
    </row>
    <row r="78" spans="1:22">
      <c r="A78" s="161">
        <v>67</v>
      </c>
      <c r="B78" s="162" t="s">
        <v>128</v>
      </c>
      <c r="C78" s="163" t="s">
        <v>29</v>
      </c>
      <c r="D78" s="38">
        <v>124753857.41</v>
      </c>
      <c r="E78" s="39">
        <f t="shared" si="36"/>
        <v>6.2888905738619062E-4</v>
      </c>
      <c r="F78" s="70">
        <v>130.2347</v>
      </c>
      <c r="G78" s="70">
        <v>130.2347</v>
      </c>
      <c r="H78" s="41">
        <v>160</v>
      </c>
      <c r="I78" s="60">
        <v>4.8899999999999996E-4</v>
      </c>
      <c r="J78" s="60">
        <v>0.19570000000000001</v>
      </c>
      <c r="K78" s="38">
        <v>126145992.8</v>
      </c>
      <c r="L78" s="39">
        <f t="shared" si="30"/>
        <v>6.4261958131627982E-4</v>
      </c>
      <c r="M78" s="70">
        <v>130.51240000000001</v>
      </c>
      <c r="N78" s="70">
        <v>130.51240000000001</v>
      </c>
      <c r="O78" s="41">
        <v>160</v>
      </c>
      <c r="P78" s="60">
        <v>4.8899999999999996E-4</v>
      </c>
      <c r="Q78" s="60">
        <v>0.19719999999999999</v>
      </c>
      <c r="R78" s="66">
        <f t="shared" si="31"/>
        <v>1.1159056873285989E-2</v>
      </c>
      <c r="S78" s="66">
        <f t="shared" si="32"/>
        <v>2.1323042169253668E-3</v>
      </c>
      <c r="T78" s="66">
        <f t="shared" si="33"/>
        <v>0</v>
      </c>
      <c r="U78" s="67">
        <f t="shared" si="34"/>
        <v>0</v>
      </c>
      <c r="V78" s="68">
        <f t="shared" si="35"/>
        <v>1.4999999999999736E-3</v>
      </c>
    </row>
    <row r="79" spans="1:22">
      <c r="A79" s="161">
        <v>68</v>
      </c>
      <c r="B79" s="162" t="s">
        <v>129</v>
      </c>
      <c r="C79" s="163" t="s">
        <v>99</v>
      </c>
      <c r="D79" s="38">
        <v>1566765408.4600003</v>
      </c>
      <c r="E79" s="39">
        <f t="shared" si="36"/>
        <v>7.8981254874826677E-3</v>
      </c>
      <c r="F79" s="44">
        <v>1000</v>
      </c>
      <c r="G79" s="44">
        <v>1000</v>
      </c>
      <c r="H79" s="41">
        <v>334</v>
      </c>
      <c r="I79" s="60">
        <v>1.01E-2</v>
      </c>
      <c r="J79" s="60">
        <v>0.20569999999999999</v>
      </c>
      <c r="K79" s="38">
        <v>1565182555.8100002</v>
      </c>
      <c r="L79" s="39">
        <f t="shared" si="30"/>
        <v>7.973435670626923E-3</v>
      </c>
      <c r="M79" s="44">
        <v>1000</v>
      </c>
      <c r="N79" s="44">
        <v>1000</v>
      </c>
      <c r="O79" s="41">
        <v>334</v>
      </c>
      <c r="P79" s="60">
        <v>1.01E-2</v>
      </c>
      <c r="Q79" s="60">
        <v>0.2107</v>
      </c>
      <c r="R79" s="66">
        <f t="shared" si="31"/>
        <v>-1.0102678049012503E-3</v>
      </c>
      <c r="S79" s="66">
        <f t="shared" si="32"/>
        <v>0</v>
      </c>
      <c r="T79" s="66">
        <f t="shared" si="33"/>
        <v>0</v>
      </c>
      <c r="U79" s="67">
        <f t="shared" si="34"/>
        <v>0</v>
      </c>
      <c r="V79" s="68">
        <f t="shared" si="35"/>
        <v>5.0000000000000044E-3</v>
      </c>
    </row>
    <row r="80" spans="1:22">
      <c r="A80" s="161">
        <v>69</v>
      </c>
      <c r="B80" s="162" t="s">
        <v>130</v>
      </c>
      <c r="C80" s="163" t="s">
        <v>73</v>
      </c>
      <c r="D80" s="38">
        <v>198364703.96000001</v>
      </c>
      <c r="E80" s="39">
        <f t="shared" si="36"/>
        <v>9.9996420376894518E-4</v>
      </c>
      <c r="F80" s="44">
        <v>1079.43</v>
      </c>
      <c r="G80" s="44">
        <v>1091.83</v>
      </c>
      <c r="H80" s="41">
        <v>73</v>
      </c>
      <c r="I80" s="60">
        <v>2.3999999999999998E-3</v>
      </c>
      <c r="J80" s="60">
        <v>8.0299999999999996E-2</v>
      </c>
      <c r="K80" s="38">
        <v>198845359.66</v>
      </c>
      <c r="L80" s="39">
        <f t="shared" si="30"/>
        <v>1.0129685369711901E-3</v>
      </c>
      <c r="M80" s="44">
        <v>1081.5999999999999</v>
      </c>
      <c r="N80" s="44">
        <v>1094.6600000000001</v>
      </c>
      <c r="O80" s="41">
        <v>73</v>
      </c>
      <c r="P80" s="60">
        <v>2.3999999999999998E-3</v>
      </c>
      <c r="Q80" s="60">
        <v>8.2600000000000007E-2</v>
      </c>
      <c r="R80" s="66">
        <f t="shared" si="31"/>
        <v>2.4230908543936914E-3</v>
      </c>
      <c r="S80" s="66">
        <f t="shared" si="32"/>
        <v>2.5919786047279838E-3</v>
      </c>
      <c r="T80" s="66">
        <f t="shared" si="33"/>
        <v>0</v>
      </c>
      <c r="U80" s="67">
        <f t="shared" si="34"/>
        <v>0</v>
      </c>
      <c r="V80" s="68">
        <f t="shared" si="35"/>
        <v>2.3000000000000104E-3</v>
      </c>
    </row>
    <row r="81" spans="1:22">
      <c r="A81" s="161">
        <v>70</v>
      </c>
      <c r="B81" s="162" t="s">
        <v>131</v>
      </c>
      <c r="C81" s="163" t="s">
        <v>76</v>
      </c>
      <c r="D81" s="38">
        <v>676890531.95000005</v>
      </c>
      <c r="E81" s="39">
        <f t="shared" si="36"/>
        <v>3.412231552830128E-3</v>
      </c>
      <c r="F81" s="71">
        <v>1.1409</v>
      </c>
      <c r="G81" s="71">
        <v>1.1409</v>
      </c>
      <c r="H81" s="41">
        <v>45</v>
      </c>
      <c r="I81" s="60">
        <v>1.8E-3</v>
      </c>
      <c r="J81" s="60">
        <v>0.1</v>
      </c>
      <c r="K81" s="38">
        <v>679076433.61000001</v>
      </c>
      <c r="L81" s="39">
        <f t="shared" si="30"/>
        <v>3.4593870464049389E-3</v>
      </c>
      <c r="M81" s="71">
        <v>1.1435</v>
      </c>
      <c r="N81" s="71">
        <v>1.1435</v>
      </c>
      <c r="O81" s="41">
        <v>45</v>
      </c>
      <c r="P81" s="60">
        <v>1.6000000000000001E-3</v>
      </c>
      <c r="Q81" s="60">
        <v>0.1004</v>
      </c>
      <c r="R81" s="66">
        <f t="shared" si="31"/>
        <v>3.2293281658154925E-3</v>
      </c>
      <c r="S81" s="66">
        <f t="shared" si="32"/>
        <v>2.2789026207379573E-3</v>
      </c>
      <c r="T81" s="66">
        <f t="shared" si="33"/>
        <v>0</v>
      </c>
      <c r="U81" s="67">
        <f t="shared" si="34"/>
        <v>-1.9999999999999987E-4</v>
      </c>
      <c r="V81" s="68">
        <f t="shared" si="35"/>
        <v>3.9999999999999758E-4</v>
      </c>
    </row>
    <row r="82" spans="1:22">
      <c r="A82" s="161">
        <v>71</v>
      </c>
      <c r="B82" s="162" t="s">
        <v>132</v>
      </c>
      <c r="C82" s="163" t="s">
        <v>31</v>
      </c>
      <c r="D82" s="38">
        <v>13776687595.549999</v>
      </c>
      <c r="E82" s="39">
        <f t="shared" si="36"/>
        <v>6.944881910461051E-2</v>
      </c>
      <c r="F82" s="71">
        <v>1690.41</v>
      </c>
      <c r="G82" s="71">
        <v>1690.41</v>
      </c>
      <c r="H82" s="41">
        <v>2197</v>
      </c>
      <c r="I82" s="60">
        <v>6.9999999999999999E-4</v>
      </c>
      <c r="J82" s="60">
        <v>9.2399999999999996E-2</v>
      </c>
      <c r="K82" s="38">
        <v>13775405314.530001</v>
      </c>
      <c r="L82" s="39">
        <f t="shared" si="30"/>
        <v>7.0175397562730391E-2</v>
      </c>
      <c r="M82" s="71">
        <v>1692.04</v>
      </c>
      <c r="N82" s="71">
        <v>1692.04</v>
      </c>
      <c r="O82" s="41">
        <v>2187</v>
      </c>
      <c r="P82" s="60">
        <v>1E-3</v>
      </c>
      <c r="Q82" s="60">
        <v>9.35E-2</v>
      </c>
      <c r="R82" s="66">
        <f t="shared" si="31"/>
        <v>-9.3076148464943005E-5</v>
      </c>
      <c r="S82" s="66">
        <f t="shared" si="32"/>
        <v>9.6426310776668482E-4</v>
      </c>
      <c r="T82" s="66">
        <f t="shared" si="33"/>
        <v>-4.5516613563950838E-3</v>
      </c>
      <c r="U82" s="67">
        <f t="shared" si="34"/>
        <v>3.0000000000000003E-4</v>
      </c>
      <c r="V82" s="68">
        <f t="shared" si="35"/>
        <v>1.1000000000000038E-3</v>
      </c>
    </row>
    <row r="83" spans="1:22">
      <c r="A83" s="161">
        <v>72</v>
      </c>
      <c r="B83" s="162" t="s">
        <v>133</v>
      </c>
      <c r="C83" s="163" t="s">
        <v>81</v>
      </c>
      <c r="D83" s="38">
        <v>23420527.59</v>
      </c>
      <c r="E83" s="39">
        <f t="shared" si="36"/>
        <v>1.1806379237762738E-4</v>
      </c>
      <c r="F83" s="70">
        <v>0.71430000000000005</v>
      </c>
      <c r="G83" s="70">
        <v>0.71430000000000005</v>
      </c>
      <c r="H83" s="41">
        <v>746</v>
      </c>
      <c r="I83" s="60">
        <v>2.2449838641785407E-3</v>
      </c>
      <c r="J83" s="60">
        <v>-6.5541601255886872E-2</v>
      </c>
      <c r="K83" s="38">
        <v>23434958.329999998</v>
      </c>
      <c r="L83" s="39">
        <f t="shared" si="30"/>
        <v>1.1938360288674238E-4</v>
      </c>
      <c r="M83" s="70">
        <v>0.7147</v>
      </c>
      <c r="N83" s="70">
        <v>0.7147</v>
      </c>
      <c r="O83" s="41">
        <v>746</v>
      </c>
      <c r="P83" s="60">
        <v>2.0999999999999999E-3</v>
      </c>
      <c r="Q83" s="60">
        <v>-6.5000000000000002E-2</v>
      </c>
      <c r="R83" s="66">
        <f t="shared" si="31"/>
        <v>6.1615776777633046E-4</v>
      </c>
      <c r="S83" s="66">
        <f t="shared" si="32"/>
        <v>5.5998880022393386E-4</v>
      </c>
      <c r="T83" s="66">
        <f t="shared" si="33"/>
        <v>0</v>
      </c>
      <c r="U83" s="67">
        <f t="shared" si="34"/>
        <v>-1.449838641785408E-4</v>
      </c>
      <c r="V83" s="68">
        <f t="shared" si="35"/>
        <v>5.4160125588686991E-4</v>
      </c>
    </row>
    <row r="84" spans="1:22">
      <c r="A84" s="161">
        <v>73</v>
      </c>
      <c r="B84" s="162" t="s">
        <v>134</v>
      </c>
      <c r="C84" s="163" t="s">
        <v>37</v>
      </c>
      <c r="D84" s="38">
        <v>10658889338.77</v>
      </c>
      <c r="E84" s="39">
        <f t="shared" si="36"/>
        <v>5.3731876578474946E-2</v>
      </c>
      <c r="F84" s="70">
        <v>1</v>
      </c>
      <c r="G84" s="70">
        <v>1</v>
      </c>
      <c r="H84" s="41">
        <v>5249</v>
      </c>
      <c r="I84" s="60">
        <v>0.06</v>
      </c>
      <c r="J84" s="60">
        <v>0.06</v>
      </c>
      <c r="K84" s="38">
        <v>10676087483.67</v>
      </c>
      <c r="L84" s="39">
        <f t="shared" si="30"/>
        <v>5.4386688919475457E-2</v>
      </c>
      <c r="M84" s="70">
        <v>1</v>
      </c>
      <c r="N84" s="70">
        <v>1</v>
      </c>
      <c r="O84" s="41">
        <v>5249</v>
      </c>
      <c r="P84" s="60">
        <v>0.06</v>
      </c>
      <c r="Q84" s="60">
        <v>0.06</v>
      </c>
      <c r="R84" s="66">
        <f t="shared" si="31"/>
        <v>1.6135025285837358E-3</v>
      </c>
      <c r="S84" s="66">
        <f t="shared" si="32"/>
        <v>0</v>
      </c>
      <c r="T84" s="66">
        <f t="shared" si="33"/>
        <v>0</v>
      </c>
      <c r="U84" s="67">
        <f t="shared" si="34"/>
        <v>0</v>
      </c>
      <c r="V84" s="68">
        <f t="shared" si="35"/>
        <v>0</v>
      </c>
    </row>
    <row r="85" spans="1:22">
      <c r="A85" s="161">
        <v>74</v>
      </c>
      <c r="B85" s="162" t="s">
        <v>135</v>
      </c>
      <c r="C85" s="163" t="s">
        <v>136</v>
      </c>
      <c r="D85" s="38">
        <v>1114284939.04</v>
      </c>
      <c r="E85" s="39">
        <f t="shared" si="36"/>
        <v>5.6171538060699909E-3</v>
      </c>
      <c r="F85" s="38">
        <v>238.67</v>
      </c>
      <c r="G85" s="38">
        <v>241.45</v>
      </c>
      <c r="H85" s="41">
        <v>491</v>
      </c>
      <c r="I85" s="60">
        <v>1.5E-3</v>
      </c>
      <c r="J85" s="60">
        <v>0.17949999999999999</v>
      </c>
      <c r="K85" s="38">
        <v>1116549955.21</v>
      </c>
      <c r="L85" s="39">
        <f t="shared" si="30"/>
        <v>5.6879877736057674E-3</v>
      </c>
      <c r="M85" s="38">
        <v>239.04</v>
      </c>
      <c r="N85" s="38">
        <v>241.87</v>
      </c>
      <c r="O85" s="41">
        <v>491</v>
      </c>
      <c r="P85" s="60">
        <v>1.5E-3</v>
      </c>
      <c r="Q85" s="60">
        <v>0.17949999999999999</v>
      </c>
      <c r="R85" s="66">
        <f t="shared" si="31"/>
        <v>2.0327082334537128E-3</v>
      </c>
      <c r="S85" s="66">
        <f t="shared" si="32"/>
        <v>1.7394905777594364E-3</v>
      </c>
      <c r="T85" s="66">
        <f t="shared" si="33"/>
        <v>0</v>
      </c>
      <c r="U85" s="67">
        <f t="shared" si="34"/>
        <v>0</v>
      </c>
      <c r="V85" s="68">
        <f t="shared" si="35"/>
        <v>0</v>
      </c>
    </row>
    <row r="86" spans="1:22">
      <c r="A86" s="161">
        <v>75</v>
      </c>
      <c r="B86" s="162" t="s">
        <v>137</v>
      </c>
      <c r="C86" s="163" t="s">
        <v>41</v>
      </c>
      <c r="D86" s="38">
        <v>1082412922.7</v>
      </c>
      <c r="E86" s="39">
        <f t="shared" si="36"/>
        <v>5.4564857295135612E-3</v>
      </c>
      <c r="F86" s="70">
        <v>3.61</v>
      </c>
      <c r="G86" s="70">
        <v>3.61</v>
      </c>
      <c r="H86" s="56">
        <v>770</v>
      </c>
      <c r="I86" s="63">
        <v>1.6999999999999999E-3</v>
      </c>
      <c r="J86" s="63">
        <v>9.2999999999999992E-3</v>
      </c>
      <c r="K86" s="38">
        <v>1085453655.3399999</v>
      </c>
      <c r="L86" s="39">
        <f t="shared" si="30"/>
        <v>5.5295753598668118E-3</v>
      </c>
      <c r="M86" s="70">
        <v>3.62</v>
      </c>
      <c r="N86" s="70">
        <v>3.62</v>
      </c>
      <c r="O86" s="56">
        <v>770</v>
      </c>
      <c r="P86" s="63">
        <v>1.9E-3</v>
      </c>
      <c r="Q86" s="63">
        <v>1.0999999999999999E-2</v>
      </c>
      <c r="R86" s="66">
        <f t="shared" si="31"/>
        <v>2.8092168674547797E-3</v>
      </c>
      <c r="S86" s="66">
        <f t="shared" si="32"/>
        <v>2.770083102493139E-3</v>
      </c>
      <c r="T86" s="66">
        <f t="shared" si="33"/>
        <v>0</v>
      </c>
      <c r="U86" s="67">
        <f t="shared" si="34"/>
        <v>2.0000000000000009E-4</v>
      </c>
      <c r="V86" s="68">
        <f t="shared" si="35"/>
        <v>1.7000000000000001E-3</v>
      </c>
    </row>
    <row r="87" spans="1:22">
      <c r="A87" s="161">
        <v>76</v>
      </c>
      <c r="B87" s="162" t="s">
        <v>138</v>
      </c>
      <c r="C87" s="163" t="s">
        <v>43</v>
      </c>
      <c r="D87" s="38">
        <v>556771870.92999995</v>
      </c>
      <c r="E87" s="39">
        <f t="shared" si="36"/>
        <v>2.8067087010990202E-3</v>
      </c>
      <c r="F87" s="70">
        <v>111.16</v>
      </c>
      <c r="G87" s="70">
        <v>111.16</v>
      </c>
      <c r="H87" s="56">
        <v>59</v>
      </c>
      <c r="I87" s="63">
        <v>0.14729999999999999</v>
      </c>
      <c r="J87" s="63">
        <v>0.17069999999999999</v>
      </c>
      <c r="K87" s="38">
        <v>558320534.13999999</v>
      </c>
      <c r="L87" s="39">
        <f t="shared" si="30"/>
        <v>2.8442259633104138E-3</v>
      </c>
      <c r="M87" s="70">
        <v>111.38</v>
      </c>
      <c r="N87" s="70">
        <v>111.38</v>
      </c>
      <c r="O87" s="56">
        <v>59</v>
      </c>
      <c r="P87" s="63">
        <v>0.1467</v>
      </c>
      <c r="Q87" s="63">
        <v>0.1701</v>
      </c>
      <c r="R87" s="66">
        <f t="shared" si="31"/>
        <v>2.781504042963305E-3</v>
      </c>
      <c r="S87" s="66">
        <f t="shared" si="32"/>
        <v>1.9791291831593996E-3</v>
      </c>
      <c r="T87" s="66">
        <f t="shared" si="33"/>
        <v>0</v>
      </c>
      <c r="U87" s="67">
        <f t="shared" si="34"/>
        <v>-5.9999999999998943E-4</v>
      </c>
      <c r="V87" s="68">
        <f t="shared" si="35"/>
        <v>-5.9999999999998943E-4</v>
      </c>
    </row>
    <row r="88" spans="1:22">
      <c r="A88" s="161">
        <v>77</v>
      </c>
      <c r="B88" s="163" t="s">
        <v>139</v>
      </c>
      <c r="C88" s="169" t="s">
        <v>47</v>
      </c>
      <c r="D88" s="38">
        <v>1384470141.22</v>
      </c>
      <c r="E88" s="39">
        <f t="shared" si="36"/>
        <v>6.9791679405127585E-3</v>
      </c>
      <c r="F88" s="70">
        <v>100.68</v>
      </c>
      <c r="G88" s="70">
        <v>100.68</v>
      </c>
      <c r="H88" s="41">
        <v>289</v>
      </c>
      <c r="I88" s="60">
        <v>-1.47E-2</v>
      </c>
      <c r="J88" s="60">
        <v>8.9099999999999999E-2</v>
      </c>
      <c r="K88" s="38">
        <v>1389461275.5899999</v>
      </c>
      <c r="L88" s="39">
        <f t="shared" si="30"/>
        <v>7.0782670408760682E-3</v>
      </c>
      <c r="M88" s="70">
        <v>101</v>
      </c>
      <c r="N88" s="70">
        <v>101</v>
      </c>
      <c r="O88" s="41">
        <v>289</v>
      </c>
      <c r="P88" s="60">
        <v>3.2000000000000002E-3</v>
      </c>
      <c r="Q88" s="60">
        <v>9.2299999999999993E-2</v>
      </c>
      <c r="R88" s="66">
        <f t="shared" si="31"/>
        <v>3.605086322484124E-3</v>
      </c>
      <c r="S88" s="66">
        <f t="shared" si="32"/>
        <v>3.1783869686133606E-3</v>
      </c>
      <c r="T88" s="66">
        <f t="shared" si="33"/>
        <v>0</v>
      </c>
      <c r="U88" s="67">
        <f t="shared" si="34"/>
        <v>1.7899999999999999E-2</v>
      </c>
      <c r="V88" s="68">
        <f t="shared" si="35"/>
        <v>3.1999999999999945E-3</v>
      </c>
    </row>
    <row r="89" spans="1:22">
      <c r="A89" s="161">
        <v>78</v>
      </c>
      <c r="B89" s="162" t="s">
        <v>140</v>
      </c>
      <c r="C89" s="163" t="s">
        <v>19</v>
      </c>
      <c r="D89" s="38">
        <v>1349345282.23</v>
      </c>
      <c r="E89" s="39">
        <f t="shared" si="36"/>
        <v>6.802102157380723E-3</v>
      </c>
      <c r="F89" s="70">
        <v>353.1739</v>
      </c>
      <c r="G89" s="70">
        <v>353.1739</v>
      </c>
      <c r="H89" s="41">
        <v>105</v>
      </c>
      <c r="I89" s="60">
        <v>2.5000000000000001E-3</v>
      </c>
      <c r="J89" s="60">
        <v>0.1133</v>
      </c>
      <c r="K89" s="38">
        <v>1352874898.54</v>
      </c>
      <c r="L89" s="39">
        <f t="shared" si="30"/>
        <v>6.8918867859041446E-3</v>
      </c>
      <c r="M89" s="70">
        <v>354.09769999999997</v>
      </c>
      <c r="N89" s="70">
        <v>354.09769999999997</v>
      </c>
      <c r="O89" s="41">
        <v>105</v>
      </c>
      <c r="P89" s="60">
        <v>2.5999999999999999E-3</v>
      </c>
      <c r="Q89" s="60">
        <v>0.11600000000000001</v>
      </c>
      <c r="R89" s="66">
        <f t="shared" si="31"/>
        <v>2.6157992001622525E-3</v>
      </c>
      <c r="S89" s="66">
        <f t="shared" si="32"/>
        <v>2.6157085786916064E-3</v>
      </c>
      <c r="T89" s="66">
        <f t="shared" si="33"/>
        <v>0</v>
      </c>
      <c r="U89" s="67">
        <f t="shared" si="34"/>
        <v>9.9999999999999829E-5</v>
      </c>
      <c r="V89" s="68">
        <f t="shared" si="35"/>
        <v>2.7000000000000079E-3</v>
      </c>
    </row>
    <row r="90" spans="1:22">
      <c r="A90" s="161">
        <v>79</v>
      </c>
      <c r="B90" s="162" t="s">
        <v>141</v>
      </c>
      <c r="C90" s="163" t="s">
        <v>90</v>
      </c>
      <c r="D90" s="54">
        <v>1432496164.9200001</v>
      </c>
      <c r="E90" s="39">
        <f>(D90/$K$65)</f>
        <v>8.5227556775519626E-4</v>
      </c>
      <c r="F90" s="70">
        <v>103.87</v>
      </c>
      <c r="G90" s="70">
        <v>103.87</v>
      </c>
      <c r="H90" s="41">
        <v>381</v>
      </c>
      <c r="I90" s="60">
        <v>2.5000000000000001E-3</v>
      </c>
      <c r="J90" s="60">
        <v>0.13800000000000001</v>
      </c>
      <c r="K90" s="54">
        <v>1437101537.53</v>
      </c>
      <c r="L90" s="39">
        <f>(K90/$K$65)</f>
        <v>8.5501557268647028E-4</v>
      </c>
      <c r="M90" s="70">
        <v>104.15</v>
      </c>
      <c r="N90" s="70">
        <v>104.15</v>
      </c>
      <c r="O90" s="41">
        <v>383</v>
      </c>
      <c r="P90" s="60">
        <v>2.7000000000000001E-3</v>
      </c>
      <c r="Q90" s="60">
        <v>0.1381</v>
      </c>
      <c r="R90" s="66">
        <f t="shared" si="31"/>
        <v>3.2149284045427718E-3</v>
      </c>
      <c r="S90" s="66">
        <f t="shared" si="32"/>
        <v>2.6956772889188516E-3</v>
      </c>
      <c r="T90" s="66">
        <f t="shared" si="33"/>
        <v>5.2493438320209973E-3</v>
      </c>
      <c r="U90" s="67">
        <f t="shared" si="34"/>
        <v>2.0000000000000009E-4</v>
      </c>
      <c r="V90" s="68">
        <f t="shared" si="35"/>
        <v>9.9999999999988987E-5</v>
      </c>
    </row>
    <row r="91" spans="1:22">
      <c r="A91" s="161">
        <v>80</v>
      </c>
      <c r="B91" s="162" t="s">
        <v>142</v>
      </c>
      <c r="C91" s="163" t="s">
        <v>45</v>
      </c>
      <c r="D91" s="38">
        <v>57948043.350000001</v>
      </c>
      <c r="E91" s="39">
        <f t="shared" ref="E91:E103" si="37">(D91/$D$104)</f>
        <v>2.9211834500625573E-4</v>
      </c>
      <c r="F91" s="38">
        <v>12.04</v>
      </c>
      <c r="G91" s="38">
        <v>12.36</v>
      </c>
      <c r="H91" s="41">
        <v>56</v>
      </c>
      <c r="I91" s="60">
        <v>-5.9999999999999995E-4</v>
      </c>
      <c r="J91" s="60">
        <v>4.4000000000000003E-3</v>
      </c>
      <c r="K91" s="38">
        <v>58071475.57</v>
      </c>
      <c r="L91" s="39">
        <f t="shared" ref="L91:L103" si="38">(K91/$K$104)</f>
        <v>2.9583077899571593E-4</v>
      </c>
      <c r="M91" s="38">
        <v>12.070304</v>
      </c>
      <c r="N91" s="38">
        <v>12.395547000000001</v>
      </c>
      <c r="O91" s="41">
        <v>56</v>
      </c>
      <c r="P91" s="60">
        <v>0</v>
      </c>
      <c r="Q91" s="60">
        <v>4.4000000000000003E-3</v>
      </c>
      <c r="R91" s="66">
        <f t="shared" si="31"/>
        <v>2.130049831958628E-3</v>
      </c>
      <c r="S91" s="66">
        <f t="shared" si="32"/>
        <v>2.8759708737864974E-3</v>
      </c>
      <c r="T91" s="66">
        <f t="shared" si="33"/>
        <v>0</v>
      </c>
      <c r="U91" s="67">
        <f t="shared" si="34"/>
        <v>5.9999999999999995E-4</v>
      </c>
      <c r="V91" s="68">
        <f t="shared" si="35"/>
        <v>0</v>
      </c>
    </row>
    <row r="92" spans="1:22">
      <c r="A92" s="161">
        <v>81</v>
      </c>
      <c r="B92" s="162" t="s">
        <v>143</v>
      </c>
      <c r="C92" s="163" t="s">
        <v>144</v>
      </c>
      <c r="D92" s="38">
        <v>428261311.13999999</v>
      </c>
      <c r="E92" s="39">
        <f t="shared" si="37"/>
        <v>2.1588819606007618E-3</v>
      </c>
      <c r="F92" s="38">
        <v>130.41</v>
      </c>
      <c r="G92" s="38">
        <v>130.41</v>
      </c>
      <c r="H92" s="41">
        <v>114</v>
      </c>
      <c r="I92" s="60">
        <v>0.18459999999999999</v>
      </c>
      <c r="J92" s="60">
        <v>0.17130000000000001</v>
      </c>
      <c r="K92" s="38">
        <v>505942667.69999999</v>
      </c>
      <c r="L92" s="39">
        <f t="shared" si="38"/>
        <v>2.5773998687607593E-3</v>
      </c>
      <c r="M92" s="38">
        <v>130.83000000000001</v>
      </c>
      <c r="N92" s="38">
        <v>130.83000000000001</v>
      </c>
      <c r="O92" s="41">
        <v>107</v>
      </c>
      <c r="P92" s="60">
        <v>0.18609999999999999</v>
      </c>
      <c r="Q92" s="60">
        <v>0.17150000000000001</v>
      </c>
      <c r="R92" s="66">
        <f t="shared" si="31"/>
        <v>0.18138775214884101</v>
      </c>
      <c r="S92" s="66">
        <f t="shared" si="32"/>
        <v>3.2206119162642125E-3</v>
      </c>
      <c r="T92" s="66">
        <f t="shared" si="33"/>
        <v>-6.1403508771929821E-2</v>
      </c>
      <c r="U92" s="67">
        <f t="shared" si="34"/>
        <v>1.5000000000000013E-3</v>
      </c>
      <c r="V92" s="68">
        <f t="shared" si="35"/>
        <v>2.0000000000000573E-4</v>
      </c>
    </row>
    <row r="93" spans="1:22">
      <c r="A93" s="161">
        <v>82</v>
      </c>
      <c r="B93" s="162" t="s">
        <v>145</v>
      </c>
      <c r="C93" s="163" t="s">
        <v>146</v>
      </c>
      <c r="D93" s="38">
        <v>7486470230.8880625</v>
      </c>
      <c r="E93" s="39">
        <f t="shared" si="37"/>
        <v>3.7739588213130275E-2</v>
      </c>
      <c r="F93" s="38">
        <v>1.1217915875915969</v>
      </c>
      <c r="G93" s="38">
        <v>1.1217915875915969</v>
      </c>
      <c r="H93" s="41">
        <v>4417</v>
      </c>
      <c r="I93" s="60">
        <v>0.1903</v>
      </c>
      <c r="J93" s="60">
        <v>0.1903</v>
      </c>
      <c r="K93" s="38">
        <v>7638379894.5317259</v>
      </c>
      <c r="L93" s="39">
        <f t="shared" si="38"/>
        <v>3.8911838424713456E-2</v>
      </c>
      <c r="M93" s="38">
        <v>1.1231618262562144</v>
      </c>
      <c r="N93" s="38">
        <v>1.1231618262562144</v>
      </c>
      <c r="O93" s="41">
        <v>4430</v>
      </c>
      <c r="P93" s="60">
        <v>0.19040000000000001</v>
      </c>
      <c r="Q93" s="60">
        <v>0.19040000000000001</v>
      </c>
      <c r="R93" s="66">
        <f t="shared" si="31"/>
        <v>2.0291226567215447E-2</v>
      </c>
      <c r="S93" s="66">
        <f t="shared" si="32"/>
        <v>1.2214734713417634E-3</v>
      </c>
      <c r="T93" s="66">
        <f t="shared" si="33"/>
        <v>2.9431741000679195E-3</v>
      </c>
      <c r="U93" s="67">
        <f t="shared" si="34"/>
        <v>1.0000000000001674E-4</v>
      </c>
      <c r="V93" s="68">
        <f t="shared" si="35"/>
        <v>1.0000000000001674E-4</v>
      </c>
    </row>
    <row r="94" spans="1:22" ht="14.25" customHeight="1">
      <c r="A94" s="161">
        <v>83</v>
      </c>
      <c r="B94" s="162" t="s">
        <v>147</v>
      </c>
      <c r="C94" s="163" t="s">
        <v>49</v>
      </c>
      <c r="D94" s="38">
        <v>9553704603.9699993</v>
      </c>
      <c r="E94" s="39">
        <f t="shared" si="37"/>
        <v>4.8160597256652012E-2</v>
      </c>
      <c r="F94" s="38">
        <v>5167.09</v>
      </c>
      <c r="G94" s="38">
        <v>5167.09</v>
      </c>
      <c r="H94" s="41">
        <v>289</v>
      </c>
      <c r="I94" s="60">
        <v>0</v>
      </c>
      <c r="J94" s="60">
        <v>3.1E-2</v>
      </c>
      <c r="K94" s="38">
        <v>9554038830.0699997</v>
      </c>
      <c r="L94" s="39">
        <f t="shared" si="38"/>
        <v>4.8670689386013245E-2</v>
      </c>
      <c r="M94" s="38">
        <v>5167.2700000000004</v>
      </c>
      <c r="N94" s="38">
        <v>5167.2700000000004</v>
      </c>
      <c r="O94" s="41">
        <v>289</v>
      </c>
      <c r="P94" s="60">
        <v>0</v>
      </c>
      <c r="Q94" s="60">
        <v>3.1E-2</v>
      </c>
      <c r="R94" s="66">
        <f t="shared" si="31"/>
        <v>3.498392653479105E-5</v>
      </c>
      <c r="S94" s="66">
        <f t="shared" si="32"/>
        <v>3.4835855384808674E-5</v>
      </c>
      <c r="T94" s="66">
        <f t="shared" si="33"/>
        <v>0</v>
      </c>
      <c r="U94" s="67">
        <f t="shared" si="34"/>
        <v>0</v>
      </c>
      <c r="V94" s="68">
        <f t="shared" si="35"/>
        <v>0</v>
      </c>
    </row>
    <row r="95" spans="1:22" ht="13.5" customHeight="1">
      <c r="A95" s="161">
        <v>84</v>
      </c>
      <c r="B95" s="162" t="s">
        <v>148</v>
      </c>
      <c r="C95" s="163" t="s">
        <v>49</v>
      </c>
      <c r="D95" s="38">
        <v>24154915717.830002</v>
      </c>
      <c r="E95" s="39">
        <f t="shared" si="37"/>
        <v>0.12176587155221168</v>
      </c>
      <c r="F95" s="70">
        <v>258.5</v>
      </c>
      <c r="G95" s="70">
        <v>258.5</v>
      </c>
      <c r="H95" s="41">
        <v>6356</v>
      </c>
      <c r="I95" s="60">
        <v>0</v>
      </c>
      <c r="J95" s="60">
        <v>1.0500000000000001E-2</v>
      </c>
      <c r="K95" s="38">
        <v>21573277658.380001</v>
      </c>
      <c r="L95" s="39">
        <f t="shared" si="38"/>
        <v>0.10989973084938144</v>
      </c>
      <c r="M95" s="70">
        <v>258.64</v>
      </c>
      <c r="N95" s="70">
        <v>258.64</v>
      </c>
      <c r="O95" s="41">
        <v>6346</v>
      </c>
      <c r="P95" s="60">
        <v>5.0000000000000001E-4</v>
      </c>
      <c r="Q95" s="60">
        <v>1.11E-2</v>
      </c>
      <c r="R95" s="66">
        <f t="shared" si="31"/>
        <v>-0.10687837165767294</v>
      </c>
      <c r="S95" s="66">
        <f t="shared" si="32"/>
        <v>5.4158607350091438E-4</v>
      </c>
      <c r="T95" s="66">
        <f t="shared" si="33"/>
        <v>-1.5733165512901196E-3</v>
      </c>
      <c r="U95" s="67">
        <f t="shared" si="34"/>
        <v>5.0000000000000001E-4</v>
      </c>
      <c r="V95" s="68">
        <f t="shared" si="35"/>
        <v>5.9999999999999984E-4</v>
      </c>
    </row>
    <row r="96" spans="1:22" ht="13.5" customHeight="1">
      <c r="A96" s="161">
        <v>85</v>
      </c>
      <c r="B96" s="162" t="s">
        <v>149</v>
      </c>
      <c r="C96" s="163" t="s">
        <v>49</v>
      </c>
      <c r="D96" s="38">
        <v>385977040.13999999</v>
      </c>
      <c r="E96" s="39">
        <f t="shared" si="37"/>
        <v>1.9457253024939268E-3</v>
      </c>
      <c r="F96" s="44">
        <v>6677.16</v>
      </c>
      <c r="G96" s="44">
        <v>6705.32</v>
      </c>
      <c r="H96" s="41">
        <v>15</v>
      </c>
      <c r="I96" s="60">
        <v>1.09E-2</v>
      </c>
      <c r="J96" s="60">
        <v>0.26300000000000001</v>
      </c>
      <c r="K96" s="38">
        <v>389978594.61000001</v>
      </c>
      <c r="L96" s="39">
        <f t="shared" si="38"/>
        <v>1.9866495607824765E-3</v>
      </c>
      <c r="M96" s="44">
        <v>6746.1</v>
      </c>
      <c r="N96" s="44">
        <v>6775.03</v>
      </c>
      <c r="O96" s="41">
        <v>15</v>
      </c>
      <c r="P96" s="60">
        <v>1.04E-2</v>
      </c>
      <c r="Q96" s="60">
        <v>0.27610000000000001</v>
      </c>
      <c r="R96" s="66">
        <f t="shared" si="31"/>
        <v>1.0367338089717983E-2</v>
      </c>
      <c r="S96" s="66">
        <f t="shared" si="32"/>
        <v>1.0396222700780878E-2</v>
      </c>
      <c r="T96" s="66">
        <f t="shared" si="33"/>
        <v>0</v>
      </c>
      <c r="U96" s="67">
        <f t="shared" si="34"/>
        <v>-5.0000000000000044E-4</v>
      </c>
      <c r="V96" s="68">
        <f t="shared" si="35"/>
        <v>1.3100000000000001E-2</v>
      </c>
    </row>
    <row r="97" spans="1:28" ht="15" customHeight="1">
      <c r="A97" s="161">
        <v>86</v>
      </c>
      <c r="B97" s="162" t="s">
        <v>150</v>
      </c>
      <c r="C97" s="163" t="s">
        <v>49</v>
      </c>
      <c r="D97" s="38">
        <v>7824608728.9499998</v>
      </c>
      <c r="E97" s="39">
        <f t="shared" si="37"/>
        <v>3.9444157560539553E-2</v>
      </c>
      <c r="F97" s="70">
        <v>137.19999999999999</v>
      </c>
      <c r="G97" s="70">
        <v>137.19999999999999</v>
      </c>
      <c r="H97" s="41">
        <v>4455</v>
      </c>
      <c r="I97" s="60">
        <v>1.9E-3</v>
      </c>
      <c r="J97" s="60">
        <v>8.9599999999999999E-2</v>
      </c>
      <c r="K97" s="38">
        <v>7855434737.1499996</v>
      </c>
      <c r="L97" s="39">
        <f t="shared" si="38"/>
        <v>4.0017570671850099E-2</v>
      </c>
      <c r="M97" s="70">
        <v>137.63</v>
      </c>
      <c r="N97" s="70">
        <v>137.63</v>
      </c>
      <c r="O97" s="41">
        <v>4454</v>
      </c>
      <c r="P97" s="60">
        <v>3.0999999999999999E-3</v>
      </c>
      <c r="Q97" s="60">
        <v>9.2999999999999999E-2</v>
      </c>
      <c r="R97" s="66">
        <f t="shared" si="31"/>
        <v>3.9396229597970468E-3</v>
      </c>
      <c r="S97" s="66">
        <f t="shared" si="32"/>
        <v>3.1341107871720618E-3</v>
      </c>
      <c r="T97" s="66">
        <f t="shared" si="33"/>
        <v>-2.244668911335578E-4</v>
      </c>
      <c r="U97" s="67">
        <f t="shared" si="34"/>
        <v>1.1999999999999999E-3</v>
      </c>
      <c r="V97" s="68">
        <f t="shared" si="35"/>
        <v>3.4000000000000002E-3</v>
      </c>
    </row>
    <row r="98" spans="1:28" ht="15" customHeight="1">
      <c r="A98" s="161">
        <v>87</v>
      </c>
      <c r="B98" s="162" t="s">
        <v>151</v>
      </c>
      <c r="C98" s="163" t="s">
        <v>49</v>
      </c>
      <c r="D98" s="38">
        <v>7800003337.54</v>
      </c>
      <c r="E98" s="39">
        <f t="shared" si="37"/>
        <v>3.9320120823466177E-2</v>
      </c>
      <c r="F98" s="70">
        <v>355.35</v>
      </c>
      <c r="G98" s="70">
        <v>355.92</v>
      </c>
      <c r="H98" s="41">
        <v>10179</v>
      </c>
      <c r="I98" s="60">
        <v>-2.0000000000000001E-4</v>
      </c>
      <c r="J98" s="60">
        <v>7.3000000000000001E-3</v>
      </c>
      <c r="K98" s="38">
        <v>7816606103.1099997</v>
      </c>
      <c r="L98" s="39">
        <f t="shared" si="38"/>
        <v>3.9819767792852359E-2</v>
      </c>
      <c r="M98" s="70">
        <v>354.33</v>
      </c>
      <c r="N98" s="70">
        <v>354.9</v>
      </c>
      <c r="O98" s="41">
        <v>10184</v>
      </c>
      <c r="P98" s="60">
        <v>-2.8999999999999998E-3</v>
      </c>
      <c r="Q98" s="60">
        <v>4.4000000000000003E-3</v>
      </c>
      <c r="R98" s="66">
        <f t="shared" si="31"/>
        <v>2.1285587776730297E-3</v>
      </c>
      <c r="S98" s="66">
        <f t="shared" si="32"/>
        <v>-2.8658125421444107E-3</v>
      </c>
      <c r="T98" s="66">
        <f t="shared" si="33"/>
        <v>4.9120738775911194E-4</v>
      </c>
      <c r="U98" s="67">
        <f t="shared" si="34"/>
        <v>-2.6999999999999997E-3</v>
      </c>
      <c r="V98" s="68">
        <f t="shared" si="35"/>
        <v>-2.8999999999999998E-3</v>
      </c>
    </row>
    <row r="99" spans="1:28">
      <c r="A99" s="161">
        <v>88</v>
      </c>
      <c r="B99" s="162" t="s">
        <v>152</v>
      </c>
      <c r="C99" s="163" t="s">
        <v>52</v>
      </c>
      <c r="D99" s="38">
        <v>87689512296.5</v>
      </c>
      <c r="E99" s="39">
        <f t="shared" si="37"/>
        <v>0.4420462491156622</v>
      </c>
      <c r="F99" s="38">
        <v>1.9587000000000001</v>
      </c>
      <c r="G99" s="38">
        <v>1.9587000000000001</v>
      </c>
      <c r="H99" s="41">
        <v>6374</v>
      </c>
      <c r="I99" s="60">
        <v>7.7399999999999997E-2</v>
      </c>
      <c r="J99" s="60">
        <v>6.2100000000000002E-2</v>
      </c>
      <c r="K99" s="38">
        <v>87826309920.860001</v>
      </c>
      <c r="L99" s="39">
        <f t="shared" si="38"/>
        <v>0.44740942821210955</v>
      </c>
      <c r="M99" s="38">
        <v>1.9615</v>
      </c>
      <c r="N99" s="38">
        <v>1.9615</v>
      </c>
      <c r="O99" s="41">
        <v>6374</v>
      </c>
      <c r="P99" s="60">
        <v>7.7299999999999994E-2</v>
      </c>
      <c r="Q99" s="60">
        <v>6.2300000000000001E-2</v>
      </c>
      <c r="R99" s="66">
        <f t="shared" si="31"/>
        <v>1.5600226387102473E-3</v>
      </c>
      <c r="S99" s="66">
        <f t="shared" si="32"/>
        <v>1.4295195793127653E-3</v>
      </c>
      <c r="T99" s="66">
        <f t="shared" si="33"/>
        <v>0</v>
      </c>
      <c r="U99" s="67">
        <f t="shared" si="34"/>
        <v>-1.0000000000000286E-4</v>
      </c>
      <c r="V99" s="68">
        <f t="shared" si="35"/>
        <v>1.9999999999999879E-4</v>
      </c>
    </row>
    <row r="100" spans="1:28">
      <c r="A100" s="161">
        <v>89</v>
      </c>
      <c r="B100" s="162" t="s">
        <v>153</v>
      </c>
      <c r="C100" s="163" t="s">
        <v>52</v>
      </c>
      <c r="D100" s="38">
        <v>8679491212.0300007</v>
      </c>
      <c r="E100" s="39">
        <f t="shared" si="37"/>
        <v>4.3753653476110758E-2</v>
      </c>
      <c r="F100" s="38">
        <v>108.0442</v>
      </c>
      <c r="G100" s="38">
        <v>108.0442</v>
      </c>
      <c r="H100" s="41">
        <v>179</v>
      </c>
      <c r="I100" s="60">
        <v>0.2306</v>
      </c>
      <c r="J100" s="60">
        <v>0.21829999999999999</v>
      </c>
      <c r="K100" s="38">
        <v>8803402272.7700005</v>
      </c>
      <c r="L100" s="39">
        <f t="shared" si="38"/>
        <v>4.4846756976700763E-2</v>
      </c>
      <c r="M100" s="38">
        <v>108.462</v>
      </c>
      <c r="N100" s="38">
        <v>108.462</v>
      </c>
      <c r="O100" s="41">
        <v>182</v>
      </c>
      <c r="P100" s="60">
        <v>0.22289999999999999</v>
      </c>
      <c r="Q100" s="60">
        <v>0.2185</v>
      </c>
      <c r="R100" s="66">
        <f t="shared" ref="R100:R102" si="39">((K100-D100)/D100)</f>
        <v>1.4276304648854972E-2</v>
      </c>
      <c r="S100" s="66">
        <f t="shared" ref="S100:S102" si="40">((N100-G100)/G100)</f>
        <v>3.8669359391804441E-3</v>
      </c>
      <c r="T100" s="66">
        <f t="shared" ref="T100:T102" si="41">((O100-H100)/H100)</f>
        <v>1.6759776536312849E-2</v>
      </c>
      <c r="U100" s="67">
        <f t="shared" ref="U100:U102" si="42">P100-I100</f>
        <v>-7.7000000000000124E-3</v>
      </c>
      <c r="V100" s="68">
        <f t="shared" ref="V100:V102" si="43">Q100-J100</f>
        <v>2.0000000000000573E-4</v>
      </c>
    </row>
    <row r="101" spans="1:28">
      <c r="A101" s="161">
        <v>90</v>
      </c>
      <c r="B101" s="162" t="s">
        <v>154</v>
      </c>
      <c r="C101" s="162" t="s">
        <v>155</v>
      </c>
      <c r="D101" s="38">
        <v>92250158.019999996</v>
      </c>
      <c r="E101" s="39">
        <f t="shared" si="37"/>
        <v>4.6503664195536582E-4</v>
      </c>
      <c r="F101" s="38">
        <v>110.02503726651952</v>
      </c>
      <c r="G101" s="38">
        <v>110.02503726651952</v>
      </c>
      <c r="H101" s="72">
        <v>56</v>
      </c>
      <c r="I101" s="73">
        <v>7.0345196446961493E-3</v>
      </c>
      <c r="J101" s="73">
        <v>8.2934253944620728E-2</v>
      </c>
      <c r="K101" s="38">
        <v>92467899.329999998</v>
      </c>
      <c r="L101" s="74">
        <f t="shared" si="38"/>
        <v>4.7105485821377998E-4</v>
      </c>
      <c r="M101" s="38">
        <v>110.24890042197303</v>
      </c>
      <c r="N101" s="38">
        <v>110.24890042197303</v>
      </c>
      <c r="O101" s="72">
        <v>56</v>
      </c>
      <c r="P101" s="73">
        <v>2.0346564837895849E-3</v>
      </c>
      <c r="Q101" s="73">
        <v>8.5137653145926917E-2</v>
      </c>
      <c r="R101" s="66">
        <f t="shared" si="39"/>
        <v>2.3603353606483327E-3</v>
      </c>
      <c r="S101" s="66">
        <f t="shared" si="40"/>
        <v>2.0346564837895849E-3</v>
      </c>
      <c r="T101" s="66">
        <f t="shared" si="41"/>
        <v>0</v>
      </c>
      <c r="U101" s="67">
        <f t="shared" si="42"/>
        <v>-4.9998631609065643E-3</v>
      </c>
      <c r="V101" s="68">
        <f t="shared" si="43"/>
        <v>2.2033992013061887E-3</v>
      </c>
    </row>
    <row r="102" spans="1:28">
      <c r="A102" s="161">
        <v>91</v>
      </c>
      <c r="B102" s="162" t="s">
        <v>156</v>
      </c>
      <c r="C102" s="163" t="s">
        <v>111</v>
      </c>
      <c r="D102" s="38">
        <v>254557438.25999999</v>
      </c>
      <c r="E102" s="39">
        <f t="shared" si="37"/>
        <v>1.2832339674423764E-3</v>
      </c>
      <c r="F102" s="38">
        <v>1.07</v>
      </c>
      <c r="G102" s="38">
        <v>1.07</v>
      </c>
      <c r="H102" s="41">
        <v>370</v>
      </c>
      <c r="I102" s="60">
        <v>1.6559999999999999E-3</v>
      </c>
      <c r="J102" s="60">
        <v>2.9909000000000002E-2</v>
      </c>
      <c r="K102" s="38">
        <v>255314439.28999999</v>
      </c>
      <c r="L102" s="39">
        <f t="shared" si="38"/>
        <v>1.3006363059084073E-3</v>
      </c>
      <c r="M102" s="38">
        <v>1.0745</v>
      </c>
      <c r="N102" s="38">
        <v>1.0745</v>
      </c>
      <c r="O102" s="41">
        <v>376</v>
      </c>
      <c r="P102" s="60">
        <v>7.7899999999999996E-4</v>
      </c>
      <c r="Q102" s="60">
        <v>3.2263E-2</v>
      </c>
      <c r="R102" s="66">
        <f t="shared" si="39"/>
        <v>2.9737926150357279E-3</v>
      </c>
      <c r="S102" s="66">
        <f t="shared" si="40"/>
        <v>4.2056074766354656E-3</v>
      </c>
      <c r="T102" s="66">
        <f t="shared" si="41"/>
        <v>1.6216216216216217E-2</v>
      </c>
      <c r="U102" s="67">
        <f t="shared" si="42"/>
        <v>-8.7699999999999996E-4</v>
      </c>
      <c r="V102" s="68">
        <f t="shared" si="43"/>
        <v>2.3539999999999985E-3</v>
      </c>
    </row>
    <row r="103" spans="1:28">
      <c r="A103" s="161">
        <v>92</v>
      </c>
      <c r="B103" s="162" t="s">
        <v>157</v>
      </c>
      <c r="C103" s="163" t="s">
        <v>113</v>
      </c>
      <c r="D103" s="38">
        <v>2094587152.6800001</v>
      </c>
      <c r="E103" s="39">
        <f t="shared" si="37"/>
        <v>1.0558895471528412E-2</v>
      </c>
      <c r="F103" s="70">
        <v>28.003699999999998</v>
      </c>
      <c r="G103" s="70">
        <v>28.003699999999998</v>
      </c>
      <c r="H103" s="41">
        <v>1295</v>
      </c>
      <c r="I103" s="60">
        <v>0.12189999999999999</v>
      </c>
      <c r="J103" s="60">
        <v>0.12189999999999999</v>
      </c>
      <c r="K103" s="38">
        <v>2095930394.96</v>
      </c>
      <c r="L103" s="39">
        <f t="shared" si="38"/>
        <v>1.0677199354344137E-2</v>
      </c>
      <c r="M103" s="70">
        <v>28.041899999999998</v>
      </c>
      <c r="N103" s="70">
        <v>28.041899999999998</v>
      </c>
      <c r="O103" s="41">
        <v>1295</v>
      </c>
      <c r="P103" s="60">
        <v>0.12130000000000001</v>
      </c>
      <c r="Q103" s="60">
        <v>0.12130000000000001</v>
      </c>
      <c r="R103" s="66">
        <f t="shared" si="31"/>
        <v>6.4129214116553153E-4</v>
      </c>
      <c r="S103" s="66">
        <f t="shared" si="32"/>
        <v>1.3641054574931096E-3</v>
      </c>
      <c r="T103" s="66">
        <f t="shared" si="33"/>
        <v>0</v>
      </c>
      <c r="U103" s="67">
        <f t="shared" si="34"/>
        <v>-5.9999999999998943E-4</v>
      </c>
      <c r="V103" s="68">
        <f t="shared" si="35"/>
        <v>-5.9999999999998943E-4</v>
      </c>
    </row>
    <row r="104" spans="1:28">
      <c r="A104" s="45"/>
      <c r="B104" s="46"/>
      <c r="C104" s="47" t="s">
        <v>53</v>
      </c>
      <c r="D104" s="58">
        <f>SUM(D68:D103)</f>
        <v>198371804922.96381</v>
      </c>
      <c r="E104" s="49">
        <f>(D104/$D$208)</f>
        <v>5.2311478293299705E-2</v>
      </c>
      <c r="F104" s="50"/>
      <c r="G104" s="55"/>
      <c r="H104" s="52">
        <f>SUM(H68:H103)</f>
        <v>50482</v>
      </c>
      <c r="I104" s="63"/>
      <c r="J104" s="63"/>
      <c r="K104" s="58">
        <f>SUM(K68:K103)</f>
        <v>196299640514.55566</v>
      </c>
      <c r="L104" s="49">
        <f>(K104/$K$208)</f>
        <v>5.1255428808206153E-2</v>
      </c>
      <c r="M104" s="50"/>
      <c r="N104" s="55"/>
      <c r="O104" s="52">
        <f>SUM(O68:O103)</f>
        <v>50522</v>
      </c>
      <c r="P104" s="63"/>
      <c r="Q104" s="63"/>
      <c r="R104" s="66">
        <f t="shared" si="31"/>
        <v>-1.044586154374535E-2</v>
      </c>
      <c r="S104" s="66" t="e">
        <f t="shared" si="32"/>
        <v>#DIV/0!</v>
      </c>
      <c r="T104" s="66">
        <f t="shared" si="33"/>
        <v>7.9236163384968899E-4</v>
      </c>
      <c r="U104" s="67">
        <f t="shared" si="34"/>
        <v>0</v>
      </c>
      <c r="V104" s="68">
        <f t="shared" si="35"/>
        <v>0</v>
      </c>
    </row>
    <row r="105" spans="1:28" ht="3.75" customHeight="1">
      <c r="A105" s="45"/>
      <c r="B105" s="174"/>
      <c r="C105" s="174"/>
      <c r="D105" s="174"/>
      <c r="E105" s="174"/>
      <c r="F105" s="174"/>
      <c r="G105" s="174"/>
      <c r="H105" s="174"/>
      <c r="I105" s="174"/>
      <c r="J105" s="174"/>
      <c r="K105" s="174"/>
      <c r="L105" s="174"/>
      <c r="M105" s="174"/>
      <c r="N105" s="174"/>
      <c r="O105" s="174"/>
      <c r="P105" s="174"/>
      <c r="Q105" s="174"/>
      <c r="R105" s="174"/>
      <c r="S105" s="174"/>
      <c r="T105" s="174"/>
      <c r="U105" s="174"/>
      <c r="V105" s="174"/>
    </row>
    <row r="106" spans="1:28" ht="15" customHeight="1">
      <c r="A106" s="178" t="s">
        <v>158</v>
      </c>
      <c r="B106" s="178"/>
      <c r="C106" s="178"/>
      <c r="D106" s="178"/>
      <c r="E106" s="178"/>
      <c r="F106" s="178"/>
      <c r="G106" s="178"/>
      <c r="H106" s="178"/>
      <c r="I106" s="178"/>
      <c r="J106" s="178"/>
      <c r="K106" s="178"/>
      <c r="L106" s="178"/>
      <c r="M106" s="178"/>
      <c r="N106" s="178"/>
      <c r="O106" s="178"/>
      <c r="P106" s="178"/>
      <c r="Q106" s="178"/>
      <c r="R106" s="178"/>
      <c r="S106" s="178"/>
      <c r="T106" s="178"/>
      <c r="U106" s="178"/>
      <c r="V106" s="178"/>
    </row>
    <row r="107" spans="1:28">
      <c r="A107" s="177" t="s">
        <v>159</v>
      </c>
      <c r="B107" s="177"/>
      <c r="C107" s="177"/>
      <c r="D107" s="177"/>
      <c r="E107" s="177"/>
      <c r="F107" s="177"/>
      <c r="G107" s="177"/>
      <c r="H107" s="177"/>
      <c r="I107" s="177"/>
      <c r="J107" s="177"/>
      <c r="K107" s="177"/>
      <c r="L107" s="177"/>
      <c r="M107" s="177"/>
      <c r="N107" s="177"/>
      <c r="O107" s="177"/>
      <c r="P107" s="177"/>
      <c r="Q107" s="177"/>
      <c r="R107" s="177"/>
      <c r="S107" s="177"/>
      <c r="T107" s="177"/>
      <c r="U107" s="177"/>
      <c r="V107" s="177"/>
      <c r="Z107" s="75"/>
      <c r="AB107" s="78"/>
    </row>
    <row r="108" spans="1:28" ht="16.5" customHeight="1">
      <c r="A108" s="161">
        <v>93</v>
      </c>
      <c r="B108" s="162" t="s">
        <v>160</v>
      </c>
      <c r="C108" s="163" t="s">
        <v>19</v>
      </c>
      <c r="D108" s="38">
        <f>1817773.46*1536.9275</f>
        <v>2793786019.44415</v>
      </c>
      <c r="E108" s="39">
        <f>(D108/$D$138)</f>
        <v>1.6443300117113774E-3</v>
      </c>
      <c r="F108" s="38">
        <f>111.8838 *1536.9275</f>
        <v>171957.2890245</v>
      </c>
      <c r="G108" s="38">
        <f>111.8838 *1536.9275</f>
        <v>171957.2890245</v>
      </c>
      <c r="H108" s="41">
        <v>251</v>
      </c>
      <c r="I108" s="60">
        <v>1.1000000000000001E-3</v>
      </c>
      <c r="J108" s="60">
        <v>5.5899999999999998E-2</v>
      </c>
      <c r="K108" s="38">
        <f>1824543.81*1538.3917</f>
        <v>2806863053.5903769</v>
      </c>
      <c r="L108" s="39">
        <f t="shared" ref="L108:L120" si="44">(K108/$K$138)</f>
        <v>1.6427430854156794E-3</v>
      </c>
      <c r="M108" s="38">
        <f>112.011*1538.3917</f>
        <v>172316.79270869997</v>
      </c>
      <c r="N108" s="38">
        <f>112.011*1538.3917</f>
        <v>172316.79270869997</v>
      </c>
      <c r="O108" s="41">
        <v>251</v>
      </c>
      <c r="P108" s="60">
        <v>1.1000000000000001E-3</v>
      </c>
      <c r="Q108" s="60">
        <v>5.7000000000000002E-2</v>
      </c>
      <c r="R108" s="67">
        <f>((K108-D108)/D108)</f>
        <v>4.6807572431150912E-3</v>
      </c>
      <c r="S108" s="67">
        <f>((N108-G108)/G108)</f>
        <v>2.0906568499620103E-3</v>
      </c>
      <c r="T108" s="67">
        <f>((O108-H108)/H108)</f>
        <v>0</v>
      </c>
      <c r="U108" s="67">
        <f>P108-I108</f>
        <v>0</v>
      </c>
      <c r="V108" s="68">
        <f>Q108-J108</f>
        <v>1.1000000000000038E-3</v>
      </c>
      <c r="X108" s="75"/>
      <c r="Y108" s="79"/>
      <c r="Z108" s="75"/>
      <c r="AA108" s="80"/>
    </row>
    <row r="109" spans="1:28" ht="16.5" customHeight="1">
      <c r="A109" s="161">
        <v>94</v>
      </c>
      <c r="B109" s="162" t="s">
        <v>161</v>
      </c>
      <c r="C109" s="163" t="s">
        <v>57</v>
      </c>
      <c r="D109" s="38">
        <f>1505381.36*1536.9275</f>
        <v>2313662010.1714001</v>
      </c>
      <c r="E109" s="39">
        <f>(D109/$D$138)</f>
        <v>1.36174490594603E-3</v>
      </c>
      <c r="F109" s="38">
        <f>100*1536.9275</f>
        <v>153692.75</v>
      </c>
      <c r="G109" s="38">
        <f>100*1536.9275</f>
        <v>153692.75</v>
      </c>
      <c r="H109" s="41">
        <v>35</v>
      </c>
      <c r="I109" s="60">
        <v>3.1199999999999999E-4</v>
      </c>
      <c r="J109" s="60">
        <v>7.3595999999999995E-2</v>
      </c>
      <c r="K109" s="38">
        <f>1507287.88*1538.3917</f>
        <v>2318799164.1025958</v>
      </c>
      <c r="L109" s="39">
        <f t="shared" si="44"/>
        <v>1.3570990891146966E-3</v>
      </c>
      <c r="M109" s="38">
        <f>100*1538.3917</f>
        <v>153839.16999999998</v>
      </c>
      <c r="N109" s="38">
        <f>100*1538.3917</f>
        <v>153839.16999999998</v>
      </c>
      <c r="O109" s="41">
        <v>35</v>
      </c>
      <c r="P109" s="60">
        <v>-1.2799999999999999E-4</v>
      </c>
      <c r="Q109" s="60">
        <v>7.3468000000000006E-2</v>
      </c>
      <c r="R109" s="67">
        <f>((K109-D109)/D109)</f>
        <v>2.2203562614641222E-3</v>
      </c>
      <c r="S109" s="67">
        <f>((N109-G109)/G109)</f>
        <v>9.5267994098604983E-4</v>
      </c>
      <c r="T109" s="67">
        <f>((O109-H109)/H109)</f>
        <v>0</v>
      </c>
      <c r="U109" s="67">
        <f>P109-I109</f>
        <v>-4.3999999999999996E-4</v>
      </c>
      <c r="V109" s="68">
        <f>Q109-J109</f>
        <v>-1.2799999999998923E-4</v>
      </c>
      <c r="X109" s="75"/>
      <c r="Y109" s="79"/>
      <c r="Z109" s="75"/>
      <c r="AA109" s="80"/>
    </row>
    <row r="110" spans="1:28">
      <c r="A110" s="161">
        <v>95</v>
      </c>
      <c r="B110" s="162" t="s">
        <v>162</v>
      </c>
      <c r="C110" s="163" t="s">
        <v>23</v>
      </c>
      <c r="D110" s="38">
        <f>9997377.8*1549.54</f>
        <v>15491336796.212</v>
      </c>
      <c r="E110" s="39">
        <f>(D110/$D$138)</f>
        <v>9.1176882689849807E-3</v>
      </c>
      <c r="F110" s="38">
        <f>1.1634*1549.54</f>
        <v>1802.7348359999999</v>
      </c>
      <c r="G110" s="38">
        <f>1.1634*1549.54</f>
        <v>1802.7348359999999</v>
      </c>
      <c r="H110" s="41">
        <v>305</v>
      </c>
      <c r="I110" s="60">
        <v>5.8500000000000003E-2</v>
      </c>
      <c r="J110" s="60">
        <v>-1.0999999999999999E-2</v>
      </c>
      <c r="K110" s="38">
        <f>10015572.82*1548.77</f>
        <v>15511818716.4314</v>
      </c>
      <c r="L110" s="39">
        <f t="shared" si="44"/>
        <v>9.0784382608350579E-3</v>
      </c>
      <c r="M110" s="38">
        <f>1.1648*1548.77</f>
        <v>1804.007296</v>
      </c>
      <c r="N110" s="38">
        <f>1.1648*1548.77</f>
        <v>1804.007296</v>
      </c>
      <c r="O110" s="41">
        <v>306</v>
      </c>
      <c r="P110" s="60">
        <v>6.2899999999999998E-2</v>
      </c>
      <c r="Q110" s="60">
        <v>-9.4999999999999998E-3</v>
      </c>
      <c r="R110" s="67">
        <f t="shared" ref="R110:R120" si="45">((K110-D110)/D110)</f>
        <v>1.3221531807641495E-3</v>
      </c>
      <c r="S110" s="67">
        <f t="shared" ref="S110:S120" si="46">((N110-G110)/G110)</f>
        <v>7.0584978699559417E-4</v>
      </c>
      <c r="T110" s="67">
        <f t="shared" ref="T110:T120" si="47">((O110-H110)/H110)</f>
        <v>3.2786885245901639E-3</v>
      </c>
      <c r="U110" s="67">
        <f t="shared" ref="U110:U120" si="48">P110-I110</f>
        <v>4.3999999999999942E-3</v>
      </c>
      <c r="V110" s="68">
        <f t="shared" ref="V110:V120" si="49">Q110-J110</f>
        <v>1.4999999999999996E-3</v>
      </c>
    </row>
    <row r="111" spans="1:28">
      <c r="A111" s="161">
        <v>96</v>
      </c>
      <c r="B111" s="162" t="s">
        <v>163</v>
      </c>
      <c r="C111" s="163" t="s">
        <v>27</v>
      </c>
      <c r="D111" s="38">
        <f>2780439.426*1536.9275</f>
        <v>4273333815.903615</v>
      </c>
      <c r="E111" s="39">
        <f>(D111/$D$138)</f>
        <v>2.5151428902022563E-3</v>
      </c>
      <c r="F111" s="38">
        <f>1.0695*1536.9275</f>
        <v>1643.7439612499998</v>
      </c>
      <c r="G111" s="38">
        <f>1.0695*1536.9275</f>
        <v>1643.7439612499998</v>
      </c>
      <c r="H111" s="41">
        <v>298</v>
      </c>
      <c r="I111" s="60">
        <v>1.1999999999999999E-3</v>
      </c>
      <c r="J111" s="60">
        <v>7.5300000000000006E-2</v>
      </c>
      <c r="K111" s="38">
        <f>3139390.85*1538.3917</f>
        <v>4829612826.6959448</v>
      </c>
      <c r="L111" s="39">
        <f t="shared" si="44"/>
        <v>2.8265764751654564E-3</v>
      </c>
      <c r="M111" s="38">
        <f>1.0713*1538.3917</f>
        <v>1648.0790282099997</v>
      </c>
      <c r="N111" s="38">
        <f>1.0713*1538.3917</f>
        <v>1648.0790282099997</v>
      </c>
      <c r="O111" s="41">
        <v>290</v>
      </c>
      <c r="P111" s="60">
        <v>1.6999999999999999E-3</v>
      </c>
      <c r="Q111" s="60">
        <v>7.1300000000000002E-2</v>
      </c>
      <c r="R111" s="67">
        <f t="shared" si="45"/>
        <v>0.13017448080514679</v>
      </c>
      <c r="S111" s="67">
        <f t="shared" ref="S111:T114" si="50">((N111-G111)/G111)</f>
        <v>2.6373127824015296E-3</v>
      </c>
      <c r="T111" s="67">
        <f t="shared" si="50"/>
        <v>-2.6845637583892617E-2</v>
      </c>
      <c r="U111" s="67">
        <f t="shared" si="48"/>
        <v>5.0000000000000001E-4</v>
      </c>
      <c r="V111" s="68">
        <f t="shared" si="49"/>
        <v>-4.0000000000000036E-3</v>
      </c>
    </row>
    <row r="112" spans="1:28">
      <c r="A112" s="161">
        <v>97</v>
      </c>
      <c r="B112" s="162" t="s">
        <v>164</v>
      </c>
      <c r="C112" s="163" t="s">
        <v>63</v>
      </c>
      <c r="D112" s="38">
        <f>405418.76*1536.9275</f>
        <v>623099241.25989997</v>
      </c>
      <c r="E112" s="39">
        <f>(D112/$D$138)</f>
        <v>3.6673559662314144E-4</v>
      </c>
      <c r="F112" s="38">
        <f>1.07*1536.9275</f>
        <v>1644.5124250000001</v>
      </c>
      <c r="G112" s="38">
        <f>1.08*1536.9275</f>
        <v>1659.8817000000001</v>
      </c>
      <c r="H112" s="41">
        <v>18</v>
      </c>
      <c r="I112" s="60">
        <v>-0.11700000000000001</v>
      </c>
      <c r="J112" s="60">
        <v>5.6000000000000001E-2</v>
      </c>
      <c r="K112" s="38">
        <f>407879.62*1538.3917</f>
        <v>627478622.00715399</v>
      </c>
      <c r="L112" s="39">
        <f t="shared" si="44"/>
        <v>3.6723778391321545E-4</v>
      </c>
      <c r="M112" s="38">
        <f>1.07*1538.3917</f>
        <v>1646.079119</v>
      </c>
      <c r="N112" s="38">
        <f>1.08*1538.3917</f>
        <v>1661.4630360000001</v>
      </c>
      <c r="O112" s="41">
        <v>18</v>
      </c>
      <c r="P112" s="60">
        <v>5.7000000000000002E-2</v>
      </c>
      <c r="Q112" s="60">
        <v>5.6000000000000001E-2</v>
      </c>
      <c r="R112" s="67">
        <f t="shared" si="45"/>
        <v>7.0283840153599819E-3</v>
      </c>
      <c r="S112" s="67">
        <f t="shared" si="50"/>
        <v>9.526799409861345E-4</v>
      </c>
      <c r="T112" s="67">
        <f t="shared" si="50"/>
        <v>0</v>
      </c>
      <c r="U112" s="67">
        <f t="shared" si="48"/>
        <v>0.17400000000000002</v>
      </c>
      <c r="V112" s="68">
        <f t="shared" si="49"/>
        <v>0</v>
      </c>
    </row>
    <row r="113" spans="1:24">
      <c r="A113" s="161">
        <v>98</v>
      </c>
      <c r="B113" s="162" t="s">
        <v>165</v>
      </c>
      <c r="C113" s="163" t="s">
        <v>29</v>
      </c>
      <c r="D113" s="38">
        <f>221037.4*1536.9275</f>
        <v>339718458.58849996</v>
      </c>
      <c r="E113" s="39">
        <v>0</v>
      </c>
      <c r="F113" s="38">
        <f>1.1834*1536.9275</f>
        <v>1818.8000035</v>
      </c>
      <c r="G113" s="38">
        <f>1.1834*1536.9275</f>
        <v>1818.8000035</v>
      </c>
      <c r="H113" s="41">
        <v>38</v>
      </c>
      <c r="I113" s="60">
        <v>4.2299999999999998E-4</v>
      </c>
      <c r="J113" s="60">
        <v>9.4E-2</v>
      </c>
      <c r="K113" s="38">
        <f>221658.58*1538.3917</f>
        <v>340997719.70578593</v>
      </c>
      <c r="L113" s="39">
        <f t="shared" si="44"/>
        <v>1.9957213283799315E-4</v>
      </c>
      <c r="M113" s="38">
        <f>1.1868*1538.3917</f>
        <v>1825.76326956</v>
      </c>
      <c r="N113" s="38">
        <f>1.1868*1538.3917</f>
        <v>1825.76326956</v>
      </c>
      <c r="O113" s="41">
        <v>38</v>
      </c>
      <c r="P113" s="60">
        <v>4.2299999999999998E-4</v>
      </c>
      <c r="Q113" s="60">
        <v>9.5000000000000001E-2</v>
      </c>
      <c r="R113" s="67">
        <f t="shared" si="45"/>
        <v>3.765650893981985E-3</v>
      </c>
      <c r="S113" s="67">
        <f t="shared" si="50"/>
        <v>3.8284946374534264E-3</v>
      </c>
      <c r="T113" s="67">
        <f t="shared" si="50"/>
        <v>0</v>
      </c>
      <c r="U113" s="67">
        <f t="shared" si="48"/>
        <v>0</v>
      </c>
      <c r="V113" s="68">
        <f t="shared" si="49"/>
        <v>1.0000000000000009E-3</v>
      </c>
    </row>
    <row r="114" spans="1:24">
      <c r="A114" s="161">
        <v>99</v>
      </c>
      <c r="B114" s="162" t="s">
        <v>166</v>
      </c>
      <c r="C114" s="163" t="s">
        <v>73</v>
      </c>
      <c r="D114" s="38">
        <f>409313.72*1536.9275</f>
        <v>629085512.39529991</v>
      </c>
      <c r="E114" s="39">
        <f t="shared" ref="E114:E120" si="51">(D114/$D$138)</f>
        <v>3.7025891774282335E-4</v>
      </c>
      <c r="F114" s="38">
        <f>106.95*1536.9275</f>
        <v>164374.396125</v>
      </c>
      <c r="G114" s="38">
        <f>108.77*1536.9275</f>
        <v>167171.60417499999</v>
      </c>
      <c r="H114" s="41">
        <v>44</v>
      </c>
      <c r="I114" s="60">
        <v>1.1000000000000001E-3</v>
      </c>
      <c r="J114" s="60">
        <v>7.5499999999999998E-2</v>
      </c>
      <c r="K114" s="38">
        <f>423116.65*1538.3917</f>
        <v>650919142.49180496</v>
      </c>
      <c r="L114" s="39">
        <f t="shared" si="44"/>
        <v>3.8095656969275299E-4</v>
      </c>
      <c r="M114" s="38">
        <f>107.08*1538.3917</f>
        <v>164730.983236</v>
      </c>
      <c r="N114" s="38">
        <f>108.92*1538.3917</f>
        <v>167561.623964</v>
      </c>
      <c r="O114" s="41">
        <v>44</v>
      </c>
      <c r="P114" s="60">
        <v>1.2999999999999999E-3</v>
      </c>
      <c r="Q114" s="60">
        <v>7.6799999999999993E-2</v>
      </c>
      <c r="R114" s="67">
        <f t="shared" si="45"/>
        <v>3.4706935172249521E-2</v>
      </c>
      <c r="S114" s="67">
        <f t="shared" si="50"/>
        <v>2.3330504658657754E-3</v>
      </c>
      <c r="T114" s="67">
        <f t="shared" si="50"/>
        <v>0</v>
      </c>
      <c r="U114" s="67">
        <f t="shared" si="48"/>
        <v>1.9999999999999987E-4</v>
      </c>
      <c r="V114" s="68">
        <f t="shared" si="49"/>
        <v>1.2999999999999956E-3</v>
      </c>
    </row>
    <row r="115" spans="1:24">
      <c r="A115" s="161">
        <v>100</v>
      </c>
      <c r="B115" s="162" t="s">
        <v>167</v>
      </c>
      <c r="C115" s="163" t="s">
        <v>76</v>
      </c>
      <c r="D115" s="38">
        <v>4929738862.3155003</v>
      </c>
      <c r="E115" s="39">
        <f t="shared" si="51"/>
        <v>2.9014811817327612E-3</v>
      </c>
      <c r="F115" s="38">
        <v>170663.78106000001</v>
      </c>
      <c r="G115" s="38">
        <v>170663.78106000001</v>
      </c>
      <c r="H115" s="41">
        <v>55</v>
      </c>
      <c r="I115" s="60">
        <v>8.7000000000000001E-4</v>
      </c>
      <c r="J115" s="60">
        <v>6.6000000000000003E-2</v>
      </c>
      <c r="K115" s="38">
        <v>4977963406.2452002</v>
      </c>
      <c r="L115" s="39">
        <f t="shared" si="44"/>
        <v>2.9134000515633925E-3</v>
      </c>
      <c r="M115" s="38">
        <v>171035.43109800003</v>
      </c>
      <c r="N115" s="38">
        <v>171035.43109800003</v>
      </c>
      <c r="O115" s="41">
        <v>56</v>
      </c>
      <c r="P115" s="60">
        <v>8.8000000000000003E-4</v>
      </c>
      <c r="Q115" s="60">
        <v>6.59E-2</v>
      </c>
      <c r="R115" s="67">
        <f t="shared" si="45"/>
        <v>9.7823729160065112E-3</v>
      </c>
      <c r="S115" s="67">
        <f t="shared" si="46"/>
        <v>2.1776737611910821E-3</v>
      </c>
      <c r="T115" s="67">
        <f t="shared" si="47"/>
        <v>1.8181818181818181E-2</v>
      </c>
      <c r="U115" s="67">
        <f t="shared" si="48"/>
        <v>1.0000000000000026E-5</v>
      </c>
      <c r="V115" s="68">
        <f t="shared" si="49"/>
        <v>-1.0000000000000286E-4</v>
      </c>
      <c r="X115" s="76"/>
    </row>
    <row r="116" spans="1:24">
      <c r="A116" s="161">
        <v>101</v>
      </c>
      <c r="B116" s="162" t="s">
        <v>168</v>
      </c>
      <c r="C116" s="163" t="s">
        <v>31</v>
      </c>
      <c r="D116" s="38">
        <v>52882585198.779999</v>
      </c>
      <c r="E116" s="39">
        <f t="shared" si="51"/>
        <v>3.1124939896627669E-2</v>
      </c>
      <c r="F116" s="38">
        <v>194390.43</v>
      </c>
      <c r="G116" s="38">
        <v>194390.43</v>
      </c>
      <c r="H116" s="41">
        <v>2262</v>
      </c>
      <c r="I116" s="60">
        <v>1.6000000000000001E-3</v>
      </c>
      <c r="J116" s="60">
        <v>7.6499999999999999E-2</v>
      </c>
      <c r="K116" s="38">
        <v>52037181201.870003</v>
      </c>
      <c r="L116" s="39">
        <f t="shared" si="44"/>
        <v>3.0455251279377128E-2</v>
      </c>
      <c r="M116" s="38">
        <v>193713.52</v>
      </c>
      <c r="N116" s="38">
        <v>193713.52</v>
      </c>
      <c r="O116" s="41">
        <v>2266</v>
      </c>
      <c r="P116" s="60">
        <v>1.5E-3</v>
      </c>
      <c r="Q116" s="60">
        <v>7.8E-2</v>
      </c>
      <c r="R116" s="67">
        <f t="shared" si="45"/>
        <v>-1.5986434735219782E-2</v>
      </c>
      <c r="S116" s="67">
        <f t="shared" si="46"/>
        <v>-3.4822187491431729E-3</v>
      </c>
      <c r="T116" s="67">
        <f t="shared" si="47"/>
        <v>1.7683465959328027E-3</v>
      </c>
      <c r="U116" s="67">
        <f t="shared" si="48"/>
        <v>-1.0000000000000005E-4</v>
      </c>
      <c r="V116" s="68">
        <f t="shared" si="49"/>
        <v>1.5000000000000013E-3</v>
      </c>
    </row>
    <row r="117" spans="1:24">
      <c r="A117" s="161">
        <v>102</v>
      </c>
      <c r="B117" s="168" t="s">
        <v>169</v>
      </c>
      <c r="C117" s="168" t="s">
        <v>31</v>
      </c>
      <c r="D117" s="38">
        <v>101499195369.74001</v>
      </c>
      <c r="E117" s="39">
        <f t="shared" si="51"/>
        <v>5.9739068042235367E-2</v>
      </c>
      <c r="F117" s="38">
        <v>182581.16</v>
      </c>
      <c r="G117" s="38">
        <v>182581.16</v>
      </c>
      <c r="H117" s="41">
        <v>629</v>
      </c>
      <c r="I117" s="60">
        <v>1.6999999999999999E-3</v>
      </c>
      <c r="J117" s="60">
        <v>9.1200000000000003E-2</v>
      </c>
      <c r="K117" s="38">
        <v>104600832531.56</v>
      </c>
      <c r="L117" s="39">
        <f t="shared" si="44"/>
        <v>6.1218624168409536E-2</v>
      </c>
      <c r="M117" s="38">
        <v>181978.42</v>
      </c>
      <c r="N117" s="38">
        <v>181978.42</v>
      </c>
      <c r="O117" s="41">
        <v>637</v>
      </c>
      <c r="P117" s="60">
        <v>1.6999999999999999E-3</v>
      </c>
      <c r="Q117" s="60">
        <v>9.3899999999999997E-2</v>
      </c>
      <c r="R117" s="67">
        <f t="shared" si="45"/>
        <v>3.0558243841454967E-2</v>
      </c>
      <c r="S117" s="67">
        <f t="shared" si="46"/>
        <v>-3.3012168396782597E-3</v>
      </c>
      <c r="T117" s="67">
        <f t="shared" si="47"/>
        <v>1.2718600953895072E-2</v>
      </c>
      <c r="U117" s="67">
        <f t="shared" si="48"/>
        <v>0</v>
      </c>
      <c r="V117" s="68">
        <f t="shared" si="49"/>
        <v>2.6999999999999941E-3</v>
      </c>
    </row>
    <row r="118" spans="1:24">
      <c r="A118" s="161">
        <v>103</v>
      </c>
      <c r="B118" s="162" t="s">
        <v>170</v>
      </c>
      <c r="C118" s="163" t="s">
        <v>35</v>
      </c>
      <c r="D118" s="38">
        <f>126618.86*1536.9275</f>
        <v>194604007.95265001</v>
      </c>
      <c r="E118" s="39">
        <f t="shared" si="51"/>
        <v>1.1453748012509836E-4</v>
      </c>
      <c r="F118" s="38">
        <f>112.97*1536.9275</f>
        <v>173626.69967500001</v>
      </c>
      <c r="G118" s="38">
        <f>112.97*1536.9275</f>
        <v>173626.69967500001</v>
      </c>
      <c r="H118" s="41">
        <v>7</v>
      </c>
      <c r="I118" s="60">
        <v>-8.8000000000000005E-3</v>
      </c>
      <c r="J118" s="60">
        <v>-1.4200000000000001E-2</v>
      </c>
      <c r="K118" s="38">
        <f>126618.86*1538.3917</f>
        <v>194789403.287462</v>
      </c>
      <c r="L118" s="39">
        <f t="shared" si="44"/>
        <v>1.1400233615010645E-4</v>
      </c>
      <c r="M118" s="38">
        <f>112.97*1538.3917</f>
        <v>173792.110349</v>
      </c>
      <c r="N118" s="38">
        <f>112.97*1538.3917</f>
        <v>173792.110349</v>
      </c>
      <c r="O118" s="41">
        <v>7</v>
      </c>
      <c r="P118" s="60">
        <v>-8.8000000000000005E-3</v>
      </c>
      <c r="Q118" s="60">
        <v>-1.4200000000000001E-2</v>
      </c>
      <c r="R118" s="67">
        <f t="shared" si="45"/>
        <v>9.5267994098608127E-4</v>
      </c>
      <c r="S118" s="67">
        <f t="shared" si="46"/>
        <v>9.5267994098606522E-4</v>
      </c>
      <c r="T118" s="67">
        <f t="shared" si="47"/>
        <v>0</v>
      </c>
      <c r="U118" s="67">
        <f t="shared" si="48"/>
        <v>0</v>
      </c>
      <c r="V118" s="68">
        <f t="shared" si="49"/>
        <v>0</v>
      </c>
    </row>
    <row r="119" spans="1:24">
      <c r="A119" s="161">
        <v>104</v>
      </c>
      <c r="B119" s="162" t="s">
        <v>171</v>
      </c>
      <c r="C119" s="163" t="s">
        <v>41</v>
      </c>
      <c r="D119" s="38">
        <f>10606093.2*1536.9275</f>
        <v>16300796306.643</v>
      </c>
      <c r="E119" s="39">
        <f t="shared" si="51"/>
        <v>9.594109353850926E-3</v>
      </c>
      <c r="F119" s="38">
        <f>1.38*1536.9275</f>
        <v>2120.9599499999999</v>
      </c>
      <c r="G119" s="38">
        <f>1.38*1536.9275</f>
        <v>2120.9599499999999</v>
      </c>
      <c r="H119" s="56">
        <v>113</v>
      </c>
      <c r="I119" s="63">
        <v>8.9999999999999998E-4</v>
      </c>
      <c r="J119" s="63">
        <v>4.6399999999999997E-2</v>
      </c>
      <c r="K119" s="38">
        <f>10669846.19*1538.3917</f>
        <v>16414402818.972622</v>
      </c>
      <c r="L119" s="39">
        <f t="shared" si="44"/>
        <v>9.6066841229048537E-3</v>
      </c>
      <c r="M119" s="38">
        <f>1.39*1538.3917</f>
        <v>2138.3644629999999</v>
      </c>
      <c r="N119" s="38">
        <f>1.39*1538.3917</f>
        <v>2138.3644629999999</v>
      </c>
      <c r="O119" s="56">
        <v>113</v>
      </c>
      <c r="P119" s="63">
        <v>8.9999999999999998E-4</v>
      </c>
      <c r="Q119" s="63">
        <v>4.7399999999999998E-2</v>
      </c>
      <c r="R119" s="67">
        <f t="shared" si="45"/>
        <v>6.9693842062994588E-3</v>
      </c>
      <c r="S119" s="67">
        <f t="shared" si="46"/>
        <v>8.2059602304135684E-3</v>
      </c>
      <c r="T119" s="67">
        <f t="shared" si="47"/>
        <v>0</v>
      </c>
      <c r="U119" s="67">
        <f t="shared" si="48"/>
        <v>0</v>
      </c>
      <c r="V119" s="68">
        <f t="shared" si="49"/>
        <v>1.0000000000000009E-3</v>
      </c>
    </row>
    <row r="120" spans="1:24">
      <c r="A120" s="161">
        <v>105</v>
      </c>
      <c r="B120" s="162" t="s">
        <v>172</v>
      </c>
      <c r="C120" s="163" t="s">
        <v>90</v>
      </c>
      <c r="D120" s="38">
        <f>19202941.04*1536.9275</f>
        <v>29513528165.254601</v>
      </c>
      <c r="E120" s="39">
        <f t="shared" si="51"/>
        <v>1.7370686149855048E-2</v>
      </c>
      <c r="F120" s="38">
        <f>105.23*1536.9275</f>
        <v>161730.880825</v>
      </c>
      <c r="G120" s="38">
        <f>105.23*1536.9275</f>
        <v>161730.880825</v>
      </c>
      <c r="H120" s="41">
        <v>478</v>
      </c>
      <c r="I120" s="63">
        <v>1.6000000000000001E-3</v>
      </c>
      <c r="J120" s="60">
        <v>9.8400000000000001E-2</v>
      </c>
      <c r="K120" s="38">
        <f>19668550.34*1538.3917</f>
        <v>30257934594.088177</v>
      </c>
      <c r="L120" s="39">
        <f t="shared" si="44"/>
        <v>1.7708741710721218E-2</v>
      </c>
      <c r="M120" s="38">
        <f>105.39*1538.3917</f>
        <v>162131.10126299999</v>
      </c>
      <c r="N120" s="38">
        <f>105.39*1538.3917</f>
        <v>162131.10126299999</v>
      </c>
      <c r="O120" s="41">
        <v>480</v>
      </c>
      <c r="P120" s="63">
        <v>1.6000000000000001E-3</v>
      </c>
      <c r="Q120" s="60">
        <v>9.8100000000000007E-2</v>
      </c>
      <c r="R120" s="67">
        <f t="shared" si="45"/>
        <v>2.5222549627595653E-2</v>
      </c>
      <c r="S120" s="67">
        <f t="shared" si="46"/>
        <v>2.4746074216527992E-3</v>
      </c>
      <c r="T120" s="67">
        <f t="shared" si="47"/>
        <v>4.1841004184100415E-3</v>
      </c>
      <c r="U120" s="67">
        <f t="shared" si="48"/>
        <v>0</v>
      </c>
      <c r="V120" s="68">
        <f t="shared" si="49"/>
        <v>-2.9999999999999472E-4</v>
      </c>
    </row>
    <row r="121" spans="1:24">
      <c r="A121" s="161">
        <v>106</v>
      </c>
      <c r="B121" s="162" t="s">
        <v>173</v>
      </c>
      <c r="C121" s="163" t="s">
        <v>45</v>
      </c>
      <c r="D121" s="38">
        <f>2007265.21*1536.9275</f>
        <v>3085021101.042275</v>
      </c>
      <c r="E121" s="39">
        <f t="shared" ref="E121:E122" si="52">(D121/$D$138)</f>
        <v>1.8157413445056792E-3</v>
      </c>
      <c r="F121" s="38">
        <f>136.730589*1536.9275</f>
        <v>210145.00232529751</v>
      </c>
      <c r="G121" s="38">
        <f>140.416194*1536.9275</f>
        <v>215809.51000393499</v>
      </c>
      <c r="H121" s="41">
        <v>47</v>
      </c>
      <c r="I121" s="60">
        <v>-0.25390000000000001</v>
      </c>
      <c r="J121" s="60">
        <v>3.78E-2</v>
      </c>
      <c r="K121" s="38">
        <f>2011877.62*1538.3917</f>
        <v>3095055832.0237541</v>
      </c>
      <c r="L121" s="39">
        <f t="shared" ref="L121:L122" si="53">(K121/$K$138)</f>
        <v>1.8114106281490461E-3</v>
      </c>
      <c r="M121" s="38">
        <f>161.772792*1538.3917</f>
        <v>248869.92049862639</v>
      </c>
      <c r="N121" s="38">
        <f>165.992879*1538.3917</f>
        <v>255362.06731270425</v>
      </c>
      <c r="O121" s="41">
        <v>47</v>
      </c>
      <c r="P121" s="60">
        <v>1.6999999999999999E-3</v>
      </c>
      <c r="Q121" s="60">
        <v>0.22739999999999999</v>
      </c>
      <c r="R121" s="67">
        <f t="shared" ref="R121:R122" si="54">((K121-D121)/D121)</f>
        <v>3.2527268543119307E-3</v>
      </c>
      <c r="S121" s="67">
        <f t="shared" ref="S121:S122" si="55">((N121-G121)/G121)</f>
        <v>0.18327532140751385</v>
      </c>
      <c r="T121" s="67">
        <f t="shared" ref="T121:T122" si="56">((O121-H121)/H121)</f>
        <v>0</v>
      </c>
      <c r="U121" s="67">
        <f t="shared" ref="U121:U122" si="57">P121-I121</f>
        <v>0.25559999999999999</v>
      </c>
      <c r="V121" s="68">
        <f t="shared" ref="V121:V122" si="58">Q121-J121</f>
        <v>0.18959999999999999</v>
      </c>
    </row>
    <row r="122" spans="1:24">
      <c r="A122" s="161">
        <v>107</v>
      </c>
      <c r="B122" s="162" t="s">
        <v>174</v>
      </c>
      <c r="C122" s="163" t="s">
        <v>52</v>
      </c>
      <c r="D122" s="42">
        <f>129924037.89*1541.68</f>
        <v>200301290734.25522</v>
      </c>
      <c r="E122" s="39">
        <f t="shared" si="52"/>
        <v>0.1178907122616325</v>
      </c>
      <c r="F122" s="38">
        <f>124.0365*1541.68</f>
        <v>191224.59132000001</v>
      </c>
      <c r="G122" s="38">
        <f>124.0365*1541.68</f>
        <v>191224.59132000001</v>
      </c>
      <c r="H122" s="41">
        <v>3424</v>
      </c>
      <c r="I122" s="60">
        <v>5.4399999999999997E-2</v>
      </c>
      <c r="J122" s="60">
        <v>5.2900000000000003E-2</v>
      </c>
      <c r="K122" s="42">
        <f>129932256.12*1538.5</f>
        <v>199900776040.62</v>
      </c>
      <c r="L122" s="39">
        <f t="shared" si="53"/>
        <v>0.11699381528069383</v>
      </c>
      <c r="M122" s="38">
        <f>124.1625*1538.5</f>
        <v>191024.00624999998</v>
      </c>
      <c r="N122" s="38">
        <f>124.1625*1538.5</f>
        <v>191024.00624999998</v>
      </c>
      <c r="O122" s="41">
        <v>3424</v>
      </c>
      <c r="P122" s="60">
        <v>5.4399999999999997E-2</v>
      </c>
      <c r="Q122" s="60">
        <v>5.2900000000000003E-2</v>
      </c>
      <c r="R122" s="67">
        <f t="shared" si="54"/>
        <v>-1.9995612218325458E-3</v>
      </c>
      <c r="S122" s="67">
        <f t="shared" si="55"/>
        <v>-1.0489501826904995E-3</v>
      </c>
      <c r="T122" s="67">
        <f t="shared" si="56"/>
        <v>0</v>
      </c>
      <c r="U122" s="67">
        <f t="shared" si="57"/>
        <v>0</v>
      </c>
      <c r="V122" s="68">
        <f t="shared" si="58"/>
        <v>0</v>
      </c>
    </row>
    <row r="123" spans="1:24" ht="6" customHeight="1">
      <c r="A123" s="45"/>
      <c r="B123" s="174"/>
      <c r="C123" s="174"/>
      <c r="D123" s="174"/>
      <c r="E123" s="174"/>
      <c r="F123" s="174"/>
      <c r="G123" s="174"/>
      <c r="H123" s="174"/>
      <c r="I123" s="174"/>
      <c r="J123" s="174"/>
      <c r="K123" s="174"/>
      <c r="L123" s="174"/>
      <c r="M123" s="174"/>
      <c r="N123" s="174"/>
      <c r="O123" s="174"/>
      <c r="P123" s="174"/>
      <c r="Q123" s="174"/>
      <c r="R123" s="174"/>
      <c r="S123" s="174"/>
      <c r="T123" s="174"/>
      <c r="U123" s="174"/>
      <c r="V123" s="174"/>
    </row>
    <row r="124" spans="1:24">
      <c r="A124" s="177" t="s">
        <v>175</v>
      </c>
      <c r="B124" s="177"/>
      <c r="C124" s="177"/>
      <c r="D124" s="177"/>
      <c r="E124" s="177"/>
      <c r="F124" s="177"/>
      <c r="G124" s="177"/>
      <c r="H124" s="177"/>
      <c r="I124" s="177"/>
      <c r="J124" s="177"/>
      <c r="K124" s="177"/>
      <c r="L124" s="177"/>
      <c r="M124" s="177"/>
      <c r="N124" s="177"/>
      <c r="O124" s="177"/>
      <c r="P124" s="177"/>
      <c r="Q124" s="177"/>
      <c r="R124" s="177"/>
      <c r="S124" s="177"/>
      <c r="T124" s="177"/>
      <c r="U124" s="177"/>
      <c r="V124" s="177"/>
    </row>
    <row r="125" spans="1:24">
      <c r="A125" s="161">
        <v>108</v>
      </c>
      <c r="B125" s="162" t="s">
        <v>176</v>
      </c>
      <c r="C125" s="163" t="s">
        <v>119</v>
      </c>
      <c r="D125" s="42">
        <f>1166511.46*1536.9275</f>
        <v>1792843541.9391499</v>
      </c>
      <c r="E125" s="39">
        <f t="shared" ref="E125:E135" si="59">(D125/$D$138)</f>
        <v>1.0552083881141361E-3</v>
      </c>
      <c r="F125" s="38">
        <f>108.46*1536.9275</f>
        <v>166695.15664999999</v>
      </c>
      <c r="G125" s="38">
        <f>108.46*1536.9275</f>
        <v>166695.15664999999</v>
      </c>
      <c r="H125" s="41">
        <v>21</v>
      </c>
      <c r="I125" s="60">
        <v>2.7529999999999998E-3</v>
      </c>
      <c r="J125" s="60">
        <v>8.9399999999999993E-2</v>
      </c>
      <c r="K125" s="42">
        <f>1166828.04*1538.3917</f>
        <v>1795038572.0632679</v>
      </c>
      <c r="L125" s="39">
        <f t="shared" ref="L125:L137" si="60">(K125/$K$138)</f>
        <v>1.0505632608400505E-3</v>
      </c>
      <c r="M125" s="38">
        <f>108.49*1538.3917</f>
        <v>166900.11553299997</v>
      </c>
      <c r="N125" s="38">
        <f>108.49*1538.3917</f>
        <v>166900.11553299997</v>
      </c>
      <c r="O125" s="41">
        <v>21</v>
      </c>
      <c r="P125" s="60">
        <v>-9.2E-5</v>
      </c>
      <c r="Q125" s="60">
        <v>8.7800000000000003E-2</v>
      </c>
      <c r="R125" s="67">
        <f>((K125-D125)/D125)</f>
        <v>1.2243288791078403E-3</v>
      </c>
      <c r="S125" s="67">
        <f>((N125-G125)/G125)</f>
        <v>1.2295431200219265E-3</v>
      </c>
      <c r="T125" s="67">
        <f>((O125-H125)/H125)</f>
        <v>0</v>
      </c>
      <c r="U125" s="67">
        <f>P125-I125</f>
        <v>-2.8449999999999999E-3</v>
      </c>
      <c r="V125" s="68">
        <f>Q125-J125</f>
        <v>-1.5999999999999903E-3</v>
      </c>
    </row>
    <row r="126" spans="1:24">
      <c r="A126" s="161">
        <v>109</v>
      </c>
      <c r="B126" s="163" t="s">
        <v>177</v>
      </c>
      <c r="C126" s="163" t="s">
        <v>25</v>
      </c>
      <c r="D126" s="38">
        <f>10953509.97*1536.9275</f>
        <v>16834750694.417175</v>
      </c>
      <c r="E126" s="39">
        <f t="shared" si="59"/>
        <v>9.9083772392907481E-3</v>
      </c>
      <c r="F126" s="42">
        <f>133.52*1536.9275</f>
        <v>205210.55980000002</v>
      </c>
      <c r="G126" s="42">
        <f>133.52*1536.9275</f>
        <v>205210.55980000002</v>
      </c>
      <c r="H126" s="41">
        <v>503</v>
      </c>
      <c r="I126" s="60">
        <v>5.0000000000000001E-4</v>
      </c>
      <c r="J126" s="60">
        <v>5.6300000000000003E-2</v>
      </c>
      <c r="K126" s="38">
        <f>10891357.44*1538.3917</f>
        <v>16755173887.429247</v>
      </c>
      <c r="L126" s="39">
        <f t="shared" si="60"/>
        <v>9.8061236059607763E-3</v>
      </c>
      <c r="M126" s="42">
        <f>133.66*1538.3917</f>
        <v>205621.43462199997</v>
      </c>
      <c r="N126" s="42">
        <f>133.66*1538.3917</f>
        <v>205621.43462199997</v>
      </c>
      <c r="O126" s="41">
        <v>505</v>
      </c>
      <c r="P126" s="60">
        <v>5.0000000000000001E-4</v>
      </c>
      <c r="Q126" s="60">
        <v>5.7299999999999997E-2</v>
      </c>
      <c r="R126" s="67">
        <f t="shared" ref="R126:R138" si="61">((K126-D126)/D126)</f>
        <v>-4.7269370620568827E-3</v>
      </c>
      <c r="S126" s="67">
        <f t="shared" ref="S126:S138" si="62">((N126-G126)/G126)</f>
        <v>2.0022109115651575E-3</v>
      </c>
      <c r="T126" s="67">
        <f t="shared" ref="T126:T138" si="63">((O126-H126)/H126)</f>
        <v>3.9761431411530811E-3</v>
      </c>
      <c r="U126" s="67">
        <f t="shared" ref="U126:U138" si="64">P126-I126</f>
        <v>0</v>
      </c>
      <c r="V126" s="68">
        <f t="shared" ref="V126:V138" si="65">Q126-J126</f>
        <v>9.9999999999999395E-4</v>
      </c>
    </row>
    <row r="127" spans="1:24">
      <c r="A127" s="161">
        <v>110</v>
      </c>
      <c r="B127" s="162" t="s">
        <v>178</v>
      </c>
      <c r="C127" s="163" t="s">
        <v>67</v>
      </c>
      <c r="D127" s="42">
        <v>15945721328.6</v>
      </c>
      <c r="E127" s="39">
        <f t="shared" si="59"/>
        <v>9.3851239703103394E-3</v>
      </c>
      <c r="F127" s="42">
        <v>180338.22</v>
      </c>
      <c r="G127" s="42">
        <v>180338.22</v>
      </c>
      <c r="H127" s="41">
        <v>642</v>
      </c>
      <c r="I127" s="60">
        <v>1.1999999999999999E-3</v>
      </c>
      <c r="J127" s="60">
        <v>6.4500000000000002E-2</v>
      </c>
      <c r="K127" s="42">
        <v>15961643355.809999</v>
      </c>
      <c r="L127" s="39">
        <f t="shared" si="60"/>
        <v>9.3417023752148387E-3</v>
      </c>
      <c r="M127" s="42">
        <v>180202.79</v>
      </c>
      <c r="N127" s="42">
        <v>180202.79</v>
      </c>
      <c r="O127" s="41">
        <v>646</v>
      </c>
      <c r="P127" s="60">
        <v>1.1999999999999999E-3</v>
      </c>
      <c r="Q127" s="60">
        <v>6.4000000000000001E-2</v>
      </c>
      <c r="R127" s="67">
        <f t="shared" si="61"/>
        <v>9.9851407671608947E-4</v>
      </c>
      <c r="S127" s="67">
        <f t="shared" si="62"/>
        <v>-7.509778015996443E-4</v>
      </c>
      <c r="T127" s="67">
        <f t="shared" si="63"/>
        <v>6.2305295950155761E-3</v>
      </c>
      <c r="U127" s="67">
        <f t="shared" si="64"/>
        <v>0</v>
      </c>
      <c r="V127" s="68">
        <f t="shared" si="65"/>
        <v>-5.0000000000000044E-4</v>
      </c>
    </row>
    <row r="128" spans="1:24">
      <c r="A128" s="161">
        <v>111</v>
      </c>
      <c r="B128" s="162" t="s">
        <v>179</v>
      </c>
      <c r="C128" s="163" t="s">
        <v>65</v>
      </c>
      <c r="D128" s="42">
        <v>6376286629.8485041</v>
      </c>
      <c r="E128" s="39">
        <f t="shared" si="59"/>
        <v>3.7528713350852561E-3</v>
      </c>
      <c r="F128" s="42">
        <v>1949.9795710498499</v>
      </c>
      <c r="G128" s="42">
        <v>1949.9795710498499</v>
      </c>
      <c r="H128" s="41">
        <v>220</v>
      </c>
      <c r="I128" s="60">
        <v>5.5530511332742248E-2</v>
      </c>
      <c r="J128" s="60">
        <v>5.4424551756698678E-2</v>
      </c>
      <c r="K128" s="42">
        <v>6509392816.1237078</v>
      </c>
      <c r="L128" s="39">
        <f t="shared" si="60"/>
        <v>3.8096835630308068E-3</v>
      </c>
      <c r="M128" s="42">
        <v>1953.2034321174863</v>
      </c>
      <c r="N128" s="42">
        <v>1953.2034321174863</v>
      </c>
      <c r="O128" s="41">
        <v>225</v>
      </c>
      <c r="P128" s="60">
        <v>5.4999314186116165E-2</v>
      </c>
      <c r="Q128" s="60">
        <v>5.4491808075590342E-2</v>
      </c>
      <c r="R128" s="67">
        <f t="shared" si="61"/>
        <v>2.0875188648532605E-2</v>
      </c>
      <c r="S128" s="67">
        <f t="shared" si="62"/>
        <v>1.6532794063584162E-3</v>
      </c>
      <c r="T128" s="67">
        <f t="shared" si="63"/>
        <v>2.2727272727272728E-2</v>
      </c>
      <c r="U128" s="67">
        <f t="shared" si="64"/>
        <v>-5.3119714662608342E-4</v>
      </c>
      <c r="V128" s="68">
        <f t="shared" si="65"/>
        <v>6.7256318891664724E-5</v>
      </c>
    </row>
    <row r="129" spans="1:24">
      <c r="A129" s="161">
        <v>112</v>
      </c>
      <c r="B129" s="162" t="s">
        <v>180</v>
      </c>
      <c r="C129" s="163" t="s">
        <v>37</v>
      </c>
      <c r="D129" s="42">
        <v>80217276341.990707</v>
      </c>
      <c r="E129" s="39">
        <f t="shared" si="59"/>
        <v>4.7213234667529712E-2</v>
      </c>
      <c r="F129" s="42">
        <f>100*1536.9275</f>
        <v>153692.75</v>
      </c>
      <c r="G129" s="42">
        <f>100*1536.9275</f>
        <v>153692.75</v>
      </c>
      <c r="H129" s="41">
        <v>1829</v>
      </c>
      <c r="I129" s="60">
        <v>4.5100000000000001E-2</v>
      </c>
      <c r="J129" s="60">
        <v>5.4206999999999998E-2</v>
      </c>
      <c r="K129" s="42">
        <v>80001214707.060303</v>
      </c>
      <c r="L129" s="39">
        <f t="shared" si="60"/>
        <v>4.6821465734415417E-2</v>
      </c>
      <c r="M129" s="42">
        <f>100*1672.69</f>
        <v>167269</v>
      </c>
      <c r="N129" s="42">
        <f>100*1672.69</f>
        <v>167269</v>
      </c>
      <c r="O129" s="41">
        <v>1831</v>
      </c>
      <c r="P129" s="60">
        <v>5.1999999999999998E-2</v>
      </c>
      <c r="Q129" s="60">
        <v>5.4143299999999998E-2</v>
      </c>
      <c r="R129" s="67">
        <f t="shared" si="61"/>
        <v>-2.6934551356402082E-3</v>
      </c>
      <c r="S129" s="67">
        <f t="shared" si="62"/>
        <v>8.8333704745344202E-2</v>
      </c>
      <c r="T129" s="67">
        <f t="shared" si="63"/>
        <v>1.0934937124111536E-3</v>
      </c>
      <c r="U129" s="67">
        <f t="shared" si="64"/>
        <v>6.8999999999999964E-3</v>
      </c>
      <c r="V129" s="68">
        <f t="shared" si="65"/>
        <v>-6.3699999999999868E-5</v>
      </c>
    </row>
    <row r="130" spans="1:24" ht="15.6">
      <c r="A130" s="161">
        <v>113</v>
      </c>
      <c r="B130" s="162" t="s">
        <v>181</v>
      </c>
      <c r="C130" s="163" t="s">
        <v>136</v>
      </c>
      <c r="D130" s="42">
        <f>1041996.55*1536.9275</f>
        <v>1601473152.6001251</v>
      </c>
      <c r="E130" s="39">
        <f t="shared" si="59"/>
        <v>9.4257410891273273E-4</v>
      </c>
      <c r="F130" s="42">
        <f>1.1*1536.9275</f>
        <v>1690.6202500000002</v>
      </c>
      <c r="G130" s="42">
        <f>1.13*1536.9275</f>
        <v>1736.7280749999998</v>
      </c>
      <c r="H130" s="41">
        <v>38</v>
      </c>
      <c r="I130" s="60">
        <v>1.8E-3</v>
      </c>
      <c r="J130" s="60">
        <v>0.1028</v>
      </c>
      <c r="K130" s="42">
        <f>1041996.55*1538.3917</f>
        <v>1602998843.9486349</v>
      </c>
      <c r="L130" s="39">
        <f t="shared" si="60"/>
        <v>9.3817019802856533E-4</v>
      </c>
      <c r="M130" s="42">
        <f>1.1*1536.9275</f>
        <v>1690.6202500000002</v>
      </c>
      <c r="N130" s="42">
        <f>1.13*1538.3917</f>
        <v>1738.3826209999997</v>
      </c>
      <c r="O130" s="41">
        <v>38</v>
      </c>
      <c r="P130" s="60">
        <v>1.8E-3</v>
      </c>
      <c r="Q130" s="60">
        <v>0.1028</v>
      </c>
      <c r="R130" s="67">
        <f t="shared" si="61"/>
        <v>9.526799409860237E-4</v>
      </c>
      <c r="S130" s="67">
        <f t="shared" si="62"/>
        <v>9.5267994098614567E-4</v>
      </c>
      <c r="T130" s="67">
        <f t="shared" si="63"/>
        <v>0</v>
      </c>
      <c r="U130" s="67">
        <f t="shared" si="64"/>
        <v>0</v>
      </c>
      <c r="V130" s="68">
        <f t="shared" si="65"/>
        <v>0</v>
      </c>
      <c r="X130" s="77"/>
    </row>
    <row r="131" spans="1:24" ht="15.6">
      <c r="A131" s="161">
        <v>114</v>
      </c>
      <c r="B131" s="162" t="s">
        <v>182</v>
      </c>
      <c r="C131" s="163" t="s">
        <v>43</v>
      </c>
      <c r="D131" s="38">
        <f>2532905.52*1533.27</f>
        <v>3883628046.6504002</v>
      </c>
      <c r="E131" s="39">
        <f t="shared" si="59"/>
        <v>2.2857749688008798E-3</v>
      </c>
      <c r="F131" s="42">
        <f>10.61*1536.9275</f>
        <v>16306.800775</v>
      </c>
      <c r="G131" s="42">
        <f>10.61*1536.9275</f>
        <v>16306.800775</v>
      </c>
      <c r="H131" s="41">
        <v>68</v>
      </c>
      <c r="I131" s="60">
        <v>7.5999999999999998E-2</v>
      </c>
      <c r="J131" s="60">
        <v>9.6000000000000002E-2</v>
      </c>
      <c r="K131" s="38">
        <f>2546205.2*1538.3917</f>
        <v>3917060946.1768398</v>
      </c>
      <c r="L131" s="39">
        <f t="shared" si="60"/>
        <v>2.2924968769861692E-3</v>
      </c>
      <c r="M131" s="42">
        <f>10.62*1538.3917</f>
        <v>16337.719853999997</v>
      </c>
      <c r="N131" s="42">
        <f>10.62*1538.3917</f>
        <v>16337.719853999997</v>
      </c>
      <c r="O131" s="41">
        <v>68</v>
      </c>
      <c r="P131" s="60">
        <v>7.6799999999999993E-2</v>
      </c>
      <c r="Q131" s="60">
        <v>9.6799999999999997E-2</v>
      </c>
      <c r="R131" s="67">
        <f t="shared" si="61"/>
        <v>8.6086770218057537E-3</v>
      </c>
      <c r="S131" s="67">
        <f t="shared" si="62"/>
        <v>1.8960849173677054E-3</v>
      </c>
      <c r="T131" s="67">
        <f t="shared" si="63"/>
        <v>0</v>
      </c>
      <c r="U131" s="67">
        <f t="shared" si="64"/>
        <v>7.9999999999999516E-4</v>
      </c>
      <c r="V131" s="68">
        <f t="shared" si="65"/>
        <v>7.9999999999999516E-4</v>
      </c>
      <c r="X131" s="77"/>
    </row>
    <row r="132" spans="1:24" ht="15.6">
      <c r="A132" s="161">
        <v>115</v>
      </c>
      <c r="B132" s="163" t="s">
        <v>183</v>
      </c>
      <c r="C132" s="169" t="s">
        <v>47</v>
      </c>
      <c r="D132" s="42">
        <v>23728013523.18</v>
      </c>
      <c r="E132" s="39">
        <f t="shared" si="59"/>
        <v>1.3965523659618366E-2</v>
      </c>
      <c r="F132" s="42">
        <f>1.07*1536.9275</f>
        <v>1644.5124250000001</v>
      </c>
      <c r="G132" s="42">
        <f>1.07*1536.9275</f>
        <v>1644.5124250000001</v>
      </c>
      <c r="H132" s="41">
        <v>460</v>
      </c>
      <c r="I132" s="60">
        <v>4.1000000000000003E-3</v>
      </c>
      <c r="J132" s="60">
        <v>0.1085</v>
      </c>
      <c r="K132" s="42">
        <v>24183033507.950001</v>
      </c>
      <c r="L132" s="39">
        <f t="shared" si="60"/>
        <v>1.41533485321789E-2</v>
      </c>
      <c r="M132" s="42">
        <f>1.0759*1538.3917</f>
        <v>1655.1556300300001</v>
      </c>
      <c r="N132" s="42">
        <f>1.0759*1538.3917</f>
        <v>1655.1556300300001</v>
      </c>
      <c r="O132" s="41">
        <v>460</v>
      </c>
      <c r="P132" s="60">
        <v>4.1000000000000003E-3</v>
      </c>
      <c r="Q132" s="60">
        <v>0.11</v>
      </c>
      <c r="R132" s="67">
        <f t="shared" si="61"/>
        <v>1.9176488766136677E-2</v>
      </c>
      <c r="S132" s="67">
        <f t="shared" si="62"/>
        <v>6.4719517275766336E-3</v>
      </c>
      <c r="T132" s="67">
        <f t="shared" si="63"/>
        <v>0</v>
      </c>
      <c r="U132" s="67">
        <f t="shared" si="64"/>
        <v>0</v>
      </c>
      <c r="V132" s="68">
        <f t="shared" si="65"/>
        <v>1.5000000000000013E-3</v>
      </c>
      <c r="X132" s="77"/>
    </row>
    <row r="133" spans="1:24">
      <c r="A133" s="161">
        <v>116</v>
      </c>
      <c r="B133" s="162" t="s">
        <v>184</v>
      </c>
      <c r="C133" s="163" t="s">
        <v>92</v>
      </c>
      <c r="D133" s="38">
        <f>336842.74*1548.07</f>
        <v>521456140.51179999</v>
      </c>
      <c r="E133" s="39">
        <f t="shared" si="59"/>
        <v>3.0691183063666941E-4</v>
      </c>
      <c r="F133" s="42">
        <f>1.11*1548.07</f>
        <v>1718.3577</v>
      </c>
      <c r="G133" s="42">
        <f>1.11*1548.07</f>
        <v>1718.3577</v>
      </c>
      <c r="H133" s="41">
        <v>3</v>
      </c>
      <c r="I133" s="60">
        <v>-8.8159999999999992E-3</v>
      </c>
      <c r="J133" s="60">
        <v>7.1544999999999997E-2</v>
      </c>
      <c r="K133" s="38">
        <f>337121.99*1549</f>
        <v>522201962.50999999</v>
      </c>
      <c r="L133" s="39">
        <f t="shared" si="60"/>
        <v>3.0562362563663244E-4</v>
      </c>
      <c r="M133" s="42">
        <f>1.11*1549</f>
        <v>1719.39</v>
      </c>
      <c r="N133" s="42">
        <f>1.11*1549</f>
        <v>1719.39</v>
      </c>
      <c r="O133" s="41">
        <v>3</v>
      </c>
      <c r="P133" s="60">
        <v>8.2899999999999998E-4</v>
      </c>
      <c r="Q133" s="60">
        <v>7.2432999999999997E-2</v>
      </c>
      <c r="R133" s="67">
        <f t="shared" si="61"/>
        <v>1.4302679367587622E-3</v>
      </c>
      <c r="S133" s="67">
        <f t="shared" si="62"/>
        <v>6.0074802818998487E-4</v>
      </c>
      <c r="T133" s="67">
        <f t="shared" si="63"/>
        <v>0</v>
      </c>
      <c r="U133" s="67">
        <f t="shared" si="64"/>
        <v>9.6449999999999991E-3</v>
      </c>
      <c r="V133" s="68">
        <f t="shared" si="65"/>
        <v>8.879999999999999E-4</v>
      </c>
    </row>
    <row r="134" spans="1:24">
      <c r="A134" s="161">
        <v>117</v>
      </c>
      <c r="B134" s="162" t="s">
        <v>185</v>
      </c>
      <c r="C134" s="163" t="s">
        <v>49</v>
      </c>
      <c r="D134" s="38">
        <v>964502835663.41003</v>
      </c>
      <c r="E134" s="39">
        <f t="shared" si="59"/>
        <v>0.56767445610512923</v>
      </c>
      <c r="F134" s="42">
        <v>2432.64</v>
      </c>
      <c r="G134" s="42">
        <v>2432.64</v>
      </c>
      <c r="H134" s="41">
        <v>9256</v>
      </c>
      <c r="I134" s="60">
        <v>1.2999999999999999E-3</v>
      </c>
      <c r="J134" s="60">
        <v>7.2800000000000004E-2</v>
      </c>
      <c r="K134" s="38">
        <v>969150131390.93994</v>
      </c>
      <c r="L134" s="39">
        <f t="shared" si="60"/>
        <v>0.56720425851759548</v>
      </c>
      <c r="M134" s="42">
        <v>2437.1999999999998</v>
      </c>
      <c r="N134" s="42">
        <v>2437.1999999999998</v>
      </c>
      <c r="O134" s="41">
        <v>9291</v>
      </c>
      <c r="P134" s="60">
        <v>1.2999999999999999E-3</v>
      </c>
      <c r="Q134" s="60">
        <v>7.4200000000000002E-2</v>
      </c>
      <c r="R134" s="67">
        <f t="shared" si="61"/>
        <v>4.8183328816585351E-3</v>
      </c>
      <c r="S134" s="67">
        <f t="shared" si="62"/>
        <v>1.8745067087608301E-3</v>
      </c>
      <c r="T134" s="67">
        <f t="shared" si="63"/>
        <v>3.78133102852204E-3</v>
      </c>
      <c r="U134" s="67">
        <f t="shared" si="64"/>
        <v>0</v>
      </c>
      <c r="V134" s="68">
        <f t="shared" si="65"/>
        <v>1.3999999999999985E-3</v>
      </c>
    </row>
    <row r="135" spans="1:24" ht="16.5" customHeight="1">
      <c r="A135" s="161">
        <v>118</v>
      </c>
      <c r="B135" s="162" t="s">
        <v>186</v>
      </c>
      <c r="C135" s="163" t="s">
        <v>52</v>
      </c>
      <c r="D135" s="38">
        <f>94772494.96*1541.68</f>
        <v>146108860029.9328</v>
      </c>
      <c r="E135" s="39">
        <f t="shared" si="59"/>
        <v>8.5994840639926906E-2</v>
      </c>
      <c r="F135" s="42">
        <f>1.1654*1541.68</f>
        <v>1796.6738720000001</v>
      </c>
      <c r="G135" s="42">
        <f>1.1654*1541.68</f>
        <v>1796.6738720000001</v>
      </c>
      <c r="H135" s="41">
        <v>493</v>
      </c>
      <c r="I135" s="60">
        <v>9.8599999999999993E-2</v>
      </c>
      <c r="J135" s="60">
        <v>9.0800000000000006E-2</v>
      </c>
      <c r="K135" s="38">
        <f>95750417.68*1538.5</f>
        <v>147312017600.68002</v>
      </c>
      <c r="L135" s="39">
        <f t="shared" si="60"/>
        <v>8.6215748218497132E-2</v>
      </c>
      <c r="M135" s="42">
        <f>1.1675*1538.5</f>
        <v>1796.19875</v>
      </c>
      <c r="N135" s="42">
        <f>1.1675*1538.5</f>
        <v>1796.19875</v>
      </c>
      <c r="O135" s="41">
        <v>495</v>
      </c>
      <c r="P135" s="60">
        <v>9.8400000000000001E-2</v>
      </c>
      <c r="Q135" s="60">
        <v>9.0899999999999995E-2</v>
      </c>
      <c r="R135" s="67">
        <f t="shared" si="61"/>
        <v>8.2346653755339429E-3</v>
      </c>
      <c r="S135" s="67">
        <f t="shared" si="62"/>
        <v>-2.6444532166049986E-4</v>
      </c>
      <c r="T135" s="67">
        <f t="shared" si="63"/>
        <v>4.0567951318458417E-3</v>
      </c>
      <c r="U135" s="67">
        <f t="shared" si="64"/>
        <v>-1.9999999999999185E-4</v>
      </c>
      <c r="V135" s="68">
        <f t="shared" si="65"/>
        <v>9.9999999999988987E-5</v>
      </c>
    </row>
    <row r="136" spans="1:24" ht="16.5" customHeight="1">
      <c r="A136" s="161">
        <v>119</v>
      </c>
      <c r="B136" s="162" t="s">
        <v>187</v>
      </c>
      <c r="C136" s="163" t="s">
        <v>97</v>
      </c>
      <c r="D136" s="42">
        <v>676650863.07345593</v>
      </c>
      <c r="E136" s="39">
        <v>0</v>
      </c>
      <c r="F136" s="42">
        <v>159234.48019999999</v>
      </c>
      <c r="G136" s="42">
        <v>159234.48019999999</v>
      </c>
      <c r="H136" s="41">
        <v>20</v>
      </c>
      <c r="I136" s="60">
        <v>1E-3</v>
      </c>
      <c r="J136" s="60">
        <v>6.4399999999999999E-2</v>
      </c>
      <c r="K136" s="42">
        <v>677815113.40856588</v>
      </c>
      <c r="L136" s="39">
        <f t="shared" si="60"/>
        <v>3.9669769044053358E-4</v>
      </c>
      <c r="M136" s="42">
        <v>159500.53</v>
      </c>
      <c r="N136" s="42">
        <v>159500.53</v>
      </c>
      <c r="O136" s="41">
        <v>20</v>
      </c>
      <c r="P136" s="60">
        <v>1.1999999999999999E-3</v>
      </c>
      <c r="Q136" s="60">
        <v>7.4200000000000002E-2</v>
      </c>
      <c r="R136" s="67">
        <f t="shared" si="61"/>
        <v>1.7206071825900564E-3</v>
      </c>
      <c r="S136" s="67">
        <f t="shared" si="62"/>
        <v>1.6708052154649354E-3</v>
      </c>
      <c r="T136" s="67">
        <f t="shared" si="63"/>
        <v>0</v>
      </c>
      <c r="U136" s="67">
        <f t="shared" si="64"/>
        <v>1.9999999999999987E-4</v>
      </c>
      <c r="V136" s="68">
        <f t="shared" si="65"/>
        <v>9.8000000000000032E-3</v>
      </c>
    </row>
    <row r="137" spans="1:24">
      <c r="A137" s="161">
        <v>120</v>
      </c>
      <c r="B137" s="162" t="s">
        <v>188</v>
      </c>
      <c r="C137" s="163" t="s">
        <v>111</v>
      </c>
      <c r="D137" s="42">
        <f>1094121.38*1536.9275</f>
        <v>1681585237.2599499</v>
      </c>
      <c r="E137" s="39">
        <f>(D137/$D$138)</f>
        <v>9.8972543123666715E-4</v>
      </c>
      <c r="F137" s="42">
        <f>1.24*1536.9275</f>
        <v>1905.7900999999999</v>
      </c>
      <c r="G137" s="42">
        <f>1.24*1536.9275</f>
        <v>1905.7900999999999</v>
      </c>
      <c r="H137" s="41">
        <v>68</v>
      </c>
      <c r="I137" s="60">
        <v>-1.3344E-2</v>
      </c>
      <c r="J137" s="60">
        <v>0.12393899999999999</v>
      </c>
      <c r="K137" s="42">
        <f>1099078.97*1538.3917</f>
        <v>1690813965.0925488</v>
      </c>
      <c r="L137" s="39">
        <f t="shared" si="60"/>
        <v>9.8956482623088499E-4</v>
      </c>
      <c r="M137" s="42">
        <f>1.2443*1538.3917</f>
        <v>1914.2207923099998</v>
      </c>
      <c r="N137" s="42">
        <f>1.2443*1538.3917</f>
        <v>1914.2207923099998</v>
      </c>
      <c r="O137" s="41">
        <v>69</v>
      </c>
      <c r="P137" s="60">
        <v>1.4250000000000001E-3</v>
      </c>
      <c r="Q137" s="60">
        <v>0.128773</v>
      </c>
      <c r="R137" s="67">
        <f t="shared" si="61"/>
        <v>5.4881118293097211E-3</v>
      </c>
      <c r="S137" s="67">
        <f t="shared" si="62"/>
        <v>4.4237255246523804E-3</v>
      </c>
      <c r="T137" s="67">
        <f t="shared" si="63"/>
        <v>1.4705882352941176E-2</v>
      </c>
      <c r="U137" s="67">
        <f t="shared" si="64"/>
        <v>1.4769000000000001E-2</v>
      </c>
      <c r="V137" s="68">
        <f t="shared" si="65"/>
        <v>4.834000000000005E-3</v>
      </c>
    </row>
    <row r="138" spans="1:24">
      <c r="A138" s="45"/>
      <c r="B138" s="46"/>
      <c r="C138" s="81" t="s">
        <v>53</v>
      </c>
      <c r="D138" s="58">
        <f>SUM(D108:D137)</f>
        <v>1699042162793.3723</v>
      </c>
      <c r="E138" s="49">
        <f>(D138/$D$208)</f>
        <v>0.44804455579199942</v>
      </c>
      <c r="F138" s="50"/>
      <c r="G138" s="55"/>
      <c r="H138" s="52">
        <f>SUM(H108:H137)</f>
        <v>21625</v>
      </c>
      <c r="I138" s="90"/>
      <c r="J138" s="90"/>
      <c r="K138" s="58">
        <f>SUM(K108:K137)</f>
        <v>1708643961742.885</v>
      </c>
      <c r="L138" s="49">
        <f>(K138/$K$208)</f>
        <v>0.44614080143050433</v>
      </c>
      <c r="M138" s="50"/>
      <c r="N138" s="55"/>
      <c r="O138" s="52">
        <f>SUM(O108:O137)</f>
        <v>21684</v>
      </c>
      <c r="P138" s="90"/>
      <c r="Q138" s="90"/>
      <c r="R138" s="67">
        <f t="shared" si="61"/>
        <v>5.6513011623716899E-3</v>
      </c>
      <c r="S138" s="67" t="e">
        <f t="shared" si="62"/>
        <v>#DIV/0!</v>
      </c>
      <c r="T138" s="67">
        <f t="shared" si="63"/>
        <v>2.7283236994219652E-3</v>
      </c>
      <c r="U138" s="67">
        <f t="shared" si="64"/>
        <v>0</v>
      </c>
      <c r="V138" s="68">
        <f t="shared" si="65"/>
        <v>0</v>
      </c>
    </row>
    <row r="139" spans="1:24" ht="6" customHeight="1">
      <c r="A139" s="45"/>
      <c r="B139" s="174"/>
      <c r="C139" s="174"/>
      <c r="D139" s="174"/>
      <c r="E139" s="174"/>
      <c r="F139" s="174"/>
      <c r="G139" s="174"/>
      <c r="H139" s="174"/>
      <c r="I139" s="174"/>
      <c r="J139" s="174"/>
      <c r="K139" s="174"/>
      <c r="L139" s="174"/>
      <c r="M139" s="174"/>
      <c r="N139" s="174"/>
      <c r="O139" s="174"/>
      <c r="P139" s="174"/>
      <c r="Q139" s="174"/>
      <c r="R139" s="174"/>
      <c r="S139" s="174"/>
      <c r="T139" s="174"/>
      <c r="U139" s="174"/>
      <c r="V139" s="174"/>
    </row>
    <row r="140" spans="1:24">
      <c r="A140" s="176" t="s">
        <v>189</v>
      </c>
      <c r="B140" s="176"/>
      <c r="C140" s="176"/>
      <c r="D140" s="176"/>
      <c r="E140" s="176"/>
      <c r="F140" s="176"/>
      <c r="G140" s="176"/>
      <c r="H140" s="176"/>
      <c r="I140" s="176"/>
      <c r="J140" s="176"/>
      <c r="K140" s="176"/>
      <c r="L140" s="176"/>
      <c r="M140" s="176"/>
      <c r="N140" s="176"/>
      <c r="O140" s="176"/>
      <c r="P140" s="176"/>
      <c r="Q140" s="176"/>
      <c r="R140" s="176"/>
      <c r="S140" s="176"/>
      <c r="T140" s="176"/>
      <c r="U140" s="176"/>
      <c r="V140" s="176"/>
    </row>
    <row r="141" spans="1:24">
      <c r="A141" s="161">
        <v>121</v>
      </c>
      <c r="B141" s="162" t="s">
        <v>190</v>
      </c>
      <c r="C141" s="163" t="s">
        <v>191</v>
      </c>
      <c r="D141" s="82">
        <v>2525696072.8174295</v>
      </c>
      <c r="E141" s="39">
        <f>(D141/$D$146)</f>
        <v>2.5194412527306032E-2</v>
      </c>
      <c r="F141" s="70">
        <v>119.02432011392222</v>
      </c>
      <c r="G141" s="70">
        <v>119.02432011392222</v>
      </c>
      <c r="H141" s="41">
        <v>7</v>
      </c>
      <c r="I141" s="60">
        <v>4.2485203633926272E-3</v>
      </c>
      <c r="J141" s="60">
        <v>0.154433413223452</v>
      </c>
      <c r="K141" s="82">
        <v>2230742365.0297666</v>
      </c>
      <c r="L141" s="39">
        <f>(K141/$K$146)</f>
        <v>2.231946857387955E-2</v>
      </c>
      <c r="M141" s="70">
        <v>105.12452238594599</v>
      </c>
      <c r="N141" s="70">
        <v>105.12452238594564</v>
      </c>
      <c r="O141" s="41">
        <v>7</v>
      </c>
      <c r="P141" s="60">
        <v>-0.11906576728621765</v>
      </c>
      <c r="Q141" s="60">
        <v>2.8515302805991904E-2</v>
      </c>
      <c r="R141" s="67">
        <f t="shared" ref="R141:R146" si="66">((K141-D141)/D141)</f>
        <v>-0.11678115627690719</v>
      </c>
      <c r="S141" s="67">
        <f t="shared" ref="S141:T146" si="67">((N141-G141)/G141)</f>
        <v>-0.11678115627690717</v>
      </c>
      <c r="T141" s="67">
        <f t="shared" si="67"/>
        <v>0</v>
      </c>
      <c r="U141" s="67">
        <f t="shared" ref="U141:V146" si="68">P141-I141</f>
        <v>-0.12331428764961028</v>
      </c>
      <c r="V141" s="68">
        <f t="shared" si="68"/>
        <v>-0.12591811041746009</v>
      </c>
    </row>
    <row r="142" spans="1:24">
      <c r="A142" s="161">
        <v>122</v>
      </c>
      <c r="B142" s="162" t="s">
        <v>192</v>
      </c>
      <c r="C142" s="163" t="s">
        <v>47</v>
      </c>
      <c r="D142" s="38">
        <v>54160728474</v>
      </c>
      <c r="E142" s="39">
        <f>(D142/$D$146)</f>
        <v>0.54026600850323403</v>
      </c>
      <c r="F142" s="70">
        <v>102.07</v>
      </c>
      <c r="G142" s="70">
        <v>102.07</v>
      </c>
      <c r="H142" s="41">
        <v>645</v>
      </c>
      <c r="I142" s="60">
        <v>8.3900000000000002E-2</v>
      </c>
      <c r="J142" s="60">
        <v>8.3900000000000002E-2</v>
      </c>
      <c r="K142" s="38">
        <v>54160728474</v>
      </c>
      <c r="L142" s="39">
        <f>(K142/$K$146)</f>
        <v>0.5418997263261891</v>
      </c>
      <c r="M142" s="70">
        <v>102.07</v>
      </c>
      <c r="N142" s="70">
        <v>102.07</v>
      </c>
      <c r="O142" s="41">
        <v>645</v>
      </c>
      <c r="P142" s="60">
        <v>8.3900000000000002E-2</v>
      </c>
      <c r="Q142" s="60">
        <v>8.3900000000000002E-2</v>
      </c>
      <c r="R142" s="67">
        <f t="shared" si="66"/>
        <v>0</v>
      </c>
      <c r="S142" s="67">
        <f t="shared" si="67"/>
        <v>0</v>
      </c>
      <c r="T142" s="67">
        <f t="shared" si="67"/>
        <v>0</v>
      </c>
      <c r="U142" s="67">
        <f t="shared" si="68"/>
        <v>0</v>
      </c>
      <c r="V142" s="68">
        <f t="shared" si="68"/>
        <v>0</v>
      </c>
    </row>
    <row r="143" spans="1:24" ht="15.75" customHeight="1">
      <c r="A143" s="161">
        <v>123</v>
      </c>
      <c r="B143" s="162" t="s">
        <v>193</v>
      </c>
      <c r="C143" s="163" t="s">
        <v>146</v>
      </c>
      <c r="D143" s="38">
        <v>2768739133.3263221</v>
      </c>
      <c r="E143" s="39">
        <f>(D143/$D$146)</f>
        <v>2.7618824234740581E-2</v>
      </c>
      <c r="F143" s="70">
        <v>179.45</v>
      </c>
      <c r="G143" s="70">
        <v>179.45</v>
      </c>
      <c r="H143" s="41">
        <v>2834</v>
      </c>
      <c r="I143" s="60">
        <v>6.8283381095570486E-2</v>
      </c>
      <c r="J143" s="60">
        <v>0.10207780617889307</v>
      </c>
      <c r="K143" s="38">
        <v>2773571742.6731138</v>
      </c>
      <c r="L143" s="39">
        <f>(K143/$K$146)</f>
        <v>2.7750693364882083E-2</v>
      </c>
      <c r="M143" s="70">
        <v>179.45</v>
      </c>
      <c r="N143" s="70">
        <v>179.45</v>
      </c>
      <c r="O143" s="41">
        <v>2834</v>
      </c>
      <c r="P143" s="60">
        <v>0.11565124999740896</v>
      </c>
      <c r="Q143" s="60">
        <v>0.1011522441218325</v>
      </c>
      <c r="R143" s="67">
        <f t="shared" si="66"/>
        <v>1.7454188040409279E-3</v>
      </c>
      <c r="S143" s="67">
        <f t="shared" si="67"/>
        <v>0</v>
      </c>
      <c r="T143" s="67">
        <f t="shared" si="67"/>
        <v>0</v>
      </c>
      <c r="U143" s="67">
        <f t="shared" si="68"/>
        <v>4.7367868901838472E-2</v>
      </c>
      <c r="V143" s="68">
        <f t="shared" si="68"/>
        <v>-9.2556205706056938E-4</v>
      </c>
    </row>
    <row r="144" spans="1:24">
      <c r="A144" s="161">
        <v>124</v>
      </c>
      <c r="B144" s="162" t="s">
        <v>194</v>
      </c>
      <c r="C144" s="163" t="s">
        <v>146</v>
      </c>
      <c r="D144" s="38">
        <v>10749324468.25</v>
      </c>
      <c r="E144" s="39">
        <f>(D144/$D$146)</f>
        <v>0.10722704048110208</v>
      </c>
      <c r="F144" s="70">
        <v>36.6</v>
      </c>
      <c r="G144" s="70">
        <v>36.6</v>
      </c>
      <c r="H144" s="41">
        <v>5260</v>
      </c>
      <c r="I144" s="60">
        <v>0.99869603013619468</v>
      </c>
      <c r="J144" s="60">
        <v>0.30499171499585781</v>
      </c>
      <c r="K144" s="38">
        <v>10761928925.75</v>
      </c>
      <c r="L144" s="39">
        <f>(K144/$K$146)</f>
        <v>0.10767739843834331</v>
      </c>
      <c r="M144" s="70">
        <v>36.6</v>
      </c>
      <c r="N144" s="70">
        <v>36.6</v>
      </c>
      <c r="O144" s="41">
        <v>5260</v>
      </c>
      <c r="P144" s="60">
        <v>6.0706584839940535E-2</v>
      </c>
      <c r="Q144" s="60">
        <v>0.30264868378290555</v>
      </c>
      <c r="R144" s="67">
        <f t="shared" si="66"/>
        <v>1.1725813596221287E-3</v>
      </c>
      <c r="S144" s="67">
        <f t="shared" si="67"/>
        <v>0</v>
      </c>
      <c r="T144" s="67">
        <f t="shared" si="67"/>
        <v>0</v>
      </c>
      <c r="U144" s="67">
        <f t="shared" si="68"/>
        <v>-0.93798944529625417</v>
      </c>
      <c r="V144" s="68">
        <f t="shared" si="68"/>
        <v>-2.3430312129522624E-3</v>
      </c>
    </row>
    <row r="145" spans="1:22">
      <c r="A145" s="161">
        <v>125</v>
      </c>
      <c r="B145" s="162" t="s">
        <v>195</v>
      </c>
      <c r="C145" s="163" t="s">
        <v>49</v>
      </c>
      <c r="D145" s="38">
        <v>30043774043.869999</v>
      </c>
      <c r="E145" s="39">
        <f>(D145/$D$146)</f>
        <v>0.29969371425361729</v>
      </c>
      <c r="F145" s="70">
        <v>4.9000000000000004</v>
      </c>
      <c r="G145" s="70">
        <v>4.9000000000000004</v>
      </c>
      <c r="H145" s="41">
        <v>208098</v>
      </c>
      <c r="I145" s="60">
        <v>-0.02</v>
      </c>
      <c r="J145" s="60">
        <v>-0.2344</v>
      </c>
      <c r="K145" s="38">
        <v>30019062496.259998</v>
      </c>
      <c r="L145" s="39">
        <f>(K145/$K$146)</f>
        <v>0.30035271329670599</v>
      </c>
      <c r="M145" s="70">
        <v>4.9000000000000004</v>
      </c>
      <c r="N145" s="70">
        <v>5</v>
      </c>
      <c r="O145" s="41">
        <v>208098</v>
      </c>
      <c r="P145" s="60">
        <v>2.0400000000000001E-2</v>
      </c>
      <c r="Q145" s="60">
        <v>-0.21879999999999999</v>
      </c>
      <c r="R145" s="67">
        <f t="shared" si="66"/>
        <v>-8.2251808890310325E-4</v>
      </c>
      <c r="S145" s="67">
        <f t="shared" si="67"/>
        <v>2.0408163265306048E-2</v>
      </c>
      <c r="T145" s="67">
        <f t="shared" si="67"/>
        <v>0</v>
      </c>
      <c r="U145" s="67">
        <f t="shared" si="68"/>
        <v>4.0400000000000005E-2</v>
      </c>
      <c r="V145" s="68">
        <f t="shared" si="68"/>
        <v>1.5600000000000003E-2</v>
      </c>
    </row>
    <row r="146" spans="1:22">
      <c r="A146" s="45"/>
      <c r="B146" s="83"/>
      <c r="C146" s="47" t="s">
        <v>53</v>
      </c>
      <c r="D146" s="48">
        <f>SUM(D141:D145)</f>
        <v>100248262192.26375</v>
      </c>
      <c r="E146" s="49">
        <f>(D146/$D$208)</f>
        <v>2.6435887870497235E-2</v>
      </c>
      <c r="F146" s="50"/>
      <c r="G146" s="84"/>
      <c r="H146" s="52">
        <f>SUM(H141:H145)</f>
        <v>216844</v>
      </c>
      <c r="I146" s="91"/>
      <c r="J146" s="91"/>
      <c r="K146" s="48">
        <f>SUM(K141:K145)</f>
        <v>99946034003.712875</v>
      </c>
      <c r="L146" s="49">
        <f>(K146/$K$208)</f>
        <v>2.6096720386810907E-2</v>
      </c>
      <c r="M146" s="50"/>
      <c r="N146" s="84"/>
      <c r="O146" s="52">
        <f>SUM(O141:O145)</f>
        <v>216844</v>
      </c>
      <c r="P146" s="91"/>
      <c r="Q146" s="91"/>
      <c r="R146" s="67">
        <f t="shared" si="66"/>
        <v>-3.0147972836799563E-3</v>
      </c>
      <c r="S146" s="67" t="e">
        <f t="shared" si="67"/>
        <v>#DIV/0!</v>
      </c>
      <c r="T146" s="67">
        <f t="shared" si="67"/>
        <v>0</v>
      </c>
      <c r="U146" s="67">
        <f t="shared" si="68"/>
        <v>0</v>
      </c>
      <c r="V146" s="68">
        <f t="shared" si="68"/>
        <v>0</v>
      </c>
    </row>
    <row r="147" spans="1:22" ht="5.25" customHeight="1">
      <c r="A147" s="45"/>
      <c r="B147" s="174"/>
      <c r="C147" s="174"/>
      <c r="D147" s="174"/>
      <c r="E147" s="174"/>
      <c r="F147" s="174"/>
      <c r="G147" s="174"/>
      <c r="H147" s="174"/>
      <c r="I147" s="174"/>
      <c r="J147" s="174"/>
      <c r="K147" s="174"/>
      <c r="L147" s="174"/>
      <c r="M147" s="174"/>
      <c r="N147" s="174"/>
      <c r="O147" s="174"/>
      <c r="P147" s="174"/>
      <c r="Q147" s="174"/>
      <c r="R147" s="174"/>
      <c r="S147" s="174"/>
      <c r="T147" s="174"/>
      <c r="U147" s="174"/>
      <c r="V147" s="174"/>
    </row>
    <row r="148" spans="1:22" ht="15" customHeight="1">
      <c r="A148" s="176" t="s">
        <v>196</v>
      </c>
      <c r="B148" s="176"/>
      <c r="C148" s="176"/>
      <c r="D148" s="176"/>
      <c r="E148" s="176"/>
      <c r="F148" s="176"/>
      <c r="G148" s="176"/>
      <c r="H148" s="176"/>
      <c r="I148" s="176"/>
      <c r="J148" s="176"/>
      <c r="K148" s="176"/>
      <c r="L148" s="176"/>
      <c r="M148" s="176"/>
      <c r="N148" s="176"/>
      <c r="O148" s="176"/>
      <c r="P148" s="176"/>
      <c r="Q148" s="176"/>
      <c r="R148" s="176"/>
      <c r="S148" s="176"/>
      <c r="T148" s="176"/>
      <c r="U148" s="176"/>
      <c r="V148" s="176"/>
    </row>
    <row r="149" spans="1:22">
      <c r="A149" s="161">
        <v>126</v>
      </c>
      <c r="B149" s="162" t="s">
        <v>197</v>
      </c>
      <c r="C149" s="163" t="s">
        <v>57</v>
      </c>
      <c r="D149" s="42">
        <v>255753324.38999999</v>
      </c>
      <c r="E149" s="39">
        <f t="shared" ref="E149:E177" si="69">(D149/$D$178)</f>
        <v>4.7228655358857582E-3</v>
      </c>
      <c r="F149" s="42">
        <v>5.72</v>
      </c>
      <c r="G149" s="42">
        <v>5.8</v>
      </c>
      <c r="H149" s="43">
        <v>11835</v>
      </c>
      <c r="I149" s="61">
        <v>4.215E-3</v>
      </c>
      <c r="J149" s="61">
        <v>0.13739999999999999</v>
      </c>
      <c r="K149" s="42">
        <v>259580946.91</v>
      </c>
      <c r="L149" s="64">
        <f t="shared" ref="L149:L177" si="70">(K149/$K$178)</f>
        <v>4.7439987547121427E-3</v>
      </c>
      <c r="M149" s="42">
        <v>5.81</v>
      </c>
      <c r="N149" s="42">
        <v>5.89</v>
      </c>
      <c r="O149" s="43">
        <v>11835</v>
      </c>
      <c r="P149" s="61">
        <v>1.6721E-2</v>
      </c>
      <c r="Q149" s="61">
        <v>0.15409999999999999</v>
      </c>
      <c r="R149" s="67">
        <f>((K149-D149)/D149)</f>
        <v>1.4966071424992478E-2</v>
      </c>
      <c r="S149" s="67">
        <f>((N149-G149)/G149)</f>
        <v>1.551724137931032E-2</v>
      </c>
      <c r="T149" s="67">
        <f>((O149-H149)/H149)</f>
        <v>0</v>
      </c>
      <c r="U149" s="67">
        <f>P149-I149</f>
        <v>1.2506E-2</v>
      </c>
      <c r="V149" s="68">
        <f>Q149-J149</f>
        <v>1.6699999999999993E-2</v>
      </c>
    </row>
    <row r="150" spans="1:22">
      <c r="A150" s="167">
        <v>127</v>
      </c>
      <c r="B150" s="162" t="s">
        <v>198</v>
      </c>
      <c r="C150" s="162" t="s">
        <v>199</v>
      </c>
      <c r="D150" s="42">
        <v>635775843.02766764</v>
      </c>
      <c r="E150" s="39">
        <f t="shared" si="69"/>
        <v>1.1740546578410343E-2</v>
      </c>
      <c r="F150" s="42">
        <v>1488.6886084570224</v>
      </c>
      <c r="G150" s="42">
        <v>1506.9642274887794</v>
      </c>
      <c r="H150" s="43">
        <v>177</v>
      </c>
      <c r="I150" s="61">
        <v>1.8354851955872209E-3</v>
      </c>
      <c r="J150" s="61">
        <v>0.33110758235423393</v>
      </c>
      <c r="K150" s="42">
        <v>642811460.98933077</v>
      </c>
      <c r="L150" s="64">
        <f t="shared" si="70"/>
        <v>1.1747768111445319E-2</v>
      </c>
      <c r="M150" s="42">
        <v>1505.1245651964309</v>
      </c>
      <c r="N150" s="42">
        <v>1506.9642274887794</v>
      </c>
      <c r="O150" s="43">
        <v>177</v>
      </c>
      <c r="P150" s="61">
        <v>1.1066192650790872E-2</v>
      </c>
      <c r="Q150" s="61">
        <v>0.34583787529949439</v>
      </c>
      <c r="R150" s="67">
        <f>((K150-D150)/D150)</f>
        <v>1.106619265079084E-2</v>
      </c>
      <c r="S150" s="67">
        <f>((N150-G150)/G150)</f>
        <v>0</v>
      </c>
      <c r="T150" s="67">
        <f>((O150-H150)/H150)</f>
        <v>0</v>
      </c>
      <c r="U150" s="67">
        <f>P150-I150</f>
        <v>9.2307074552036503E-3</v>
      </c>
      <c r="V150" s="68">
        <f>Q150-J150</f>
        <v>1.4730292945260459E-2</v>
      </c>
    </row>
    <row r="151" spans="1:22">
      <c r="A151" s="161">
        <v>128</v>
      </c>
      <c r="B151" s="162" t="s">
        <v>200</v>
      </c>
      <c r="C151" s="163" t="s">
        <v>23</v>
      </c>
      <c r="D151" s="42">
        <v>6682347453.9200001</v>
      </c>
      <c r="E151" s="39">
        <f t="shared" si="69"/>
        <v>0.12339948489117941</v>
      </c>
      <c r="F151" s="42">
        <v>786.32860000000005</v>
      </c>
      <c r="G151" s="42">
        <v>810.03700000000003</v>
      </c>
      <c r="H151" s="43">
        <v>21344</v>
      </c>
      <c r="I151" s="61">
        <v>-0.3569</v>
      </c>
      <c r="J151" s="61">
        <v>0.1928</v>
      </c>
      <c r="K151" s="42">
        <v>6762870469.54</v>
      </c>
      <c r="L151" s="64">
        <f t="shared" si="70"/>
        <v>0.12359554685229222</v>
      </c>
      <c r="M151" s="42">
        <v>795.69240000000002</v>
      </c>
      <c r="N151" s="42">
        <v>819.68320000000006</v>
      </c>
      <c r="O151" s="43">
        <v>21349</v>
      </c>
      <c r="P151" s="61">
        <v>0.62260000000000004</v>
      </c>
      <c r="Q151" s="61">
        <v>0.20330000000000001</v>
      </c>
      <c r="R151" s="67">
        <f t="shared" ref="R151:R178" si="71">((K151-D151)/D151)</f>
        <v>1.205010906350933E-2</v>
      </c>
      <c r="S151" s="67">
        <f t="shared" ref="S151:S178" si="72">((N151-G151)/G151)</f>
        <v>1.1908344927453957E-2</v>
      </c>
      <c r="T151" s="67">
        <f t="shared" ref="T151:T178" si="73">((O151-H151)/H151)</f>
        <v>2.3425787106446777E-4</v>
      </c>
      <c r="U151" s="67">
        <f t="shared" ref="U151:U178" si="74">P151-I151</f>
        <v>0.97950000000000004</v>
      </c>
      <c r="V151" s="68">
        <f t="shared" ref="V151:V178" si="75">Q151-J151</f>
        <v>1.0500000000000009E-2</v>
      </c>
    </row>
    <row r="152" spans="1:22">
      <c r="A152" s="161">
        <v>129</v>
      </c>
      <c r="B152" s="162" t="s">
        <v>201</v>
      </c>
      <c r="C152" s="163" t="s">
        <v>113</v>
      </c>
      <c r="D152" s="42">
        <v>3551782510.3000002</v>
      </c>
      <c r="E152" s="39">
        <f t="shared" si="69"/>
        <v>6.5588946884138966E-2</v>
      </c>
      <c r="F152" s="42">
        <v>20.841699999999999</v>
      </c>
      <c r="G152" s="42">
        <v>21.078399999999998</v>
      </c>
      <c r="H152" s="41">
        <v>6171</v>
      </c>
      <c r="I152" s="60">
        <v>1.4999999999999999E-2</v>
      </c>
      <c r="J152" s="60">
        <v>0.1298</v>
      </c>
      <c r="K152" s="42">
        <v>3608345315.9299998</v>
      </c>
      <c r="L152" s="64">
        <f t="shared" si="70"/>
        <v>6.5944692355553877E-2</v>
      </c>
      <c r="M152" s="42">
        <v>21.2759</v>
      </c>
      <c r="N152" s="42">
        <v>21.521699999999999</v>
      </c>
      <c r="O152" s="41">
        <v>6171</v>
      </c>
      <c r="P152" s="60">
        <v>2.1700000000000001E-2</v>
      </c>
      <c r="Q152" s="60">
        <v>0.15340000000000001</v>
      </c>
      <c r="R152" s="67">
        <f t="shared" si="71"/>
        <v>1.592518839933757E-2</v>
      </c>
      <c r="S152" s="67">
        <f t="shared" si="72"/>
        <v>2.1031008046151545E-2</v>
      </c>
      <c r="T152" s="67">
        <f t="shared" si="73"/>
        <v>0</v>
      </c>
      <c r="U152" s="67">
        <f t="shared" si="74"/>
        <v>6.7000000000000011E-3</v>
      </c>
      <c r="V152" s="68">
        <f t="shared" si="75"/>
        <v>2.360000000000001E-2</v>
      </c>
    </row>
    <row r="153" spans="1:22">
      <c r="A153" s="161">
        <v>130</v>
      </c>
      <c r="B153" s="162" t="s">
        <v>202</v>
      </c>
      <c r="C153" s="163" t="s">
        <v>122</v>
      </c>
      <c r="D153" s="38">
        <v>1896685657.1753974</v>
      </c>
      <c r="E153" s="39">
        <f t="shared" si="69"/>
        <v>3.5025121742006046E-2</v>
      </c>
      <c r="F153" s="42">
        <v>4.4640000000000004</v>
      </c>
      <c r="G153" s="42">
        <v>4.5628000000000002</v>
      </c>
      <c r="H153" s="41">
        <v>2744</v>
      </c>
      <c r="I153" s="60">
        <v>0.62739999999999996</v>
      </c>
      <c r="J153" s="60">
        <v>0.48309999999999997</v>
      </c>
      <c r="K153" s="38">
        <v>1923768341.0709815</v>
      </c>
      <c r="L153" s="64">
        <f t="shared" si="70"/>
        <v>3.5158029597448091E-2</v>
      </c>
      <c r="M153" s="42">
        <v>4.5271999999999997</v>
      </c>
      <c r="N153" s="42">
        <v>4.6284999999999998</v>
      </c>
      <c r="O153" s="41">
        <v>2744</v>
      </c>
      <c r="P153" s="60">
        <v>0.75290000000000001</v>
      </c>
      <c r="Q153" s="60">
        <v>0.49469999999999997</v>
      </c>
      <c r="R153" s="67">
        <f t="shared" si="71"/>
        <v>1.427895223076473E-2</v>
      </c>
      <c r="S153" s="67">
        <f t="shared" si="72"/>
        <v>1.4399053212939345E-2</v>
      </c>
      <c r="T153" s="67">
        <f t="shared" si="73"/>
        <v>0</v>
      </c>
      <c r="U153" s="67">
        <f t="shared" si="74"/>
        <v>0.12550000000000006</v>
      </c>
      <c r="V153" s="68">
        <f t="shared" si="75"/>
        <v>1.1599999999999999E-2</v>
      </c>
    </row>
    <row r="154" spans="1:22">
      <c r="A154" s="161">
        <v>131</v>
      </c>
      <c r="B154" s="162" t="s">
        <v>203</v>
      </c>
      <c r="C154" s="163" t="s">
        <v>65</v>
      </c>
      <c r="D154" s="42">
        <v>3340638412.2172198</v>
      </c>
      <c r="E154" s="39">
        <f t="shared" si="69"/>
        <v>6.1689857062650663E-2</v>
      </c>
      <c r="F154" s="42">
        <v>7543.5458496647798</v>
      </c>
      <c r="G154" s="42">
        <v>7606.3837765539001</v>
      </c>
      <c r="H154" s="41">
        <v>934</v>
      </c>
      <c r="I154" s="60">
        <v>0.54391735164953692</v>
      </c>
      <c r="J154" s="60">
        <v>0.31282485871453025</v>
      </c>
      <c r="K154" s="42">
        <v>3376261925.1233602</v>
      </c>
      <c r="L154" s="64">
        <f t="shared" si="70"/>
        <v>6.1703228064425443E-2</v>
      </c>
      <c r="M154" s="42">
        <v>7616.7238002796503</v>
      </c>
      <c r="N154" s="42">
        <v>7680.5750732099596</v>
      </c>
      <c r="O154" s="41">
        <v>935</v>
      </c>
      <c r="P154" s="60">
        <v>0.50720993735767583</v>
      </c>
      <c r="Q154" s="60">
        <v>0.31955963700914541</v>
      </c>
      <c r="R154" s="67">
        <f t="shared" si="71"/>
        <v>1.0663684155657121E-2</v>
      </c>
      <c r="S154" s="67">
        <f t="shared" si="72"/>
        <v>9.7538197960440089E-3</v>
      </c>
      <c r="T154" s="67">
        <f t="shared" si="73"/>
        <v>1.0706638115631692E-3</v>
      </c>
      <c r="U154" s="67">
        <f t="shared" si="74"/>
        <v>-3.6707414291861085E-2</v>
      </c>
      <c r="V154" s="68">
        <f t="shared" si="75"/>
        <v>6.7347782946151624E-3</v>
      </c>
    </row>
    <row r="155" spans="1:22">
      <c r="A155" s="161">
        <v>132</v>
      </c>
      <c r="B155" s="162" t="s">
        <v>204</v>
      </c>
      <c r="C155" s="163" t="s">
        <v>67</v>
      </c>
      <c r="D155" s="42">
        <v>843625672.92999995</v>
      </c>
      <c r="E155" s="39">
        <f t="shared" si="69"/>
        <v>1.5578802838135524E-2</v>
      </c>
      <c r="F155" s="42">
        <v>199.53</v>
      </c>
      <c r="G155" s="42">
        <v>201.34</v>
      </c>
      <c r="H155" s="41">
        <v>680</v>
      </c>
      <c r="I155" s="60">
        <v>1.2200000000000001E-2</v>
      </c>
      <c r="J155" s="60">
        <v>0.27779999999999999</v>
      </c>
      <c r="K155" s="42">
        <v>810589343.63999999</v>
      </c>
      <c r="L155" s="64">
        <f t="shared" si="70"/>
        <v>1.4814010360106876E-2</v>
      </c>
      <c r="M155" s="42">
        <v>203.9</v>
      </c>
      <c r="N155" s="42">
        <v>205.71340000000001</v>
      </c>
      <c r="O155" s="41">
        <v>681</v>
      </c>
      <c r="P155" s="60">
        <v>2.18E-2</v>
      </c>
      <c r="Q155" s="60">
        <v>0.30299999999999999</v>
      </c>
      <c r="R155" s="67">
        <f t="shared" si="71"/>
        <v>-3.9159938287868061E-2</v>
      </c>
      <c r="S155" s="67">
        <f t="shared" si="72"/>
        <v>2.1721466176616685E-2</v>
      </c>
      <c r="T155" s="67">
        <f t="shared" si="73"/>
        <v>1.4705882352941176E-3</v>
      </c>
      <c r="U155" s="67">
        <f t="shared" si="74"/>
        <v>9.5999999999999992E-3</v>
      </c>
      <c r="V155" s="68">
        <f t="shared" si="75"/>
        <v>2.52E-2</v>
      </c>
    </row>
    <row r="156" spans="1:22">
      <c r="A156" s="161">
        <v>133</v>
      </c>
      <c r="B156" s="162" t="s">
        <v>205</v>
      </c>
      <c r="C156" s="163" t="s">
        <v>69</v>
      </c>
      <c r="D156" s="42">
        <v>3734808.11</v>
      </c>
      <c r="E156" s="39">
        <f t="shared" si="69"/>
        <v>6.8968786810246101E-5</v>
      </c>
      <c r="F156" s="42">
        <v>102.747</v>
      </c>
      <c r="G156" s="42">
        <v>102.99</v>
      </c>
      <c r="H156" s="41">
        <v>0</v>
      </c>
      <c r="I156" s="60">
        <v>0</v>
      </c>
      <c r="J156" s="60">
        <v>0</v>
      </c>
      <c r="K156" s="42">
        <v>3734808.11</v>
      </c>
      <c r="L156" s="64">
        <f t="shared" si="70"/>
        <v>6.8255876380140647E-5</v>
      </c>
      <c r="M156" s="42">
        <v>102.747</v>
      </c>
      <c r="N156" s="42">
        <v>102.99</v>
      </c>
      <c r="O156" s="41">
        <v>0</v>
      </c>
      <c r="P156" s="60">
        <v>0</v>
      </c>
      <c r="Q156" s="60">
        <v>0</v>
      </c>
      <c r="R156" s="67">
        <f t="shared" si="71"/>
        <v>0</v>
      </c>
      <c r="S156" s="67">
        <f t="shared" si="72"/>
        <v>0</v>
      </c>
      <c r="T156" s="67" t="e">
        <f t="shared" si="73"/>
        <v>#DIV/0!</v>
      </c>
      <c r="U156" s="67">
        <f t="shared" si="74"/>
        <v>0</v>
      </c>
      <c r="V156" s="68">
        <f t="shared" si="75"/>
        <v>0</v>
      </c>
    </row>
    <row r="157" spans="1:22">
      <c r="A157" s="161">
        <v>134</v>
      </c>
      <c r="B157" s="162" t="s">
        <v>206</v>
      </c>
      <c r="C157" s="163" t="s">
        <v>127</v>
      </c>
      <c r="D157" s="42">
        <v>207029309.34999999</v>
      </c>
      <c r="E157" s="39">
        <f t="shared" si="69"/>
        <v>3.8231041273048536E-3</v>
      </c>
      <c r="F157" s="42">
        <v>1.6053999999999999</v>
      </c>
      <c r="G157" s="42">
        <v>1.6203000000000001</v>
      </c>
      <c r="H157" s="41">
        <v>357</v>
      </c>
      <c r="I157" s="60">
        <v>1.1464174454828724E-2</v>
      </c>
      <c r="J157" s="60">
        <v>0.1089555297492999</v>
      </c>
      <c r="K157" s="42">
        <v>210503478.31999999</v>
      </c>
      <c r="L157" s="64">
        <f t="shared" si="70"/>
        <v>3.8470783426138421E-3</v>
      </c>
      <c r="M157" s="42">
        <v>1.6496</v>
      </c>
      <c r="N157" s="42">
        <v>1.6648000000000001</v>
      </c>
      <c r="O157" s="41">
        <v>358</v>
      </c>
      <c r="P157" s="60">
        <v>1.1464174454828724E-2</v>
      </c>
      <c r="Q157" s="60">
        <v>0.1089555297492999</v>
      </c>
      <c r="R157" s="67">
        <f t="shared" si="71"/>
        <v>1.6781048929292577E-2</v>
      </c>
      <c r="S157" s="67">
        <f t="shared" si="72"/>
        <v>2.7464049867308511E-2</v>
      </c>
      <c r="T157" s="67">
        <f t="shared" si="73"/>
        <v>2.8011204481792717E-3</v>
      </c>
      <c r="U157" s="67">
        <f t="shared" si="74"/>
        <v>0</v>
      </c>
      <c r="V157" s="68">
        <f t="shared" si="75"/>
        <v>0</v>
      </c>
    </row>
    <row r="158" spans="1:22">
      <c r="A158" s="161">
        <v>135</v>
      </c>
      <c r="B158" s="162" t="s">
        <v>207</v>
      </c>
      <c r="C158" s="163" t="s">
        <v>29</v>
      </c>
      <c r="D158" s="54">
        <v>133367569.04000001</v>
      </c>
      <c r="E158" s="39">
        <f t="shared" si="69"/>
        <v>2.4628305298717312E-3</v>
      </c>
      <c r="F158" s="42">
        <v>157.01480000000001</v>
      </c>
      <c r="G158" s="42">
        <v>157.6267</v>
      </c>
      <c r="H158" s="41">
        <v>97</v>
      </c>
      <c r="I158" s="60">
        <v>1.45E-4</v>
      </c>
      <c r="J158" s="60">
        <v>0.14349999999999999</v>
      </c>
      <c r="K158" s="54">
        <v>134368269.02000001</v>
      </c>
      <c r="L158" s="64">
        <f t="shared" si="70"/>
        <v>2.4556613591702314E-3</v>
      </c>
      <c r="M158" s="42">
        <v>158.8503</v>
      </c>
      <c r="N158" s="42">
        <v>158.2295</v>
      </c>
      <c r="O158" s="41">
        <v>97</v>
      </c>
      <c r="P158" s="60">
        <v>1.36E-4</v>
      </c>
      <c r="Q158" s="60">
        <v>0.1484</v>
      </c>
      <c r="R158" s="67">
        <f t="shared" si="71"/>
        <v>7.5033232381994698E-3</v>
      </c>
      <c r="S158" s="67">
        <f t="shared" si="72"/>
        <v>3.8242252105766474E-3</v>
      </c>
      <c r="T158" s="67">
        <f t="shared" si="73"/>
        <v>0</v>
      </c>
      <c r="U158" s="67">
        <f t="shared" si="74"/>
        <v>-9.0000000000000019E-6</v>
      </c>
      <c r="V158" s="68">
        <f t="shared" si="75"/>
        <v>4.9000000000000155E-3</v>
      </c>
    </row>
    <row r="159" spans="1:22">
      <c r="A159" s="161">
        <v>136</v>
      </c>
      <c r="B159" s="162" t="s">
        <v>208</v>
      </c>
      <c r="C159" s="163" t="s">
        <v>73</v>
      </c>
      <c r="D159" s="54">
        <v>228822996.56999999</v>
      </c>
      <c r="E159" s="39">
        <f t="shared" si="69"/>
        <v>4.2255569772011673E-3</v>
      </c>
      <c r="F159" s="42">
        <v>122.75</v>
      </c>
      <c r="G159" s="42">
        <v>124.08</v>
      </c>
      <c r="H159" s="41">
        <v>36</v>
      </c>
      <c r="I159" s="60">
        <v>7.6E-3</v>
      </c>
      <c r="J159" s="60">
        <v>0.22720000000000001</v>
      </c>
      <c r="K159" s="54">
        <v>230691571.27000001</v>
      </c>
      <c r="L159" s="64">
        <f t="shared" si="70"/>
        <v>4.2160279475631545E-3</v>
      </c>
      <c r="M159" s="42">
        <v>123.84</v>
      </c>
      <c r="N159" s="42">
        <v>125.25</v>
      </c>
      <c r="O159" s="41">
        <v>36</v>
      </c>
      <c r="P159" s="60">
        <v>1.09E-2</v>
      </c>
      <c r="Q159" s="60">
        <v>0.23810000000000001</v>
      </c>
      <c r="R159" s="67">
        <f t="shared" si="71"/>
        <v>8.1660267019027354E-3</v>
      </c>
      <c r="S159" s="67">
        <f t="shared" si="72"/>
        <v>9.4294003868472098E-3</v>
      </c>
      <c r="T159" s="67">
        <f t="shared" si="73"/>
        <v>0</v>
      </c>
      <c r="U159" s="67">
        <f t="shared" si="74"/>
        <v>3.3E-3</v>
      </c>
      <c r="V159" s="68">
        <f t="shared" si="75"/>
        <v>1.0899999999999993E-2</v>
      </c>
    </row>
    <row r="160" spans="1:22" ht="15.75" customHeight="1">
      <c r="A160" s="161">
        <v>137</v>
      </c>
      <c r="B160" s="162" t="s">
        <v>209</v>
      </c>
      <c r="C160" s="163" t="s">
        <v>76</v>
      </c>
      <c r="D160" s="38">
        <v>310501425.74000001</v>
      </c>
      <c r="E160" s="39">
        <f t="shared" si="69"/>
        <v>5.733870658254387E-3</v>
      </c>
      <c r="F160" s="42">
        <v>1.2367999999999999</v>
      </c>
      <c r="G160" s="42">
        <v>1.2367999999999999</v>
      </c>
      <c r="H160" s="41">
        <v>102</v>
      </c>
      <c r="I160" s="60">
        <v>3.5999999999999999E-3</v>
      </c>
      <c r="J160" s="60">
        <v>4.9799999999999997E-2</v>
      </c>
      <c r="K160" s="38">
        <v>318360918.69</v>
      </c>
      <c r="L160" s="64">
        <f t="shared" si="70"/>
        <v>5.8182382790136567E-3</v>
      </c>
      <c r="M160" s="42">
        <v>1.2679</v>
      </c>
      <c r="N160" s="42">
        <v>1.2801</v>
      </c>
      <c r="O160" s="41">
        <v>101</v>
      </c>
      <c r="P160" s="60">
        <v>2.46E-2</v>
      </c>
      <c r="Q160" s="60">
        <v>7.22E-2</v>
      </c>
      <c r="R160" s="67">
        <f t="shared" si="71"/>
        <v>2.5312260422859299E-2</v>
      </c>
      <c r="S160" s="67">
        <f t="shared" si="72"/>
        <v>3.5009702457956114E-2</v>
      </c>
      <c r="T160" s="67">
        <f t="shared" si="73"/>
        <v>-9.8039215686274508E-3</v>
      </c>
      <c r="U160" s="67">
        <f t="shared" si="74"/>
        <v>2.1000000000000001E-2</v>
      </c>
      <c r="V160" s="68">
        <f t="shared" si="75"/>
        <v>2.2400000000000003E-2</v>
      </c>
    </row>
    <row r="161" spans="1:22">
      <c r="A161" s="161">
        <v>138</v>
      </c>
      <c r="B161" s="162" t="s">
        <v>210</v>
      </c>
      <c r="C161" s="163" t="s">
        <v>31</v>
      </c>
      <c r="D161" s="42">
        <v>9562055314.5</v>
      </c>
      <c r="E161" s="39">
        <f t="shared" si="69"/>
        <v>0.17657757374140737</v>
      </c>
      <c r="F161" s="42">
        <v>317.73</v>
      </c>
      <c r="G161" s="42">
        <v>320.01</v>
      </c>
      <c r="H161" s="41">
        <v>5463</v>
      </c>
      <c r="I161" s="60">
        <v>6.4999999999999997E-3</v>
      </c>
      <c r="J161" s="60">
        <v>0.29780000000000001</v>
      </c>
      <c r="K161" s="42">
        <v>9672212425.2999992</v>
      </c>
      <c r="L161" s="64">
        <f t="shared" si="70"/>
        <v>0.17676553016367341</v>
      </c>
      <c r="M161" s="42">
        <v>321.29000000000002</v>
      </c>
      <c r="N161" s="42">
        <v>323.61</v>
      </c>
      <c r="O161" s="41">
        <v>5466</v>
      </c>
      <c r="P161" s="60">
        <v>1.1299999999999999E-2</v>
      </c>
      <c r="Q161" s="60">
        <v>0.31090000000000001</v>
      </c>
      <c r="R161" s="67">
        <f t="shared" si="71"/>
        <v>1.1520233587538011E-2</v>
      </c>
      <c r="S161" s="67">
        <f t="shared" si="72"/>
        <v>1.1249648448486057E-2</v>
      </c>
      <c r="T161" s="67">
        <f t="shared" si="73"/>
        <v>5.4914881933003845E-4</v>
      </c>
      <c r="U161" s="67">
        <f t="shared" si="74"/>
        <v>4.7999999999999996E-3</v>
      </c>
      <c r="V161" s="68">
        <f t="shared" si="75"/>
        <v>1.3100000000000001E-2</v>
      </c>
    </row>
    <row r="162" spans="1:22">
      <c r="A162" s="161">
        <v>139</v>
      </c>
      <c r="B162" s="162" t="s">
        <v>211</v>
      </c>
      <c r="C162" s="163" t="s">
        <v>81</v>
      </c>
      <c r="D162" s="42">
        <v>3275921316.9299998</v>
      </c>
      <c r="E162" s="39">
        <f t="shared" si="69"/>
        <v>6.0494759639601894E-2</v>
      </c>
      <c r="F162" s="42">
        <v>2.2953999999999999</v>
      </c>
      <c r="G162" s="42">
        <v>2.3363</v>
      </c>
      <c r="H162" s="41">
        <v>10307</v>
      </c>
      <c r="I162" s="60">
        <v>1.0155603016170651E-2</v>
      </c>
      <c r="J162" s="60">
        <v>0.31644419199091178</v>
      </c>
      <c r="K162" s="42">
        <v>3276425612.5</v>
      </c>
      <c r="L162" s="64">
        <f t="shared" si="70"/>
        <v>5.9878659087394613E-2</v>
      </c>
      <c r="M162" s="42">
        <v>2.2957000000000001</v>
      </c>
      <c r="N162" s="42">
        <v>2.3365999999999998</v>
      </c>
      <c r="O162" s="41">
        <v>10308</v>
      </c>
      <c r="P162" s="60">
        <v>1.0200000000000001E-2</v>
      </c>
      <c r="Q162" s="60">
        <v>0.31669999999999998</v>
      </c>
      <c r="R162" s="67">
        <f t="shared" si="71"/>
        <v>1.5394007401641982E-4</v>
      </c>
      <c r="S162" s="67">
        <f t="shared" si="72"/>
        <v>1.2840816675929671E-4</v>
      </c>
      <c r="T162" s="67">
        <f t="shared" si="73"/>
        <v>9.7021441738624241E-5</v>
      </c>
      <c r="U162" s="67">
        <f t="shared" si="74"/>
        <v>4.4396983829349951E-5</v>
      </c>
      <c r="V162" s="68">
        <f t="shared" si="75"/>
        <v>2.5580800908819867E-4</v>
      </c>
    </row>
    <row r="163" spans="1:22">
      <c r="A163" s="161">
        <v>140</v>
      </c>
      <c r="B163" s="162" t="s">
        <v>212</v>
      </c>
      <c r="C163" s="163" t="s">
        <v>83</v>
      </c>
      <c r="D163" s="42">
        <v>253616006.87127176</v>
      </c>
      <c r="E163" s="39">
        <f t="shared" si="69"/>
        <v>4.6833967889104355E-3</v>
      </c>
      <c r="F163" s="42">
        <v>329.99067141846461</v>
      </c>
      <c r="G163" s="42">
        <v>332.8449009832226</v>
      </c>
      <c r="H163" s="41">
        <v>40</v>
      </c>
      <c r="I163" s="60">
        <v>1.3237484995990867E-2</v>
      </c>
      <c r="J163" s="60">
        <v>0.35120248717739999</v>
      </c>
      <c r="K163" s="42">
        <v>257557862.05260137</v>
      </c>
      <c r="L163" s="64">
        <f t="shared" si="70"/>
        <v>4.7070256557292514E-3</v>
      </c>
      <c r="M163" s="42">
        <v>335.12</v>
      </c>
      <c r="N163" s="42">
        <v>338.14</v>
      </c>
      <c r="O163" s="41">
        <v>40</v>
      </c>
      <c r="P163" s="60">
        <v>1.5543859344529176E-2</v>
      </c>
      <c r="Q163" s="60">
        <v>0.37220538858406349</v>
      </c>
      <c r="R163" s="67">
        <f t="shared" si="71"/>
        <v>1.5542611958756929E-2</v>
      </c>
      <c r="S163" s="67">
        <f t="shared" si="72"/>
        <v>1.5908607886543198E-2</v>
      </c>
      <c r="T163" s="67">
        <f t="shared" si="73"/>
        <v>0</v>
      </c>
      <c r="U163" s="67">
        <f t="shared" si="74"/>
        <v>2.3063743485383092E-3</v>
      </c>
      <c r="V163" s="68">
        <f t="shared" si="75"/>
        <v>2.1002901406663499E-2</v>
      </c>
    </row>
    <row r="164" spans="1:22">
      <c r="A164" s="161">
        <v>141</v>
      </c>
      <c r="B164" s="162" t="s">
        <v>213</v>
      </c>
      <c r="C164" s="162" t="s">
        <v>85</v>
      </c>
      <c r="D164" s="42">
        <v>60056367.420000002</v>
      </c>
      <c r="E164" s="39">
        <f t="shared" si="69"/>
        <v>1.1090301507318378E-3</v>
      </c>
      <c r="F164" s="42">
        <v>1.1679999999999999</v>
      </c>
      <c r="G164" s="42">
        <v>1.1819999999999999</v>
      </c>
      <c r="H164" s="41">
        <v>28</v>
      </c>
      <c r="I164" s="60">
        <v>6.0000000000000001E-3</v>
      </c>
      <c r="J164" s="60">
        <v>0.20200000000000001</v>
      </c>
      <c r="K164" s="42">
        <v>61054072.130000003</v>
      </c>
      <c r="L164" s="64">
        <f t="shared" si="70"/>
        <v>1.1158000831827128E-3</v>
      </c>
      <c r="M164" s="42">
        <v>1.1870000000000001</v>
      </c>
      <c r="N164" s="42">
        <v>1.2070000000000001</v>
      </c>
      <c r="O164" s="41">
        <v>28</v>
      </c>
      <c r="P164" s="60">
        <v>1.6E-2</v>
      </c>
      <c r="Q164" s="60">
        <v>0.221</v>
      </c>
      <c r="R164" s="67">
        <f t="shared" ref="R164" si="76">((K164-D164)/D164)</f>
        <v>1.661280481755786E-2</v>
      </c>
      <c r="S164" s="67">
        <f t="shared" ref="S164" si="77">((N164-G164)/G164)</f>
        <v>2.1150592216582179E-2</v>
      </c>
      <c r="T164" s="67">
        <f t="shared" ref="T164" si="78">((O164-H164)/H164)</f>
        <v>0</v>
      </c>
      <c r="U164" s="67">
        <f t="shared" ref="U164" si="79">P164-I164</f>
        <v>0.01</v>
      </c>
      <c r="V164" s="68">
        <f t="shared" ref="V164:V166" si="80">Q164-J164</f>
        <v>1.8999999999999989E-2</v>
      </c>
    </row>
    <row r="165" spans="1:22" ht="13.5" customHeight="1">
      <c r="A165" s="161">
        <v>142</v>
      </c>
      <c r="B165" s="162" t="s">
        <v>214</v>
      </c>
      <c r="C165" s="163" t="s">
        <v>37</v>
      </c>
      <c r="D165" s="38">
        <v>2959857456.5999999</v>
      </c>
      <c r="E165" s="39">
        <f t="shared" si="69"/>
        <v>5.4658170353218669E-2</v>
      </c>
      <c r="F165" s="42">
        <v>4.1787210000000004</v>
      </c>
      <c r="G165" s="42">
        <v>4.3111660000000001</v>
      </c>
      <c r="H165" s="41">
        <v>2363</v>
      </c>
      <c r="I165" s="60">
        <v>1.2934625600038441E-2</v>
      </c>
      <c r="J165" s="60">
        <v>0.14885244549528509</v>
      </c>
      <c r="K165" s="38">
        <v>3000106794.8099999</v>
      </c>
      <c r="L165" s="64">
        <f t="shared" si="70"/>
        <v>5.4828765623991145E-2</v>
      </c>
      <c r="M165" s="42">
        <v>4.235252</v>
      </c>
      <c r="N165" s="42">
        <v>4.3696289999999998</v>
      </c>
      <c r="O165" s="41">
        <v>2364</v>
      </c>
      <c r="P165" s="60">
        <v>1.3528302080947574E-2</v>
      </c>
      <c r="Q165" s="60">
        <v>0.16439446842438077</v>
      </c>
      <c r="R165" s="67">
        <f t="shared" si="71"/>
        <v>1.359840424755948E-2</v>
      </c>
      <c r="S165" s="67">
        <f t="shared" si="72"/>
        <v>1.3560832498678944E-2</v>
      </c>
      <c r="T165" s="67">
        <f t="shared" si="73"/>
        <v>4.2319085907744394E-4</v>
      </c>
      <c r="U165" s="67">
        <f t="shared" si="74"/>
        <v>5.9367648090913328E-4</v>
      </c>
      <c r="V165" s="68">
        <f t="shared" si="80"/>
        <v>1.5542022929095678E-2</v>
      </c>
    </row>
    <row r="166" spans="1:22" ht="13.5" customHeight="1">
      <c r="A166" s="161">
        <v>143</v>
      </c>
      <c r="B166" s="162" t="s">
        <v>215</v>
      </c>
      <c r="C166" s="163" t="s">
        <v>216</v>
      </c>
      <c r="D166" s="38">
        <v>66338082.420000002</v>
      </c>
      <c r="E166" s="39">
        <f t="shared" si="69"/>
        <v>1.2250313614708081E-3</v>
      </c>
      <c r="F166" s="42">
        <v>2.1153</v>
      </c>
      <c r="G166" s="42">
        <v>2.1253000000000002</v>
      </c>
      <c r="H166" s="41">
        <v>73</v>
      </c>
      <c r="I166" s="60">
        <v>1.5599999999999999E-2</v>
      </c>
      <c r="J166" s="60">
        <v>6.08E-2</v>
      </c>
      <c r="K166" s="38">
        <v>66338082.420000002</v>
      </c>
      <c r="L166" s="64">
        <f t="shared" si="70"/>
        <v>1.212368566093507E-3</v>
      </c>
      <c r="M166" s="42">
        <v>2.1253000000000002</v>
      </c>
      <c r="N166" s="42">
        <v>2.1353</v>
      </c>
      <c r="O166" s="41">
        <v>73</v>
      </c>
      <c r="P166" s="60">
        <v>4.0000000000000001E-3</v>
      </c>
      <c r="Q166" s="60">
        <v>6.5000000000000002E-2</v>
      </c>
      <c r="R166" s="67">
        <f t="shared" ref="R166" si="81">((K166-D166)/D166)</f>
        <v>0</v>
      </c>
      <c r="S166" s="67">
        <f t="shared" ref="S166" si="82">((N166-G166)/G166)</f>
        <v>4.7052180868582252E-3</v>
      </c>
      <c r="T166" s="67">
        <f t="shared" ref="T166" si="83">((O166-H166)/H166)</f>
        <v>0</v>
      </c>
      <c r="U166" s="67">
        <f t="shared" ref="U166" si="84">P166-I166</f>
        <v>-1.1599999999999999E-2</v>
      </c>
      <c r="V166" s="68">
        <f t="shared" si="80"/>
        <v>4.2000000000000023E-3</v>
      </c>
    </row>
    <row r="167" spans="1:22">
      <c r="A167" s="161">
        <v>144</v>
      </c>
      <c r="B167" s="162" t="s">
        <v>217</v>
      </c>
      <c r="C167" s="163" t="s">
        <v>136</v>
      </c>
      <c r="D167" s="38">
        <v>356460242.41000003</v>
      </c>
      <c r="E167" s="39">
        <f t="shared" si="69"/>
        <v>6.5825685660471428E-3</v>
      </c>
      <c r="F167" s="42">
        <v>233.21</v>
      </c>
      <c r="G167" s="42">
        <v>236.58</v>
      </c>
      <c r="H167" s="41">
        <v>141</v>
      </c>
      <c r="I167" s="60">
        <v>5.9999999999999995E-4</v>
      </c>
      <c r="J167" s="60">
        <v>0.2059</v>
      </c>
      <c r="K167" s="38">
        <v>395381396.45999998</v>
      </c>
      <c r="L167" s="64">
        <f t="shared" si="70"/>
        <v>7.2258340790047008E-3</v>
      </c>
      <c r="M167" s="42">
        <v>229.74</v>
      </c>
      <c r="N167" s="42">
        <v>233.32</v>
      </c>
      <c r="O167" s="41">
        <v>141</v>
      </c>
      <c r="P167" s="60">
        <v>0.2059</v>
      </c>
      <c r="Q167" s="60">
        <v>5.9999999999999995E-4</v>
      </c>
      <c r="R167" s="67">
        <f t="shared" si="71"/>
        <v>0.10918792454063615</v>
      </c>
      <c r="S167" s="67">
        <f t="shared" si="72"/>
        <v>-1.3779693972440693E-2</v>
      </c>
      <c r="T167" s="67">
        <f t="shared" si="73"/>
        <v>0</v>
      </c>
      <c r="U167" s="67">
        <f t="shared" si="74"/>
        <v>0.20530000000000001</v>
      </c>
      <c r="V167" s="68">
        <f t="shared" si="75"/>
        <v>-0.20530000000000001</v>
      </c>
    </row>
    <row r="168" spans="1:22">
      <c r="A168" s="161">
        <v>145</v>
      </c>
      <c r="B168" s="162" t="s">
        <v>218</v>
      </c>
      <c r="C168" s="163" t="s">
        <v>33</v>
      </c>
      <c r="D168" s="38">
        <v>2209831026.3099999</v>
      </c>
      <c r="E168" s="39">
        <f t="shared" si="69"/>
        <v>4.0807816747576289E-2</v>
      </c>
      <c r="F168" s="42">
        <v>552.22</v>
      </c>
      <c r="G168" s="42">
        <v>552.22</v>
      </c>
      <c r="H168" s="41">
        <v>823</v>
      </c>
      <c r="I168" s="60">
        <v>7.4000000000000003E-3</v>
      </c>
      <c r="J168" s="60">
        <v>0.41360000000000002</v>
      </c>
      <c r="K168" s="38">
        <v>2170228026.8699999</v>
      </c>
      <c r="L168" s="64">
        <f t="shared" si="70"/>
        <v>3.9662229371874011E-2</v>
      </c>
      <c r="M168" s="42">
        <v>552.22</v>
      </c>
      <c r="N168" s="42">
        <v>552.22</v>
      </c>
      <c r="O168" s="41">
        <v>823</v>
      </c>
      <c r="P168" s="60">
        <v>-1.7899999999999999E-2</v>
      </c>
      <c r="Q168" s="60">
        <v>0.38819999999999999</v>
      </c>
      <c r="R168" s="67">
        <f t="shared" si="71"/>
        <v>-1.7921279486300623E-2</v>
      </c>
      <c r="S168" s="67">
        <f t="shared" si="72"/>
        <v>0</v>
      </c>
      <c r="T168" s="67">
        <f t="shared" si="73"/>
        <v>0</v>
      </c>
      <c r="U168" s="67">
        <f t="shared" si="74"/>
        <v>-2.53E-2</v>
      </c>
      <c r="V168" s="68">
        <f t="shared" si="75"/>
        <v>-2.5400000000000034E-2</v>
      </c>
    </row>
    <row r="169" spans="1:22">
      <c r="A169" s="161">
        <v>146</v>
      </c>
      <c r="B169" s="162" t="s">
        <v>219</v>
      </c>
      <c r="C169" s="163" t="s">
        <v>92</v>
      </c>
      <c r="D169" s="42">
        <v>31158979.670000002</v>
      </c>
      <c r="E169" s="39">
        <f t="shared" si="69"/>
        <v>5.7539690468462186E-4</v>
      </c>
      <c r="F169" s="42">
        <v>1.85</v>
      </c>
      <c r="G169" s="42">
        <v>1.85</v>
      </c>
      <c r="H169" s="41">
        <v>8</v>
      </c>
      <c r="I169" s="60">
        <v>7.535E-3</v>
      </c>
      <c r="J169" s="60">
        <v>0.134965</v>
      </c>
      <c r="K169" s="42">
        <v>33080715.920000002</v>
      </c>
      <c r="L169" s="64">
        <f t="shared" si="70"/>
        <v>6.0457008496805225E-4</v>
      </c>
      <c r="M169" s="42">
        <v>1.96</v>
      </c>
      <c r="N169" s="42">
        <v>1.96</v>
      </c>
      <c r="O169" s="41">
        <v>8</v>
      </c>
      <c r="P169" s="60">
        <v>6.1675000000000001E-2</v>
      </c>
      <c r="Q169" s="60">
        <v>0.20496400000000001</v>
      </c>
      <c r="R169" s="67">
        <f t="shared" si="71"/>
        <v>6.1675198300869136E-2</v>
      </c>
      <c r="S169" s="67">
        <f t="shared" si="72"/>
        <v>5.9459459459459386E-2</v>
      </c>
      <c r="T169" s="67">
        <f t="shared" si="73"/>
        <v>0</v>
      </c>
      <c r="U169" s="67">
        <f t="shared" si="74"/>
        <v>5.4140000000000001E-2</v>
      </c>
      <c r="V169" s="68">
        <f t="shared" si="75"/>
        <v>6.9999000000000006E-2</v>
      </c>
    </row>
    <row r="170" spans="1:22">
      <c r="A170" s="161">
        <v>147</v>
      </c>
      <c r="B170" s="162" t="s">
        <v>220</v>
      </c>
      <c r="C170" s="163" t="s">
        <v>45</v>
      </c>
      <c r="D170" s="42">
        <v>258569849.78</v>
      </c>
      <c r="E170" s="39">
        <f t="shared" si="69"/>
        <v>4.7748768664407177E-3</v>
      </c>
      <c r="F170" s="42">
        <v>2.6057009999999998</v>
      </c>
      <c r="G170" s="42">
        <v>2.655564</v>
      </c>
      <c r="H170" s="41">
        <v>115</v>
      </c>
      <c r="I170" s="60">
        <v>1.4E-2</v>
      </c>
      <c r="J170" s="60">
        <v>0.12230000000000001</v>
      </c>
      <c r="K170" s="42">
        <v>260662123.53999999</v>
      </c>
      <c r="L170" s="64">
        <f t="shared" si="70"/>
        <v>4.7637579113351527E-3</v>
      </c>
      <c r="M170" s="42">
        <v>2.6208140000000002</v>
      </c>
      <c r="N170" s="42">
        <v>2.6720480000000002</v>
      </c>
      <c r="O170" s="41">
        <v>119</v>
      </c>
      <c r="P170" s="60">
        <v>-2.3999999999999998E-3</v>
      </c>
      <c r="Q170" s="60">
        <v>0.129</v>
      </c>
      <c r="R170" s="67">
        <f t="shared" si="71"/>
        <v>8.0917158817246787E-3</v>
      </c>
      <c r="S170" s="67">
        <f t="shared" si="72"/>
        <v>6.2073442779011032E-3</v>
      </c>
      <c r="T170" s="67">
        <f t="shared" si="73"/>
        <v>3.4782608695652174E-2</v>
      </c>
      <c r="U170" s="67">
        <f t="shared" si="74"/>
        <v>-1.6400000000000001E-2</v>
      </c>
      <c r="V170" s="68">
        <f t="shared" si="75"/>
        <v>6.6999999999999976E-3</v>
      </c>
    </row>
    <row r="171" spans="1:22">
      <c r="A171" s="161">
        <v>148</v>
      </c>
      <c r="B171" s="162" t="s">
        <v>221</v>
      </c>
      <c r="C171" s="163" t="s">
        <v>49</v>
      </c>
      <c r="D171" s="38">
        <v>2674473089.2399998</v>
      </c>
      <c r="E171" s="39">
        <f t="shared" si="69"/>
        <v>4.9388123536428179E-2</v>
      </c>
      <c r="F171" s="42">
        <v>6319.83</v>
      </c>
      <c r="G171" s="42">
        <v>6370.2</v>
      </c>
      <c r="H171" s="41">
        <v>2242</v>
      </c>
      <c r="I171" s="60">
        <v>7.0000000000000001E-3</v>
      </c>
      <c r="J171" s="60">
        <v>0.26869999999999999</v>
      </c>
      <c r="K171" s="38">
        <v>2713152310.1399999</v>
      </c>
      <c r="L171" s="39">
        <f t="shared" si="70"/>
        <v>4.9584498915905169E-2</v>
      </c>
      <c r="M171" s="42">
        <v>6374.45</v>
      </c>
      <c r="N171" s="42">
        <v>6425.3</v>
      </c>
      <c r="O171" s="41">
        <v>2241</v>
      </c>
      <c r="P171" s="60">
        <v>8.6E-3</v>
      </c>
      <c r="Q171" s="60">
        <v>0.27960000000000002</v>
      </c>
      <c r="R171" s="67">
        <f t="shared" si="71"/>
        <v>1.4462370571465164E-2</v>
      </c>
      <c r="S171" s="67">
        <f t="shared" si="72"/>
        <v>8.6496499324982528E-3</v>
      </c>
      <c r="T171" s="67">
        <f t="shared" si="73"/>
        <v>-4.4603033006244426E-4</v>
      </c>
      <c r="U171" s="67">
        <f t="shared" si="74"/>
        <v>1.5999999999999999E-3</v>
      </c>
      <c r="V171" s="68">
        <f t="shared" si="75"/>
        <v>1.0900000000000021E-2</v>
      </c>
    </row>
    <row r="172" spans="1:22">
      <c r="A172" s="161">
        <v>149</v>
      </c>
      <c r="B172" s="162" t="s">
        <v>222</v>
      </c>
      <c r="C172" s="162" t="s">
        <v>102</v>
      </c>
      <c r="D172" s="38">
        <v>83437633.939999998</v>
      </c>
      <c r="E172" s="39">
        <f t="shared" si="69"/>
        <v>1.540800013727938E-3</v>
      </c>
      <c r="F172" s="42">
        <v>1092.3</v>
      </c>
      <c r="G172" s="42">
        <v>1109.74</v>
      </c>
      <c r="H172" s="41">
        <v>8</v>
      </c>
      <c r="I172" s="60">
        <v>4.0860272031044698E-3</v>
      </c>
      <c r="J172" s="60">
        <v>0.1052</v>
      </c>
      <c r="K172" s="38">
        <v>84001102.209999993</v>
      </c>
      <c r="L172" s="39">
        <f t="shared" si="70"/>
        <v>1.5351709323136601E-3</v>
      </c>
      <c r="M172" s="42">
        <v>1099.6199999999999</v>
      </c>
      <c r="N172" s="42">
        <v>1117.26</v>
      </c>
      <c r="O172" s="41">
        <v>8</v>
      </c>
      <c r="P172" s="60">
        <v>6.7531669271110317E-3</v>
      </c>
      <c r="Q172" s="60">
        <v>0.11310000000000001</v>
      </c>
      <c r="R172" s="67">
        <f t="shared" si="71"/>
        <v>6.7531669271109224E-3</v>
      </c>
      <c r="S172" s="67">
        <f t="shared" si="72"/>
        <v>6.7763620307459242E-3</v>
      </c>
      <c r="T172" s="67">
        <f t="shared" si="73"/>
        <v>0</v>
      </c>
      <c r="U172" s="67">
        <f t="shared" si="74"/>
        <v>2.667139724006562E-3</v>
      </c>
      <c r="V172" s="68">
        <f t="shared" si="75"/>
        <v>7.9000000000000042E-3</v>
      </c>
    </row>
    <row r="173" spans="1:22">
      <c r="A173" s="161">
        <v>150</v>
      </c>
      <c r="B173" s="162" t="s">
        <v>223</v>
      </c>
      <c r="C173" s="162" t="s">
        <v>85</v>
      </c>
      <c r="D173" s="38">
        <v>701761159.28999996</v>
      </c>
      <c r="E173" s="39">
        <f t="shared" si="69"/>
        <v>1.2959063588084359E-2</v>
      </c>
      <c r="F173" s="42">
        <v>1.339</v>
      </c>
      <c r="G173" s="42">
        <v>1.339</v>
      </c>
      <c r="H173" s="41">
        <v>44</v>
      </c>
      <c r="I173" s="60">
        <v>3.0000000000000001E-3</v>
      </c>
      <c r="J173" s="60">
        <v>0.25800000000000001</v>
      </c>
      <c r="K173" s="38">
        <v>703823318.35000002</v>
      </c>
      <c r="L173" s="39">
        <f t="shared" si="70"/>
        <v>1.2862796694194278E-2</v>
      </c>
      <c r="M173" s="42">
        <v>1.343</v>
      </c>
      <c r="N173" s="42">
        <v>1.343</v>
      </c>
      <c r="O173" s="41">
        <v>44</v>
      </c>
      <c r="P173" s="60">
        <v>3.0000000000000001E-3</v>
      </c>
      <c r="Q173" s="60">
        <v>0.26200000000000001</v>
      </c>
      <c r="R173" s="67">
        <f t="shared" si="71"/>
        <v>2.9385482976664475E-3</v>
      </c>
      <c r="S173" s="67">
        <f t="shared" si="72"/>
        <v>2.9873039581777474E-3</v>
      </c>
      <c r="T173" s="67">
        <f t="shared" si="73"/>
        <v>0</v>
      </c>
      <c r="U173" s="67">
        <f t="shared" si="74"/>
        <v>0</v>
      </c>
      <c r="V173" s="68">
        <f t="shared" si="75"/>
        <v>4.0000000000000036E-3</v>
      </c>
    </row>
    <row r="174" spans="1:22">
      <c r="A174" s="161">
        <v>151</v>
      </c>
      <c r="B174" s="162" t="s">
        <v>224</v>
      </c>
      <c r="C174" s="163" t="s">
        <v>52</v>
      </c>
      <c r="D174" s="42">
        <v>2096177106.8399999</v>
      </c>
      <c r="E174" s="39">
        <f t="shared" si="69"/>
        <v>3.8709028078598239E-2</v>
      </c>
      <c r="F174" s="42">
        <v>1.9531000000000001</v>
      </c>
      <c r="G174" s="42">
        <v>1.9654</v>
      </c>
      <c r="H174" s="41">
        <v>2210</v>
      </c>
      <c r="I174" s="60">
        <v>4.1000000000000003E-3</v>
      </c>
      <c r="J174" s="60">
        <v>0.24890000000000001</v>
      </c>
      <c r="K174" s="42">
        <v>2120693726.2</v>
      </c>
      <c r="L174" s="64">
        <f t="shared" si="70"/>
        <v>3.8756960077300208E-2</v>
      </c>
      <c r="M174" s="42">
        <v>1.9735</v>
      </c>
      <c r="N174" s="42">
        <v>1.986</v>
      </c>
      <c r="O174" s="41">
        <v>2217</v>
      </c>
      <c r="P174" s="60">
        <v>1.04E-2</v>
      </c>
      <c r="Q174" s="60">
        <v>0.25990000000000002</v>
      </c>
      <c r="R174" s="67">
        <f t="shared" si="71"/>
        <v>1.1695872109279493E-2</v>
      </c>
      <c r="S174" s="67">
        <f t="shared" si="72"/>
        <v>1.048132695634474E-2</v>
      </c>
      <c r="T174" s="67">
        <f t="shared" si="73"/>
        <v>3.167420814479638E-3</v>
      </c>
      <c r="U174" s="67">
        <f t="shared" si="74"/>
        <v>6.2999999999999992E-3</v>
      </c>
      <c r="V174" s="68">
        <f t="shared" si="75"/>
        <v>1.100000000000001E-2</v>
      </c>
    </row>
    <row r="175" spans="1:22">
      <c r="A175" s="161">
        <v>152</v>
      </c>
      <c r="B175" s="162" t="s">
        <v>225</v>
      </c>
      <c r="C175" s="163" t="s">
        <v>52</v>
      </c>
      <c r="D175" s="42">
        <v>1179595360.0899999</v>
      </c>
      <c r="E175" s="39">
        <f t="shared" si="69"/>
        <v>2.1782982824357925E-2</v>
      </c>
      <c r="F175" s="42">
        <v>1.4938</v>
      </c>
      <c r="G175" s="42">
        <v>1.5022</v>
      </c>
      <c r="H175" s="41">
        <v>826</v>
      </c>
      <c r="I175" s="60">
        <v>-2.3E-3</v>
      </c>
      <c r="J175" s="60">
        <v>0.24210000000000001</v>
      </c>
      <c r="K175" s="42">
        <v>1193170019.3099999</v>
      </c>
      <c r="L175" s="64">
        <f t="shared" si="70"/>
        <v>2.1805903526998977E-2</v>
      </c>
      <c r="M175" s="42">
        <v>1.5107999999999999</v>
      </c>
      <c r="N175" s="42">
        <v>1.5194000000000001</v>
      </c>
      <c r="O175" s="41">
        <v>830</v>
      </c>
      <c r="P175" s="60">
        <v>1.14E-2</v>
      </c>
      <c r="Q175" s="60">
        <v>0.25409999999999999</v>
      </c>
      <c r="R175" s="67">
        <f t="shared" si="71"/>
        <v>1.1507894723292502E-2</v>
      </c>
      <c r="S175" s="67">
        <f t="shared" si="72"/>
        <v>1.1449873518839106E-2</v>
      </c>
      <c r="T175" s="67">
        <f t="shared" si="73"/>
        <v>4.8426150121065378E-3</v>
      </c>
      <c r="U175" s="67">
        <f t="shared" si="74"/>
        <v>1.37E-2</v>
      </c>
      <c r="V175" s="68">
        <f t="shared" si="75"/>
        <v>1.1999999999999983E-2</v>
      </c>
    </row>
    <row r="176" spans="1:22">
      <c r="A176" s="161">
        <v>153</v>
      </c>
      <c r="B176" s="162" t="s">
        <v>226</v>
      </c>
      <c r="C176" s="163" t="s">
        <v>107</v>
      </c>
      <c r="D176" s="38">
        <v>9759333259.6100006</v>
      </c>
      <c r="E176" s="39">
        <f t="shared" si="69"/>
        <v>0.18022060442408816</v>
      </c>
      <c r="F176" s="42">
        <v>529.29</v>
      </c>
      <c r="G176" s="42">
        <v>535.35</v>
      </c>
      <c r="H176" s="41">
        <v>37</v>
      </c>
      <c r="I176" s="60">
        <v>1.089E-2</v>
      </c>
      <c r="J176" s="60">
        <v>0.52185000000000004</v>
      </c>
      <c r="K176" s="38">
        <v>9876424527.5100002</v>
      </c>
      <c r="L176" s="64">
        <f t="shared" si="70"/>
        <v>0.1804976298039343</v>
      </c>
      <c r="M176" s="42">
        <v>535.6</v>
      </c>
      <c r="N176" s="42">
        <v>541.79999999999995</v>
      </c>
      <c r="O176" s="41">
        <v>37</v>
      </c>
      <c r="P176" s="60">
        <v>1.2E-2</v>
      </c>
      <c r="Q176" s="60">
        <v>0.54010999999999998</v>
      </c>
      <c r="R176" s="67">
        <f t="shared" si="71"/>
        <v>1.1997875754954881E-2</v>
      </c>
      <c r="S176" s="67">
        <f t="shared" si="72"/>
        <v>1.204819277108421E-2</v>
      </c>
      <c r="T176" s="67">
        <f t="shared" si="73"/>
        <v>0</v>
      </c>
      <c r="U176" s="67">
        <f t="shared" si="74"/>
        <v>1.1099999999999999E-3</v>
      </c>
      <c r="V176" s="68">
        <f t="shared" si="75"/>
        <v>1.8259999999999943E-2</v>
      </c>
    </row>
    <row r="177" spans="1:24">
      <c r="A177" s="161">
        <v>154</v>
      </c>
      <c r="B177" s="162" t="s">
        <v>227</v>
      </c>
      <c r="C177" s="163" t="s">
        <v>47</v>
      </c>
      <c r="D177" s="38">
        <v>533443074.63</v>
      </c>
      <c r="E177" s="39">
        <f t="shared" si="69"/>
        <v>9.8508198027766076E-3</v>
      </c>
      <c r="F177" s="42">
        <v>257.56</v>
      </c>
      <c r="G177" s="42">
        <v>260.88</v>
      </c>
      <c r="H177" s="41">
        <v>711</v>
      </c>
      <c r="I177" s="60">
        <v>-8.9999999999999998E-4</v>
      </c>
      <c r="J177" s="60">
        <v>0.33510000000000001</v>
      </c>
      <c r="K177" s="38">
        <v>551552943.20000005</v>
      </c>
      <c r="L177" s="64">
        <f t="shared" si="70"/>
        <v>1.0079963521382075E-2</v>
      </c>
      <c r="M177" s="42">
        <v>266.25</v>
      </c>
      <c r="N177" s="42">
        <v>269.8</v>
      </c>
      <c r="O177" s="41">
        <v>711</v>
      </c>
      <c r="P177" s="60">
        <v>2.8299999999999999E-2</v>
      </c>
      <c r="Q177" s="60">
        <v>0.38040000000000002</v>
      </c>
      <c r="R177" s="67">
        <f t="shared" si="71"/>
        <v>3.3949018051384748E-2</v>
      </c>
      <c r="S177" s="67">
        <f t="shared" si="72"/>
        <v>3.419196565470721E-2</v>
      </c>
      <c r="T177" s="67">
        <f t="shared" si="73"/>
        <v>0</v>
      </c>
      <c r="U177" s="67">
        <f t="shared" si="74"/>
        <v>2.92E-2</v>
      </c>
      <c r="V177" s="68">
        <f t="shared" si="75"/>
        <v>4.5300000000000007E-2</v>
      </c>
    </row>
    <row r="178" spans="1:24">
      <c r="A178" s="45"/>
      <c r="B178" s="46"/>
      <c r="C178" s="47" t="s">
        <v>53</v>
      </c>
      <c r="D178" s="85">
        <f>SUM(D149:D177)</f>
        <v>54152150309.321541</v>
      </c>
      <c r="E178" s="49">
        <f>(D178/$D$208)</f>
        <v>1.4280149522971096E-2</v>
      </c>
      <c r="F178" s="50"/>
      <c r="G178" s="86"/>
      <c r="H178" s="52">
        <f>SUM(H149:H177)</f>
        <v>69916</v>
      </c>
      <c r="I178" s="92"/>
      <c r="J178" s="92"/>
      <c r="K178" s="85">
        <f>SUM(K149:K177)</f>
        <v>54717751907.536263</v>
      </c>
      <c r="L178" s="49">
        <f>(K178/$K$208)</f>
        <v>1.4287248973509206E-2</v>
      </c>
      <c r="M178" s="50"/>
      <c r="N178" s="86"/>
      <c r="O178" s="52">
        <f>SUM(O149:O177)</f>
        <v>69942</v>
      </c>
      <c r="P178" s="92"/>
      <c r="Q178" s="92"/>
      <c r="R178" s="67">
        <f t="shared" si="71"/>
        <v>1.0444674772542895E-2</v>
      </c>
      <c r="S178" s="67" t="e">
        <f t="shared" si="72"/>
        <v>#DIV/0!</v>
      </c>
      <c r="T178" s="67">
        <f t="shared" si="73"/>
        <v>3.7187482121402827E-4</v>
      </c>
      <c r="U178" s="67">
        <f t="shared" si="74"/>
        <v>0</v>
      </c>
      <c r="V178" s="68">
        <f t="shared" si="75"/>
        <v>0</v>
      </c>
    </row>
    <row r="179" spans="1:24" ht="5.25" customHeight="1">
      <c r="A179" s="45"/>
      <c r="B179" s="174"/>
      <c r="C179" s="174"/>
      <c r="D179" s="174"/>
      <c r="E179" s="174"/>
      <c r="F179" s="174"/>
      <c r="G179" s="174"/>
      <c r="H179" s="174"/>
      <c r="I179" s="174"/>
      <c r="J179" s="174"/>
      <c r="K179" s="174"/>
      <c r="L179" s="174"/>
      <c r="M179" s="174"/>
      <c r="N179" s="174"/>
      <c r="O179" s="174"/>
      <c r="P179" s="174"/>
      <c r="Q179" s="174"/>
      <c r="R179" s="174"/>
      <c r="S179" s="174"/>
      <c r="T179" s="174"/>
      <c r="U179" s="174"/>
      <c r="V179" s="174"/>
    </row>
    <row r="180" spans="1:24" ht="15" customHeight="1">
      <c r="A180" s="176" t="s">
        <v>228</v>
      </c>
      <c r="B180" s="176"/>
      <c r="C180" s="176"/>
      <c r="D180" s="176"/>
      <c r="E180" s="176"/>
      <c r="F180" s="176"/>
      <c r="G180" s="176"/>
      <c r="H180" s="176"/>
      <c r="I180" s="176"/>
      <c r="J180" s="176"/>
      <c r="K180" s="176"/>
      <c r="L180" s="176"/>
      <c r="M180" s="176"/>
      <c r="N180" s="176"/>
      <c r="O180" s="176"/>
      <c r="P180" s="176"/>
      <c r="Q180" s="176"/>
      <c r="R180" s="176"/>
      <c r="S180" s="176"/>
      <c r="T180" s="176"/>
      <c r="U180" s="176"/>
      <c r="V180" s="176"/>
    </row>
    <row r="181" spans="1:24" ht="16.2" customHeight="1">
      <c r="A181" s="161">
        <v>155</v>
      </c>
      <c r="B181" s="162" t="s">
        <v>229</v>
      </c>
      <c r="C181" s="163" t="s">
        <v>23</v>
      </c>
      <c r="D181" s="88">
        <v>956176902.67999995</v>
      </c>
      <c r="E181" s="39">
        <f>(D181/$D$184)</f>
        <v>0.16423930663168465</v>
      </c>
      <c r="F181" s="87">
        <v>66.582899999999995</v>
      </c>
      <c r="G181" s="87">
        <v>68.590400000000002</v>
      </c>
      <c r="H181" s="43">
        <v>1654</v>
      </c>
      <c r="I181" s="61">
        <v>-0.49980000000000002</v>
      </c>
      <c r="J181" s="61">
        <v>0.22789999999999999</v>
      </c>
      <c r="K181" s="88">
        <v>968928940.35000002</v>
      </c>
      <c r="L181" s="64">
        <f>(K181/$K$184)</f>
        <v>0.16467752968433158</v>
      </c>
      <c r="M181" s="87">
        <v>67.349999999999994</v>
      </c>
      <c r="N181" s="87">
        <v>69.380600000000001</v>
      </c>
      <c r="O181" s="43">
        <v>1657</v>
      </c>
      <c r="P181" s="61">
        <v>0.60240000000000005</v>
      </c>
      <c r="Q181" s="61">
        <v>0.23769999999999999</v>
      </c>
      <c r="R181" s="67">
        <f>((K181-D181)/D181)</f>
        <v>1.3336483692775156E-2</v>
      </c>
      <c r="S181" s="67">
        <f t="shared" ref="S181:T184" si="85">((N181-G181)/G181)</f>
        <v>1.1520562644335047E-2</v>
      </c>
      <c r="T181" s="67">
        <f t="shared" si="85"/>
        <v>1.8137847642079807E-3</v>
      </c>
      <c r="U181" s="67">
        <f t="shared" ref="U181:V184" si="86">P181-I181</f>
        <v>1.1022000000000001</v>
      </c>
      <c r="V181" s="68">
        <f t="shared" si="86"/>
        <v>9.8000000000000032E-3</v>
      </c>
    </row>
    <row r="182" spans="1:24">
      <c r="A182" s="161">
        <v>156</v>
      </c>
      <c r="B182" s="162" t="s">
        <v>230</v>
      </c>
      <c r="C182" s="163" t="s">
        <v>231</v>
      </c>
      <c r="D182" s="88">
        <v>938880080.08000004</v>
      </c>
      <c r="E182" s="39">
        <f>(D182/$D$184)</f>
        <v>0.16126828929922984</v>
      </c>
      <c r="F182" s="87">
        <v>26.2151</v>
      </c>
      <c r="G182" s="87">
        <v>26.481300000000001</v>
      </c>
      <c r="H182" s="41">
        <v>1482</v>
      </c>
      <c r="I182" s="60">
        <v>2.2700000000000001E-2</v>
      </c>
      <c r="J182" s="60">
        <v>0.2036</v>
      </c>
      <c r="K182" s="88">
        <v>946468873.02999997</v>
      </c>
      <c r="L182" s="64">
        <f>(K182/$K$184)</f>
        <v>0.1608602544964676</v>
      </c>
      <c r="M182" s="87">
        <v>26.930800000000001</v>
      </c>
      <c r="N182" s="87">
        <v>27.2121</v>
      </c>
      <c r="O182" s="41">
        <v>1483</v>
      </c>
      <c r="P182" s="60">
        <v>1.2699999999999999E-2</v>
      </c>
      <c r="Q182" s="60">
        <v>0.23669999999999999</v>
      </c>
      <c r="R182" s="67">
        <f>((K182-D182)/D182)</f>
        <v>8.0828138875342868E-3</v>
      </c>
      <c r="S182" s="67">
        <f t="shared" si="85"/>
        <v>2.7596832481788982E-2</v>
      </c>
      <c r="T182" s="67">
        <f t="shared" si="85"/>
        <v>6.7476383265856947E-4</v>
      </c>
      <c r="U182" s="67">
        <f t="shared" si="86"/>
        <v>-1.0000000000000002E-2</v>
      </c>
      <c r="V182" s="68">
        <f t="shared" si="86"/>
        <v>3.3099999999999991E-2</v>
      </c>
    </row>
    <row r="183" spans="1:24">
      <c r="A183" s="161">
        <v>157</v>
      </c>
      <c r="B183" s="162" t="s">
        <v>232</v>
      </c>
      <c r="C183" s="163" t="s">
        <v>49</v>
      </c>
      <c r="D183" s="54">
        <v>3926794815.6300001</v>
      </c>
      <c r="E183" s="39">
        <f>(D183/$D$184)</f>
        <v>0.6744924040690855</v>
      </c>
      <c r="F183" s="87">
        <v>2.82</v>
      </c>
      <c r="G183" s="87">
        <v>2.86</v>
      </c>
      <c r="H183" s="41">
        <v>10189</v>
      </c>
      <c r="I183" s="60">
        <v>1.06E-2</v>
      </c>
      <c r="J183" s="60">
        <v>0.375</v>
      </c>
      <c r="K183" s="54">
        <v>3968397882.4099998</v>
      </c>
      <c r="L183" s="64">
        <f>(K183/$K$184)</f>
        <v>0.67446221581920085</v>
      </c>
      <c r="M183" s="87">
        <v>2.85</v>
      </c>
      <c r="N183" s="87">
        <v>2.89</v>
      </c>
      <c r="O183" s="41">
        <v>10194</v>
      </c>
      <c r="P183" s="60">
        <v>1.0500000000000001E-2</v>
      </c>
      <c r="Q183" s="60">
        <v>0.38940000000000002</v>
      </c>
      <c r="R183" s="67">
        <f>((K183-D183)/D183)</f>
        <v>1.059466275508085E-2</v>
      </c>
      <c r="S183" s="67">
        <f t="shared" si="85"/>
        <v>1.0489510489510577E-2</v>
      </c>
      <c r="T183" s="67">
        <f t="shared" si="85"/>
        <v>4.9072529198154876E-4</v>
      </c>
      <c r="U183" s="67">
        <f t="shared" si="86"/>
        <v>-9.9999999999999395E-5</v>
      </c>
      <c r="V183" s="68">
        <f t="shared" si="86"/>
        <v>1.4400000000000024E-2</v>
      </c>
    </row>
    <row r="184" spans="1:24">
      <c r="A184" s="45"/>
      <c r="B184" s="46"/>
      <c r="C184" s="81" t="s">
        <v>53</v>
      </c>
      <c r="D184" s="85">
        <f>SUM(D181:D183)</f>
        <v>5821851798.3900003</v>
      </c>
      <c r="E184" s="49">
        <f>(D184/$D$208)</f>
        <v>1.5352467761058884E-3</v>
      </c>
      <c r="F184" s="50"/>
      <c r="G184" s="86"/>
      <c r="H184" s="52">
        <f>SUM(H181:H183)</f>
        <v>13325</v>
      </c>
      <c r="I184" s="92"/>
      <c r="J184" s="92"/>
      <c r="K184" s="85">
        <f>SUM(K181:K183)</f>
        <v>5883795695.79</v>
      </c>
      <c r="L184" s="49">
        <f>(K184/$K$208)</f>
        <v>1.53630679412901E-3</v>
      </c>
      <c r="M184" s="50"/>
      <c r="N184" s="86"/>
      <c r="O184" s="52">
        <f>SUM(O181:O183)</f>
        <v>13334</v>
      </c>
      <c r="P184" s="92"/>
      <c r="Q184" s="92"/>
      <c r="R184" s="67">
        <f>((K184-D184)/D184)</f>
        <v>1.0639895954948535E-2</v>
      </c>
      <c r="S184" s="67" t="e">
        <f t="shared" si="85"/>
        <v>#DIV/0!</v>
      </c>
      <c r="T184" s="67">
        <f t="shared" si="85"/>
        <v>6.7542213883677298E-4</v>
      </c>
      <c r="U184" s="67">
        <f t="shared" si="86"/>
        <v>0</v>
      </c>
      <c r="V184" s="68">
        <f t="shared" si="86"/>
        <v>0</v>
      </c>
    </row>
    <row r="185" spans="1:24" ht="6" customHeight="1">
      <c r="A185" s="45"/>
      <c r="B185" s="174"/>
      <c r="C185" s="174"/>
      <c r="D185" s="174"/>
      <c r="E185" s="174"/>
      <c r="F185" s="174"/>
      <c r="G185" s="174"/>
      <c r="H185" s="174"/>
      <c r="I185" s="174"/>
      <c r="J185" s="174"/>
      <c r="K185" s="174"/>
      <c r="L185" s="174"/>
      <c r="M185" s="174"/>
      <c r="N185" s="174"/>
      <c r="O185" s="174"/>
      <c r="P185" s="174"/>
      <c r="Q185" s="174"/>
      <c r="R185" s="174"/>
      <c r="S185" s="174"/>
      <c r="T185" s="174"/>
      <c r="U185" s="174"/>
      <c r="V185" s="174"/>
    </row>
    <row r="186" spans="1:24" ht="15" customHeight="1">
      <c r="A186" s="172" t="s">
        <v>233</v>
      </c>
      <c r="B186" s="172"/>
      <c r="C186" s="172"/>
      <c r="D186" s="172"/>
      <c r="E186" s="172"/>
      <c r="F186" s="172"/>
      <c r="G186" s="172"/>
      <c r="H186" s="172"/>
      <c r="I186" s="172"/>
      <c r="J186" s="172"/>
      <c r="K186" s="172"/>
      <c r="L186" s="172"/>
      <c r="M186" s="172"/>
      <c r="N186" s="172"/>
      <c r="O186" s="172"/>
      <c r="P186" s="172"/>
      <c r="Q186" s="172"/>
      <c r="R186" s="172"/>
      <c r="S186" s="172"/>
      <c r="T186" s="172"/>
      <c r="U186" s="172"/>
      <c r="V186" s="172"/>
    </row>
    <row r="187" spans="1:24">
      <c r="A187" s="175" t="s">
        <v>234</v>
      </c>
      <c r="B187" s="175"/>
      <c r="C187" s="175"/>
      <c r="D187" s="175"/>
      <c r="E187" s="175"/>
      <c r="F187" s="175"/>
      <c r="G187" s="175"/>
      <c r="H187" s="175"/>
      <c r="I187" s="175"/>
      <c r="J187" s="175"/>
      <c r="K187" s="175"/>
      <c r="L187" s="175"/>
      <c r="M187" s="175"/>
      <c r="N187" s="175"/>
      <c r="O187" s="175"/>
      <c r="P187" s="175"/>
      <c r="Q187" s="175"/>
      <c r="R187" s="175"/>
      <c r="S187" s="175"/>
      <c r="T187" s="175"/>
      <c r="U187" s="175"/>
      <c r="V187" s="175"/>
    </row>
    <row r="188" spans="1:24">
      <c r="A188" s="161">
        <v>158</v>
      </c>
      <c r="B188" s="162" t="s">
        <v>235</v>
      </c>
      <c r="C188" s="163" t="s">
        <v>236</v>
      </c>
      <c r="D188" s="57">
        <v>4865494534.1099997</v>
      </c>
      <c r="E188" s="39">
        <f>(D188/$D$207)</f>
        <v>9.3680452266630479E-2</v>
      </c>
      <c r="F188" s="89">
        <v>2.25</v>
      </c>
      <c r="G188" s="89">
        <v>2.29</v>
      </c>
      <c r="H188" s="56">
        <v>14968</v>
      </c>
      <c r="I188" s="63">
        <v>2.4899999999999999E-2</v>
      </c>
      <c r="J188" s="63">
        <v>0.30030000000000001</v>
      </c>
      <c r="K188" s="57">
        <v>4868261971.4799995</v>
      </c>
      <c r="L188" s="39">
        <f>(K188/$K$207)</f>
        <v>9.2999729797710637E-2</v>
      </c>
      <c r="M188" s="89">
        <v>2.2400000000000002</v>
      </c>
      <c r="N188" s="89">
        <v>2.2799999999999998</v>
      </c>
      <c r="O188" s="56">
        <v>14971</v>
      </c>
      <c r="P188" s="63">
        <v>-3.0999999999999999E-3</v>
      </c>
      <c r="Q188" s="63">
        <v>0.29630000000000001</v>
      </c>
      <c r="R188" s="67">
        <f>((K188-D188)/D188)</f>
        <v>5.6878850661500285E-4</v>
      </c>
      <c r="S188" s="67">
        <f>((N188-G188)/G188)</f>
        <v>-4.3668122270743362E-3</v>
      </c>
      <c r="T188" s="67">
        <f>((O188-H188)/H188)</f>
        <v>2.0042757883484769E-4</v>
      </c>
      <c r="U188" s="67">
        <f>P188-I188</f>
        <v>-2.7999999999999997E-2</v>
      </c>
      <c r="V188" s="68">
        <f>Q188-J188</f>
        <v>-4.0000000000000036E-3</v>
      </c>
    </row>
    <row r="189" spans="1:24">
      <c r="A189" s="161">
        <v>159</v>
      </c>
      <c r="B189" s="162" t="s">
        <v>237</v>
      </c>
      <c r="C189" s="163" t="s">
        <v>49</v>
      </c>
      <c r="D189" s="57">
        <v>700168247.66999996</v>
      </c>
      <c r="E189" s="39">
        <f>(D189/$D$207)</f>
        <v>1.3481071172646564E-2</v>
      </c>
      <c r="F189" s="89">
        <v>478.02</v>
      </c>
      <c r="G189" s="89">
        <v>484.32</v>
      </c>
      <c r="H189" s="56">
        <v>849</v>
      </c>
      <c r="I189" s="63">
        <v>1.1900000000000001E-2</v>
      </c>
      <c r="J189" s="63">
        <v>0.26829999999999998</v>
      </c>
      <c r="K189" s="57">
        <v>717399624.45000005</v>
      </c>
      <c r="L189" s="39">
        <f>(K189/$K$207)</f>
        <v>1.3704679744370079E-2</v>
      </c>
      <c r="M189" s="89">
        <v>490</v>
      </c>
      <c r="N189" s="89">
        <v>496.5</v>
      </c>
      <c r="O189" s="56">
        <v>849</v>
      </c>
      <c r="P189" s="63">
        <v>2.5100000000000001E-2</v>
      </c>
      <c r="Q189" s="63">
        <v>0.30020000000000002</v>
      </c>
      <c r="R189" s="67">
        <f>((K189-D189)/D189)</f>
        <v>2.4610337354403284E-2</v>
      </c>
      <c r="S189" s="67">
        <f>((N189-G189)/G189)</f>
        <v>2.5148662041625386E-2</v>
      </c>
      <c r="T189" s="67">
        <f>((O189-H189)/H189)</f>
        <v>0</v>
      </c>
      <c r="U189" s="67">
        <f>P189-I189</f>
        <v>1.32E-2</v>
      </c>
      <c r="V189" s="68">
        <f>Q189-J189</f>
        <v>3.1900000000000039E-2</v>
      </c>
    </row>
    <row r="190" spans="1:24" ht="6" customHeight="1">
      <c r="A190" s="45"/>
      <c r="B190" s="174"/>
      <c r="C190" s="174"/>
      <c r="D190" s="174"/>
      <c r="E190" s="174"/>
      <c r="F190" s="174"/>
      <c r="G190" s="174"/>
      <c r="H190" s="174"/>
      <c r="I190" s="174"/>
      <c r="J190" s="174"/>
      <c r="K190" s="174"/>
      <c r="L190" s="174"/>
      <c r="M190" s="174"/>
      <c r="N190" s="174"/>
      <c r="O190" s="174"/>
      <c r="P190" s="174"/>
      <c r="Q190" s="174"/>
      <c r="R190" s="174"/>
      <c r="S190" s="174"/>
      <c r="T190" s="174"/>
      <c r="U190" s="174"/>
      <c r="V190" s="174"/>
    </row>
    <row r="191" spans="1:24" ht="15" customHeight="1">
      <c r="A191" s="175" t="s">
        <v>175</v>
      </c>
      <c r="B191" s="175"/>
      <c r="C191" s="175"/>
      <c r="D191" s="175"/>
      <c r="E191" s="175"/>
      <c r="F191" s="175"/>
      <c r="G191" s="175"/>
      <c r="H191" s="175"/>
      <c r="I191" s="175"/>
      <c r="J191" s="175"/>
      <c r="K191" s="175"/>
      <c r="L191" s="175"/>
      <c r="M191" s="175"/>
      <c r="N191" s="175"/>
      <c r="O191" s="175"/>
      <c r="P191" s="175"/>
      <c r="Q191" s="175"/>
      <c r="R191" s="175"/>
      <c r="S191" s="175"/>
      <c r="T191" s="175"/>
      <c r="U191" s="175"/>
      <c r="V191" s="175"/>
    </row>
    <row r="192" spans="1:24">
      <c r="A192" s="161">
        <v>160</v>
      </c>
      <c r="B192" s="162" t="s">
        <v>238</v>
      </c>
      <c r="C192" s="163" t="s">
        <v>239</v>
      </c>
      <c r="D192" s="38">
        <v>341470052.32999998</v>
      </c>
      <c r="E192" s="39">
        <f t="shared" ref="E192:E203" si="87">(D192/$D$207)</f>
        <v>6.574679863171575E-3</v>
      </c>
      <c r="F192" s="87" t="s">
        <v>296</v>
      </c>
      <c r="G192" s="87">
        <v>1051.8</v>
      </c>
      <c r="H192" s="41">
        <v>18</v>
      </c>
      <c r="I192" s="60">
        <v>2E-3</v>
      </c>
      <c r="J192" s="60">
        <v>0.13719999999999999</v>
      </c>
      <c r="K192" s="38">
        <v>340402180.93000001</v>
      </c>
      <c r="L192" s="39">
        <f t="shared" ref="L192:L203" si="88">(K192/$K$207)</f>
        <v>6.5027952551652175E-3</v>
      </c>
      <c r="M192" s="87">
        <v>1048.21</v>
      </c>
      <c r="N192" s="87">
        <v>1048.21</v>
      </c>
      <c r="O192" s="41">
        <v>19</v>
      </c>
      <c r="P192" s="60">
        <v>-2.5000000000000001E-3</v>
      </c>
      <c r="Q192" s="60">
        <v>0.13469999999999999</v>
      </c>
      <c r="R192" s="67">
        <f>((K192-D192)/D192)</f>
        <v>-3.1272768803982109E-3</v>
      </c>
      <c r="S192" s="67">
        <f>((N192-G192)/G192)</f>
        <v>-3.4131964251758111E-3</v>
      </c>
      <c r="T192" s="67">
        <f>((O192-H192)/H192)</f>
        <v>5.5555555555555552E-2</v>
      </c>
      <c r="U192" s="67">
        <f>P192-I192</f>
        <v>-4.5000000000000005E-3</v>
      </c>
      <c r="V192" s="68">
        <f>Q192-J192</f>
        <v>-2.5000000000000022E-3</v>
      </c>
      <c r="X192" s="93"/>
    </row>
    <row r="193" spans="1:22">
      <c r="A193" s="161">
        <v>161</v>
      </c>
      <c r="B193" s="162" t="s">
        <v>240</v>
      </c>
      <c r="C193" s="163" t="s">
        <v>67</v>
      </c>
      <c r="D193" s="38">
        <v>131187525.65000001</v>
      </c>
      <c r="E193" s="39">
        <f t="shared" si="87"/>
        <v>2.5258905643555985E-3</v>
      </c>
      <c r="F193" s="87">
        <v>115.43</v>
      </c>
      <c r="G193" s="87">
        <v>115.43</v>
      </c>
      <c r="H193" s="41">
        <v>75</v>
      </c>
      <c r="I193" s="60">
        <v>2.8E-3</v>
      </c>
      <c r="J193" s="60">
        <v>0.14660000000000001</v>
      </c>
      <c r="K193" s="38">
        <v>131805969.62</v>
      </c>
      <c r="L193" s="39">
        <f t="shared" si="88"/>
        <v>2.5179252127754187E-3</v>
      </c>
      <c r="M193" s="87">
        <v>115.73</v>
      </c>
      <c r="N193" s="87">
        <v>115.73</v>
      </c>
      <c r="O193" s="41">
        <v>75</v>
      </c>
      <c r="P193" s="60">
        <v>2.5999999999999999E-3</v>
      </c>
      <c r="Q193" s="60">
        <v>0.14510000000000001</v>
      </c>
      <c r="R193" s="67">
        <f t="shared" ref="R193:R208" si="89">((K193-D193)/D193)</f>
        <v>4.7141979920405546E-3</v>
      </c>
      <c r="S193" s="67">
        <f t="shared" ref="S193:S207" si="90">((N193-G193)/G193)</f>
        <v>2.5989777354240417E-3</v>
      </c>
      <c r="T193" s="67">
        <f t="shared" ref="T193:T207" si="91">((O193-H193)/H193)</f>
        <v>0</v>
      </c>
      <c r="U193" s="67">
        <f t="shared" ref="U193:U207" si="92">P193-I193</f>
        <v>-2.0000000000000009E-4</v>
      </c>
      <c r="V193" s="68">
        <f t="shared" ref="V193:V207" si="93">Q193-J193</f>
        <v>-1.5000000000000013E-3</v>
      </c>
    </row>
    <row r="194" spans="1:22">
      <c r="A194" s="161">
        <v>162</v>
      </c>
      <c r="B194" s="184" t="s">
        <v>241</v>
      </c>
      <c r="C194" s="163" t="s">
        <v>73</v>
      </c>
      <c r="D194" s="54">
        <v>59342822.920000002</v>
      </c>
      <c r="E194" s="39">
        <f t="shared" si="87"/>
        <v>1.1425894019509099E-3</v>
      </c>
      <c r="F194" s="87">
        <v>105.83</v>
      </c>
      <c r="G194" s="87">
        <v>109.91</v>
      </c>
      <c r="H194" s="41">
        <v>14</v>
      </c>
      <c r="I194" s="60">
        <v>2.2000000000000001E-3</v>
      </c>
      <c r="J194" s="60">
        <v>0.11890000000000001</v>
      </c>
      <c r="K194" s="54">
        <v>59417917.170000002</v>
      </c>
      <c r="L194" s="39">
        <f t="shared" si="88"/>
        <v>1.1350765990665943E-3</v>
      </c>
      <c r="M194" s="87">
        <v>105.98</v>
      </c>
      <c r="N194" s="87">
        <v>110.18</v>
      </c>
      <c r="O194" s="41">
        <v>14</v>
      </c>
      <c r="P194" s="60">
        <v>2.2000000000000001E-3</v>
      </c>
      <c r="Q194" s="60">
        <v>0.1211</v>
      </c>
      <c r="R194" s="67">
        <f t="shared" si="89"/>
        <v>1.2654310379072206E-3</v>
      </c>
      <c r="S194" s="67">
        <f t="shared" si="90"/>
        <v>2.4565553634793035E-3</v>
      </c>
      <c r="T194" s="67">
        <f t="shared" si="91"/>
        <v>0</v>
      </c>
      <c r="U194" s="67">
        <f t="shared" si="92"/>
        <v>0</v>
      </c>
      <c r="V194" s="68">
        <f t="shared" si="93"/>
        <v>2.1999999999999936E-3</v>
      </c>
    </row>
    <row r="195" spans="1:22">
      <c r="A195" s="161">
        <v>163</v>
      </c>
      <c r="B195" s="162" t="s">
        <v>242</v>
      </c>
      <c r="C195" s="163" t="s">
        <v>76</v>
      </c>
      <c r="D195" s="54">
        <v>106675601.65000001</v>
      </c>
      <c r="E195" s="39">
        <v>0</v>
      </c>
      <c r="F195" s="87">
        <v>1.0391999999999999</v>
      </c>
      <c r="G195" s="87">
        <v>1.0391999999999999</v>
      </c>
      <c r="H195" s="41">
        <v>26</v>
      </c>
      <c r="I195" s="60">
        <v>1.6000000000000001E-3</v>
      </c>
      <c r="J195" s="60">
        <v>0.1024</v>
      </c>
      <c r="K195" s="54">
        <v>106781887.48</v>
      </c>
      <c r="L195" s="39">
        <f t="shared" si="88"/>
        <v>2.0398833795525007E-3</v>
      </c>
      <c r="M195" s="87">
        <v>1.0417000000000001</v>
      </c>
      <c r="N195" s="87">
        <v>1.0417000000000001</v>
      </c>
      <c r="O195" s="41">
        <v>26</v>
      </c>
      <c r="P195" s="60">
        <v>1.6999999999999999E-3</v>
      </c>
      <c r="Q195" s="60">
        <v>0.104</v>
      </c>
      <c r="R195" s="67">
        <f t="shared" ref="R195:R196" si="94">((K195-D195)/D195)</f>
        <v>9.9634619684376736E-4</v>
      </c>
      <c r="S195" s="67">
        <f t="shared" ref="S195:S196" si="95">((N195-G195)/G195)</f>
        <v>2.4056966897615176E-3</v>
      </c>
      <c r="T195" s="67">
        <f t="shared" ref="T195" si="96">((O195-H195)/H195)</f>
        <v>0</v>
      </c>
      <c r="U195" s="67">
        <f t="shared" ref="U195" si="97">P195-I195</f>
        <v>9.9999999999999829E-5</v>
      </c>
      <c r="V195" s="68">
        <f t="shared" ref="V195" si="98">Q195-J195</f>
        <v>1.5999999999999903E-3</v>
      </c>
    </row>
    <row r="196" spans="1:22">
      <c r="A196" s="161">
        <v>164</v>
      </c>
      <c r="B196" s="162" t="s">
        <v>243</v>
      </c>
      <c r="C196" s="163" t="s">
        <v>31</v>
      </c>
      <c r="D196" s="38">
        <v>8005812545.8000002</v>
      </c>
      <c r="E196" s="39">
        <f t="shared" si="87"/>
        <v>0.15414427758464164</v>
      </c>
      <c r="F196" s="87">
        <v>142.84</v>
      </c>
      <c r="G196" s="87">
        <v>142.84</v>
      </c>
      <c r="H196" s="41">
        <v>694</v>
      </c>
      <c r="I196" s="60">
        <v>2.8999999999999998E-3</v>
      </c>
      <c r="J196" s="60">
        <v>0.1479</v>
      </c>
      <c r="K196" s="38">
        <v>8032150885.7399998</v>
      </c>
      <c r="L196" s="39">
        <f t="shared" si="88"/>
        <v>0.15344035847790879</v>
      </c>
      <c r="M196" s="87">
        <v>143.24</v>
      </c>
      <c r="N196" s="87">
        <v>143.24</v>
      </c>
      <c r="O196" s="41">
        <v>694</v>
      </c>
      <c r="P196" s="60">
        <v>2.8E-3</v>
      </c>
      <c r="Q196" s="60">
        <v>0.15090000000000001</v>
      </c>
      <c r="R196" s="67">
        <f t="shared" si="94"/>
        <v>3.2899021541313964E-3</v>
      </c>
      <c r="S196" s="67">
        <f t="shared" si="95"/>
        <v>2.8003360403248789E-3</v>
      </c>
      <c r="T196" s="67">
        <f t="shared" si="91"/>
        <v>0</v>
      </c>
      <c r="U196" s="67">
        <f t="shared" si="92"/>
        <v>-9.9999999999999829E-5</v>
      </c>
      <c r="V196" s="68">
        <f t="shared" si="93"/>
        <v>3.0000000000000027E-3</v>
      </c>
    </row>
    <row r="197" spans="1:22">
      <c r="A197" s="161">
        <v>165</v>
      </c>
      <c r="B197" s="162" t="s">
        <v>244</v>
      </c>
      <c r="C197" s="163" t="s">
        <v>65</v>
      </c>
      <c r="D197" s="38">
        <v>522256851.10791397</v>
      </c>
      <c r="E197" s="39">
        <f t="shared" si="87"/>
        <v>1.0055557080198247E-2</v>
      </c>
      <c r="F197" s="44">
        <v>1180.4648097701199</v>
      </c>
      <c r="G197" s="44">
        <v>1180.4648097701199</v>
      </c>
      <c r="H197" s="41">
        <v>103</v>
      </c>
      <c r="I197" s="60">
        <v>0.18171088928131501</v>
      </c>
      <c r="J197" s="60">
        <v>0.15140952496858742</v>
      </c>
      <c r="K197" s="38">
        <v>524999052.63369799</v>
      </c>
      <c r="L197" s="39">
        <f t="shared" si="88"/>
        <v>1.0029199399091658E-2</v>
      </c>
      <c r="M197" s="44">
        <v>1184.6212348875599</v>
      </c>
      <c r="N197" s="44">
        <v>1184.6212348875599</v>
      </c>
      <c r="O197" s="41">
        <v>107</v>
      </c>
      <c r="P197" s="60">
        <v>0.18409837747112048</v>
      </c>
      <c r="Q197" s="60">
        <v>0.15256443504688844</v>
      </c>
      <c r="R197" s="67">
        <f t="shared" si="89"/>
        <v>5.2506760226634043E-3</v>
      </c>
      <c r="S197" s="67">
        <f t="shared" si="90"/>
        <v>3.5210072193930146E-3</v>
      </c>
      <c r="T197" s="67">
        <f t="shared" si="91"/>
        <v>3.8834951456310676E-2</v>
      </c>
      <c r="U197" s="67">
        <f t="shared" si="92"/>
        <v>2.3874881898054701E-3</v>
      </c>
      <c r="V197" s="68">
        <f t="shared" si="93"/>
        <v>1.1549100783010136E-3</v>
      </c>
    </row>
    <row r="198" spans="1:22">
      <c r="A198" s="161">
        <v>166</v>
      </c>
      <c r="B198" s="162" t="s">
        <v>245</v>
      </c>
      <c r="C198" s="163" t="s">
        <v>236</v>
      </c>
      <c r="D198" s="38">
        <v>24769771069.52</v>
      </c>
      <c r="E198" s="39">
        <f t="shared" si="87"/>
        <v>0.47691829475212649</v>
      </c>
      <c r="F198" s="44">
        <v>1254.97</v>
      </c>
      <c r="G198" s="44">
        <v>1254.97</v>
      </c>
      <c r="H198" s="41">
        <v>9367</v>
      </c>
      <c r="I198" s="60">
        <v>3.3999999999999998E-3</v>
      </c>
      <c r="J198" s="60">
        <v>0.1426</v>
      </c>
      <c r="K198" s="38">
        <v>25107351544.75</v>
      </c>
      <c r="L198" s="39">
        <f t="shared" si="88"/>
        <v>0.47963255126305926</v>
      </c>
      <c r="M198" s="44">
        <v>1260.1199999999999</v>
      </c>
      <c r="N198" s="44">
        <v>1260.1199999999999</v>
      </c>
      <c r="O198" s="41">
        <v>9411</v>
      </c>
      <c r="P198" s="60">
        <v>4.1000000000000003E-3</v>
      </c>
      <c r="Q198" s="60">
        <v>0.14680000000000001</v>
      </c>
      <c r="R198" s="67">
        <f t="shared" si="89"/>
        <v>1.3628728109053989E-2</v>
      </c>
      <c r="S198" s="67">
        <f t="shared" si="90"/>
        <v>4.1036837533963864E-3</v>
      </c>
      <c r="T198" s="67">
        <f t="shared" si="91"/>
        <v>4.6973417316109748E-3</v>
      </c>
      <c r="U198" s="67">
        <f t="shared" si="92"/>
        <v>7.0000000000000053E-4</v>
      </c>
      <c r="V198" s="68">
        <f t="shared" si="93"/>
        <v>4.2000000000000093E-3</v>
      </c>
    </row>
    <row r="199" spans="1:22">
      <c r="A199" s="161">
        <v>167</v>
      </c>
      <c r="B199" s="162" t="s">
        <v>246</v>
      </c>
      <c r="C199" s="163" t="s">
        <v>247</v>
      </c>
      <c r="D199" s="38">
        <v>414885014.63999999</v>
      </c>
      <c r="E199" s="39">
        <f t="shared" si="87"/>
        <v>7.9882148746946071E-3</v>
      </c>
      <c r="F199" s="89">
        <v>128.38</v>
      </c>
      <c r="G199" s="89">
        <v>128.63999999999999</v>
      </c>
      <c r="H199" s="56">
        <v>149</v>
      </c>
      <c r="I199" s="60">
        <v>-1.1000000000000001E-3</v>
      </c>
      <c r="J199" s="60">
        <v>0.2923</v>
      </c>
      <c r="K199" s="38">
        <v>416356806.16000003</v>
      </c>
      <c r="L199" s="39">
        <f t="shared" si="88"/>
        <v>7.9537770767389906E-3</v>
      </c>
      <c r="M199" s="89">
        <v>128.83000000000001</v>
      </c>
      <c r="N199" s="89">
        <v>129.1</v>
      </c>
      <c r="O199" s="56">
        <v>149</v>
      </c>
      <c r="P199" s="60">
        <v>3.5999999999999999E-3</v>
      </c>
      <c r="Q199" s="60">
        <v>0.29680000000000001</v>
      </c>
      <c r="R199" s="67">
        <f t="shared" si="89"/>
        <v>3.5474684986564996E-3</v>
      </c>
      <c r="S199" s="67">
        <f t="shared" si="90"/>
        <v>3.5758706467662314E-3</v>
      </c>
      <c r="T199" s="67">
        <f t="shared" si="91"/>
        <v>0</v>
      </c>
      <c r="U199" s="67">
        <f t="shared" si="92"/>
        <v>4.7000000000000002E-3</v>
      </c>
      <c r="V199" s="68">
        <f t="shared" si="93"/>
        <v>4.500000000000004E-3</v>
      </c>
    </row>
    <row r="200" spans="1:22">
      <c r="A200" s="161">
        <v>168</v>
      </c>
      <c r="B200" s="162" t="s">
        <v>248</v>
      </c>
      <c r="C200" s="163" t="s">
        <v>247</v>
      </c>
      <c r="D200" s="38">
        <v>102759360.66</v>
      </c>
      <c r="E200" s="39">
        <f t="shared" si="87"/>
        <v>1.9785333872581342E-3</v>
      </c>
      <c r="F200" s="89">
        <v>111.26</v>
      </c>
      <c r="G200" s="89">
        <v>111.26</v>
      </c>
      <c r="H200" s="56">
        <v>65</v>
      </c>
      <c r="I200" s="60">
        <v>1.1000000000000001E-3</v>
      </c>
      <c r="J200" s="60">
        <v>0.111</v>
      </c>
      <c r="K200" s="38">
        <v>103029415.89</v>
      </c>
      <c r="L200" s="39">
        <f t="shared" si="88"/>
        <v>1.9681988962629762E-3</v>
      </c>
      <c r="M200" s="89">
        <v>111.55</v>
      </c>
      <c r="N200" s="89">
        <v>111.55</v>
      </c>
      <c r="O200" s="56">
        <v>65</v>
      </c>
      <c r="P200" s="60">
        <v>2.5999999999999999E-3</v>
      </c>
      <c r="Q200" s="60">
        <v>0.1138</v>
      </c>
      <c r="R200" s="67">
        <f t="shared" si="89"/>
        <v>2.6280353270544004E-3</v>
      </c>
      <c r="S200" s="67">
        <f t="shared" si="90"/>
        <v>2.6065072802444007E-3</v>
      </c>
      <c r="T200" s="67">
        <f t="shared" si="91"/>
        <v>0</v>
      </c>
      <c r="U200" s="67">
        <f t="shared" si="92"/>
        <v>1.4999999999999998E-3</v>
      </c>
      <c r="V200" s="68">
        <f t="shared" si="93"/>
        <v>2.7999999999999969E-3</v>
      </c>
    </row>
    <row r="201" spans="1:22" ht="13.5" customHeight="1">
      <c r="A201" s="161">
        <v>169</v>
      </c>
      <c r="B201" s="162" t="s">
        <v>249</v>
      </c>
      <c r="C201" s="163" t="s">
        <v>90</v>
      </c>
      <c r="D201" s="38">
        <v>1357901462.0999999</v>
      </c>
      <c r="E201" s="39">
        <f t="shared" si="87"/>
        <v>2.6145096292111224E-2</v>
      </c>
      <c r="F201" s="70">
        <v>105.72</v>
      </c>
      <c r="G201" s="70">
        <v>105.72</v>
      </c>
      <c r="H201" s="41">
        <v>591</v>
      </c>
      <c r="I201" s="60">
        <v>2.5000000000000001E-3</v>
      </c>
      <c r="J201" s="60">
        <v>0.1217</v>
      </c>
      <c r="K201" s="38">
        <v>1368981496.98</v>
      </c>
      <c r="L201" s="39">
        <f t="shared" si="88"/>
        <v>2.6152025109384251E-2</v>
      </c>
      <c r="M201" s="70">
        <v>106.02</v>
      </c>
      <c r="N201" s="70">
        <v>106.02</v>
      </c>
      <c r="O201" s="41">
        <v>591</v>
      </c>
      <c r="P201" s="60">
        <v>2.8999999999999998E-3</v>
      </c>
      <c r="Q201" s="60">
        <v>0.12230000000000001</v>
      </c>
      <c r="R201" s="67">
        <f t="shared" si="89"/>
        <v>8.1596751968031588E-3</v>
      </c>
      <c r="S201" s="67">
        <f t="shared" si="90"/>
        <v>2.8376844494891898E-3</v>
      </c>
      <c r="T201" s="67">
        <f t="shared" si="91"/>
        <v>0</v>
      </c>
      <c r="U201" s="67">
        <f t="shared" si="92"/>
        <v>3.9999999999999975E-4</v>
      </c>
      <c r="V201" s="68">
        <f t="shared" si="93"/>
        <v>6.0000000000000331E-4</v>
      </c>
    </row>
    <row r="202" spans="1:22" ht="15.75" customHeight="1">
      <c r="A202" s="161">
        <v>170</v>
      </c>
      <c r="B202" s="162" t="s">
        <v>250</v>
      </c>
      <c r="C202" s="163" t="s">
        <v>49</v>
      </c>
      <c r="D202" s="38">
        <v>6485515960.6899996</v>
      </c>
      <c r="E202" s="39">
        <f t="shared" si="87"/>
        <v>0.12487241823425994</v>
      </c>
      <c r="F202" s="70">
        <v>133.94</v>
      </c>
      <c r="G202" s="70">
        <v>133.94</v>
      </c>
      <c r="H202" s="41">
        <v>1256</v>
      </c>
      <c r="I202" s="60">
        <v>1.6999999999999999E-3</v>
      </c>
      <c r="J202" s="60">
        <v>4.3999999999999997E-2</v>
      </c>
      <c r="K202" s="38">
        <v>6491113933.9099998</v>
      </c>
      <c r="L202" s="39">
        <f t="shared" si="88"/>
        <v>0.12400151131477881</v>
      </c>
      <c r="M202" s="70">
        <v>134.16999999999999</v>
      </c>
      <c r="N202" s="70">
        <v>134.16999999999999</v>
      </c>
      <c r="O202" s="41">
        <v>1253</v>
      </c>
      <c r="P202" s="60">
        <v>1.6999999999999999E-3</v>
      </c>
      <c r="Q202" s="60">
        <v>4.58E-2</v>
      </c>
      <c r="R202" s="67">
        <f t="shared" si="89"/>
        <v>8.6315001827621651E-4</v>
      </c>
      <c r="S202" s="67">
        <f t="shared" si="90"/>
        <v>1.7171868000596519E-3</v>
      </c>
      <c r="T202" s="67">
        <f t="shared" si="91"/>
        <v>-2.3885350318471337E-3</v>
      </c>
      <c r="U202" s="67">
        <f t="shared" si="92"/>
        <v>0</v>
      </c>
      <c r="V202" s="68">
        <f t="shared" si="93"/>
        <v>1.800000000000003E-3</v>
      </c>
    </row>
    <row r="203" spans="1:22">
      <c r="A203" s="161">
        <v>171</v>
      </c>
      <c r="B203" s="162" t="s">
        <v>251</v>
      </c>
      <c r="C203" s="163" t="s">
        <v>52</v>
      </c>
      <c r="D203" s="38">
        <v>3840669300.3899999</v>
      </c>
      <c r="E203" s="39">
        <f t="shared" si="87"/>
        <v>7.3948420770944837E-2</v>
      </c>
      <c r="F203" s="70">
        <v>1.2095</v>
      </c>
      <c r="G203" s="70">
        <v>1.2095</v>
      </c>
      <c r="H203" s="41">
        <v>1250</v>
      </c>
      <c r="I203" s="60">
        <v>9.4799999999999995E-2</v>
      </c>
      <c r="J203" s="60">
        <v>9.5399999999999999E-2</v>
      </c>
      <c r="K203" s="38">
        <v>3847291538.3299999</v>
      </c>
      <c r="L203" s="39">
        <f t="shared" si="88"/>
        <v>7.3495854498753413E-2</v>
      </c>
      <c r="M203" s="70">
        <v>1.2116</v>
      </c>
      <c r="N203" s="70">
        <v>1.2116</v>
      </c>
      <c r="O203" s="41">
        <v>1251</v>
      </c>
      <c r="P203" s="60">
        <v>9.4600000000000004E-2</v>
      </c>
      <c r="Q203" s="60">
        <v>9.5200000000000007E-2</v>
      </c>
      <c r="R203" s="67">
        <f t="shared" si="89"/>
        <v>1.7242406002848524E-3</v>
      </c>
      <c r="S203" s="67">
        <f t="shared" si="90"/>
        <v>1.7362546506820924E-3</v>
      </c>
      <c r="T203" s="67">
        <f t="shared" si="91"/>
        <v>8.0000000000000004E-4</v>
      </c>
      <c r="U203" s="67">
        <f t="shared" si="92"/>
        <v>-1.9999999999999185E-4</v>
      </c>
      <c r="V203" s="68">
        <f t="shared" si="93"/>
        <v>-1.9999999999999185E-4</v>
      </c>
    </row>
    <row r="204" spans="1:22" ht="6" customHeight="1">
      <c r="A204" s="45"/>
      <c r="B204" s="174"/>
      <c r="C204" s="174"/>
      <c r="D204" s="174"/>
      <c r="E204" s="174"/>
      <c r="F204" s="174"/>
      <c r="G204" s="174"/>
      <c r="H204" s="174"/>
      <c r="I204" s="174"/>
      <c r="J204" s="174"/>
      <c r="K204" s="174"/>
      <c r="L204" s="174"/>
      <c r="M204" s="174"/>
      <c r="N204" s="174"/>
      <c r="O204" s="174"/>
      <c r="P204" s="174"/>
      <c r="Q204" s="174"/>
      <c r="R204" s="174"/>
      <c r="S204" s="174"/>
      <c r="T204" s="174"/>
      <c r="U204" s="174"/>
      <c r="V204" s="174"/>
    </row>
    <row r="205" spans="1:22">
      <c r="A205" s="175" t="s">
        <v>252</v>
      </c>
      <c r="B205" s="175"/>
      <c r="C205" s="175"/>
      <c r="D205" s="175"/>
      <c r="E205" s="175"/>
      <c r="F205" s="175"/>
      <c r="G205" s="175"/>
      <c r="H205" s="175"/>
      <c r="I205" s="175"/>
      <c r="J205" s="175"/>
      <c r="K205" s="175"/>
      <c r="L205" s="175"/>
      <c r="M205" s="175"/>
      <c r="N205" s="175"/>
      <c r="O205" s="175"/>
      <c r="P205" s="175"/>
      <c r="Q205" s="175"/>
      <c r="R205" s="175"/>
      <c r="S205" s="175"/>
      <c r="T205" s="175"/>
      <c r="U205" s="175"/>
      <c r="V205" s="175"/>
    </row>
    <row r="206" spans="1:22">
      <c r="A206" s="170">
        <v>172</v>
      </c>
      <c r="B206" s="162" t="s">
        <v>253</v>
      </c>
      <c r="C206" s="163" t="s">
        <v>236</v>
      </c>
      <c r="D206" s="38">
        <v>233227190</v>
      </c>
      <c r="E206" s="39">
        <f t="shared" ref="E206" si="99">(D206/$D$207)</f>
        <v>4.4905668862439624E-3</v>
      </c>
      <c r="F206" s="44">
        <v>1248.3800000000001</v>
      </c>
      <c r="G206" s="44">
        <v>1248.3800000000001</v>
      </c>
      <c r="H206" s="41">
        <v>94</v>
      </c>
      <c r="I206" s="60">
        <v>4.2200000000000001E-2</v>
      </c>
      <c r="J206" s="60">
        <v>0.25409999999999999</v>
      </c>
      <c r="K206" s="38">
        <v>231710782.80000001</v>
      </c>
      <c r="L206" s="39">
        <f t="shared" ref="L206" si="100">(K206/$K$207)</f>
        <v>4.4264339753813413E-3</v>
      </c>
      <c r="M206" s="44">
        <v>1240.27</v>
      </c>
      <c r="N206" s="44">
        <v>1240.27</v>
      </c>
      <c r="O206" s="41">
        <v>96</v>
      </c>
      <c r="P206" s="60">
        <v>-1.9800000000000002E-2</v>
      </c>
      <c r="Q206" s="60">
        <v>0.24030000000000001</v>
      </c>
      <c r="R206" s="67">
        <f t="shared" ref="R206" si="101">((K206-D206)/D206)</f>
        <v>-6.5018456896041498E-3</v>
      </c>
      <c r="S206" s="67">
        <f t="shared" ref="S206" si="102">((N206-G206)/G206)</f>
        <v>-6.4964193594900001E-3</v>
      </c>
      <c r="T206" s="67">
        <f t="shared" ref="T206" si="103">((O206-H206)/H206)</f>
        <v>2.1276595744680851E-2</v>
      </c>
      <c r="U206" s="67">
        <f t="shared" ref="U206" si="104">P206-I206</f>
        <v>-6.2E-2</v>
      </c>
      <c r="V206" s="68">
        <f t="shared" ref="V206" si="105">Q206-J206</f>
        <v>-1.3799999999999979E-2</v>
      </c>
    </row>
    <row r="207" spans="1:22">
      <c r="A207" s="45"/>
      <c r="B207" s="46"/>
      <c r="C207" s="81" t="s">
        <v>53</v>
      </c>
      <c r="D207" s="58">
        <f>SUM(D188:D206)</f>
        <v>51937137539.237915</v>
      </c>
      <c r="E207" s="49">
        <f>(D207/$D$208)</f>
        <v>1.3696041350508741E-2</v>
      </c>
      <c r="F207" s="50"/>
      <c r="G207" s="84"/>
      <c r="H207" s="94">
        <f>SUM(H188:H206)</f>
        <v>29519</v>
      </c>
      <c r="I207" s="91"/>
      <c r="J207" s="91"/>
      <c r="K207" s="58">
        <f>SUM(K188:K206)</f>
        <v>52347055008.3237</v>
      </c>
      <c r="L207" s="49">
        <f>(K207/$K$208)</f>
        <v>1.3668240778563406E-2</v>
      </c>
      <c r="M207" s="50"/>
      <c r="N207" s="84"/>
      <c r="O207" s="94">
        <f>SUM(O188:O206)</f>
        <v>29571</v>
      </c>
      <c r="P207" s="91"/>
      <c r="Q207" s="91"/>
      <c r="R207" s="67">
        <f t="shared" si="89"/>
        <v>7.8925695274618662E-3</v>
      </c>
      <c r="S207" s="67" t="e">
        <f t="shared" si="90"/>
        <v>#DIV/0!</v>
      </c>
      <c r="T207" s="67">
        <f t="shared" si="91"/>
        <v>1.7615772892035637E-3</v>
      </c>
      <c r="U207" s="67">
        <f t="shared" si="92"/>
        <v>0</v>
      </c>
      <c r="V207" s="68">
        <f t="shared" si="93"/>
        <v>0</v>
      </c>
    </row>
    <row r="208" spans="1:22">
      <c r="A208" s="95"/>
      <c r="B208" s="95"/>
      <c r="C208" s="96" t="s">
        <v>254</v>
      </c>
      <c r="D208" s="97">
        <f>SUM(D24,D65,D104,D138,D146,D178,D184,D207)</f>
        <v>3792127682011.4673</v>
      </c>
      <c r="E208" s="98"/>
      <c r="F208" s="98"/>
      <c r="G208" s="99"/>
      <c r="H208" s="97">
        <f>SUM(H24,H65,H104,H138,H146,H178,H184,H207)</f>
        <v>805473</v>
      </c>
      <c r="I208" s="121"/>
      <c r="J208" s="121"/>
      <c r="K208" s="97">
        <f>SUM(K24,K65,K104,K138,K146,K178,K184,K207)</f>
        <v>3829831201863.3911</v>
      </c>
      <c r="L208" s="98"/>
      <c r="M208" s="98"/>
      <c r="N208" s="99"/>
      <c r="O208" s="97">
        <f>SUM(O24,O65,O104,O138,O146,O178,O184,O207)</f>
        <v>806941</v>
      </c>
      <c r="P208" s="122"/>
      <c r="Q208" s="97"/>
      <c r="R208" s="128">
        <f t="shared" si="89"/>
        <v>9.9425765727183171E-3</v>
      </c>
      <c r="S208" s="128"/>
      <c r="T208" s="128"/>
      <c r="U208" s="128"/>
      <c r="V208" s="128"/>
    </row>
    <row r="209" spans="1:22" ht="6.75" customHeight="1">
      <c r="A209" s="45"/>
      <c r="B209" s="174"/>
      <c r="C209" s="174"/>
      <c r="D209" s="174"/>
      <c r="E209" s="174"/>
      <c r="F209" s="174"/>
      <c r="G209" s="174"/>
      <c r="H209" s="174"/>
      <c r="I209" s="174"/>
      <c r="J209" s="174"/>
      <c r="K209" s="174"/>
      <c r="L209" s="174"/>
      <c r="M209" s="174"/>
      <c r="N209" s="174"/>
      <c r="O209" s="174"/>
      <c r="P209" s="174"/>
      <c r="Q209" s="174"/>
      <c r="R209" s="174"/>
      <c r="S209" s="174"/>
      <c r="T209" s="174"/>
      <c r="U209" s="174"/>
      <c r="V209" s="46"/>
    </row>
    <row r="210" spans="1:22" ht="14.4" customHeight="1">
      <c r="A210" s="171" t="s">
        <v>255</v>
      </c>
      <c r="B210" s="172"/>
      <c r="C210" s="172"/>
      <c r="D210" s="172"/>
      <c r="E210" s="172"/>
      <c r="F210" s="172"/>
      <c r="G210" s="172"/>
      <c r="H210" s="172"/>
      <c r="I210" s="172"/>
      <c r="J210" s="172"/>
      <c r="K210" s="172"/>
      <c r="L210" s="172"/>
      <c r="M210" s="172"/>
      <c r="N210" s="172"/>
      <c r="O210" s="172"/>
      <c r="P210" s="172"/>
      <c r="Q210" s="172"/>
      <c r="R210" s="172"/>
      <c r="S210" s="172"/>
      <c r="T210" s="172"/>
      <c r="U210" s="172"/>
      <c r="V210" s="172"/>
    </row>
    <row r="211" spans="1:22" ht="14.4" customHeight="1">
      <c r="A211" s="161">
        <v>1</v>
      </c>
      <c r="B211" s="162" t="s">
        <v>256</v>
      </c>
      <c r="C211" s="163" t="s">
        <v>191</v>
      </c>
      <c r="D211" s="38">
        <v>3699645096.6515999</v>
      </c>
      <c r="E211" s="39">
        <f t="shared" ref="E211" si="106">(D211/$D$207)</f>
        <v>7.1233134360871544E-2</v>
      </c>
      <c r="F211" s="44">
        <v>123.2</v>
      </c>
      <c r="G211" s="44">
        <v>123.2</v>
      </c>
      <c r="H211" s="41">
        <v>9</v>
      </c>
      <c r="I211" s="60">
        <v>0.303025150450909</v>
      </c>
      <c r="J211" s="60">
        <v>0.25283623309949999</v>
      </c>
      <c r="K211" s="38">
        <v>3719901973.8649998</v>
      </c>
      <c r="L211" s="39">
        <f>(K211/$K$212)</f>
        <v>1</v>
      </c>
      <c r="M211" s="44">
        <v>123.2</v>
      </c>
      <c r="N211" s="44">
        <v>123.2</v>
      </c>
      <c r="O211" s="41">
        <v>9</v>
      </c>
      <c r="P211" s="60">
        <v>0.29751091191375401</v>
      </c>
      <c r="Q211" s="60">
        <v>0.25242559415029697</v>
      </c>
      <c r="R211" s="67">
        <f t="shared" ref="R211:R212" si="107">((K211-D211)/D211)</f>
        <v>5.4753568745644207E-3</v>
      </c>
      <c r="S211" s="67">
        <f t="shared" ref="S211" si="108">((N211-G211)/G211)</f>
        <v>0</v>
      </c>
      <c r="T211" s="67">
        <f t="shared" ref="T211" si="109">((O211-H211)/H211)</f>
        <v>0</v>
      </c>
      <c r="U211" s="67">
        <f t="shared" ref="U211" si="110">P211-I211</f>
        <v>-5.5142385371549918E-3</v>
      </c>
      <c r="V211" s="68">
        <f t="shared" ref="V211" si="111">Q211-J211</f>
        <v>-4.1063894920301269E-4</v>
      </c>
    </row>
    <row r="212" spans="1:22" ht="14.4" customHeight="1">
      <c r="A212" s="100"/>
      <c r="B212" s="100"/>
      <c r="C212" s="100" t="s">
        <v>53</v>
      </c>
      <c r="D212" s="100">
        <f>SUM(D211:D211)</f>
        <v>3699645096.6515999</v>
      </c>
      <c r="E212" s="100"/>
      <c r="F212" s="100"/>
      <c r="G212" s="100"/>
      <c r="H212" s="100">
        <f>SUM(H211:H211)</f>
        <v>9</v>
      </c>
      <c r="I212" s="100"/>
      <c r="J212" s="100"/>
      <c r="K212" s="100">
        <f>SUM(K211:K211)</f>
        <v>3719901973.8649998</v>
      </c>
      <c r="L212" s="49"/>
      <c r="M212" s="100"/>
      <c r="N212" s="100"/>
      <c r="O212" s="100">
        <f>SUM(O211:O211)</f>
        <v>9</v>
      </c>
      <c r="P212" s="100"/>
      <c r="Q212" s="100"/>
      <c r="R212" s="128">
        <f t="shared" si="107"/>
        <v>5.4753568745644207E-3</v>
      </c>
      <c r="S212" s="100"/>
      <c r="T212" s="100"/>
      <c r="U212" s="100"/>
      <c r="V212" s="100"/>
    </row>
    <row r="213" spans="1:22" ht="6" customHeight="1">
      <c r="A213" s="45"/>
      <c r="B213" s="53"/>
      <c r="C213" s="81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46"/>
    </row>
    <row r="214" spans="1:22" ht="15.6">
      <c r="A214" s="172" t="s">
        <v>257</v>
      </c>
      <c r="B214" s="172"/>
      <c r="C214" s="172"/>
      <c r="D214" s="172"/>
      <c r="E214" s="172"/>
      <c r="F214" s="172"/>
      <c r="G214" s="172"/>
      <c r="H214" s="172"/>
      <c r="I214" s="172"/>
      <c r="J214" s="172"/>
      <c r="K214" s="172"/>
      <c r="L214" s="172"/>
      <c r="M214" s="172"/>
      <c r="N214" s="172"/>
      <c r="O214" s="172"/>
      <c r="P214" s="172"/>
      <c r="Q214" s="172"/>
      <c r="R214" s="172"/>
      <c r="S214" s="172"/>
      <c r="T214" s="172"/>
      <c r="U214" s="172"/>
      <c r="V214" s="172"/>
    </row>
    <row r="215" spans="1:22">
      <c r="A215" s="161">
        <v>1</v>
      </c>
      <c r="B215" s="162" t="s">
        <v>258</v>
      </c>
      <c r="C215" s="163" t="s">
        <v>259</v>
      </c>
      <c r="D215" s="38">
        <v>117431274879</v>
      </c>
      <c r="E215" s="39">
        <f>(D215/$D$217)</f>
        <v>0.89047535007669021</v>
      </c>
      <c r="F215" s="70">
        <v>111.28</v>
      </c>
      <c r="G215" s="70">
        <v>111.28</v>
      </c>
      <c r="H215" s="41">
        <v>0</v>
      </c>
      <c r="I215" s="60">
        <v>0.23899999999999999</v>
      </c>
      <c r="J215" s="60">
        <v>0.23899999999999999</v>
      </c>
      <c r="K215" s="38">
        <v>117431274879</v>
      </c>
      <c r="L215" s="39">
        <f>(K215/$K$217)</f>
        <v>0.89000665021181913</v>
      </c>
      <c r="M215" s="70">
        <v>111.28</v>
      </c>
      <c r="N215" s="70">
        <v>111.28</v>
      </c>
      <c r="O215" s="41">
        <v>0</v>
      </c>
      <c r="P215" s="60">
        <v>0.23899999999999999</v>
      </c>
      <c r="Q215" s="60">
        <v>0.23899999999999999</v>
      </c>
      <c r="R215" s="67">
        <f>((K215-D215)/D215)</f>
        <v>0</v>
      </c>
      <c r="S215" s="67">
        <f>((N215-G215)/G215)</f>
        <v>0</v>
      </c>
      <c r="T215" s="67" t="e">
        <f>((O215-H215)/H215)</f>
        <v>#DIV/0!</v>
      </c>
      <c r="U215" s="67">
        <f>P215-I215</f>
        <v>0</v>
      </c>
      <c r="V215" s="68">
        <f>Q215-J215</f>
        <v>0</v>
      </c>
    </row>
    <row r="216" spans="1:22">
      <c r="A216" s="161">
        <v>2</v>
      </c>
      <c r="B216" s="162" t="s">
        <v>260</v>
      </c>
      <c r="C216" s="163" t="s">
        <v>52</v>
      </c>
      <c r="D216" s="38">
        <v>14443543294.110001</v>
      </c>
      <c r="E216" s="39">
        <f>(D216/$D$217)</f>
        <v>0.10952464992330976</v>
      </c>
      <c r="F216" s="101">
        <v>1000000</v>
      </c>
      <c r="G216" s="101">
        <v>1000000</v>
      </c>
      <c r="H216" s="41">
        <v>26</v>
      </c>
      <c r="I216" s="60">
        <v>0.19470000000000001</v>
      </c>
      <c r="J216" s="60">
        <v>0.19470000000000001</v>
      </c>
      <c r="K216" s="38">
        <v>14512991886.93</v>
      </c>
      <c r="L216" s="39">
        <f>(K216/$K$217)</f>
        <v>0.10999334978818098</v>
      </c>
      <c r="M216" s="101">
        <v>1000000</v>
      </c>
      <c r="N216" s="101">
        <v>1000000</v>
      </c>
      <c r="O216" s="41">
        <v>26</v>
      </c>
      <c r="P216" s="60">
        <v>0.19500000000000001</v>
      </c>
      <c r="Q216" s="60">
        <v>0.19500000000000001</v>
      </c>
      <c r="R216" s="67">
        <f>((K216-D216)/D216)</f>
        <v>4.8082794786456903E-3</v>
      </c>
      <c r="S216" s="67">
        <f>((N216-G216)/G216)</f>
        <v>0</v>
      </c>
      <c r="T216" s="67">
        <f>((O216-H216)/H216)</f>
        <v>0</v>
      </c>
      <c r="U216" s="67">
        <f>P216-I216</f>
        <v>2.9999999999999472E-4</v>
      </c>
      <c r="V216" s="68">
        <f>Q216-J216</f>
        <v>2.9999999999999472E-4</v>
      </c>
    </row>
    <row r="217" spans="1:22">
      <c r="A217" s="95"/>
      <c r="B217" s="95"/>
      <c r="C217" s="96" t="s">
        <v>261</v>
      </c>
      <c r="D217" s="100">
        <f>SUM(D215:D216)</f>
        <v>131874818173.11</v>
      </c>
      <c r="E217" s="102"/>
      <c r="F217" s="103"/>
      <c r="G217" s="103"/>
      <c r="H217" s="100">
        <f>SUM(H215:H216)</f>
        <v>26</v>
      </c>
      <c r="I217" s="123"/>
      <c r="J217" s="123"/>
      <c r="K217" s="100">
        <f>SUM(K215:K216)</f>
        <v>131944266765.92999</v>
      </c>
      <c r="L217" s="102"/>
      <c r="M217" s="103"/>
      <c r="N217" s="103"/>
      <c r="O217" s="100">
        <f>SUM(O215:O216)</f>
        <v>26</v>
      </c>
      <c r="P217" s="123"/>
      <c r="Q217" s="100"/>
      <c r="R217" s="128">
        <f>((K217-D217)/D217)</f>
        <v>5.2662512663204574E-4</v>
      </c>
      <c r="S217" s="129"/>
      <c r="T217" s="129"/>
      <c r="U217" s="128"/>
      <c r="V217" s="130"/>
    </row>
    <row r="218" spans="1:22" ht="4.5" customHeight="1">
      <c r="A218" s="45"/>
      <c r="B218" s="173"/>
      <c r="C218" s="173"/>
      <c r="D218" s="173"/>
      <c r="E218" s="173"/>
      <c r="F218" s="173"/>
      <c r="G218" s="173"/>
      <c r="H218" s="173"/>
      <c r="I218" s="173"/>
      <c r="J218" s="173"/>
      <c r="K218" s="173"/>
      <c r="L218" s="173"/>
      <c r="M218" s="173"/>
      <c r="N218" s="173"/>
      <c r="O218" s="173"/>
      <c r="P218" s="173"/>
      <c r="Q218" s="173"/>
      <c r="R218" s="173"/>
      <c r="S218" s="173"/>
      <c r="T218" s="173"/>
      <c r="U218" s="173"/>
      <c r="V218" s="173"/>
    </row>
    <row r="219" spans="1:22" ht="15.6">
      <c r="A219" s="172" t="s">
        <v>262</v>
      </c>
      <c r="B219" s="172"/>
      <c r="C219" s="172"/>
      <c r="D219" s="172"/>
      <c r="E219" s="172"/>
      <c r="F219" s="172"/>
      <c r="G219" s="172"/>
      <c r="H219" s="172"/>
      <c r="I219" s="172"/>
      <c r="J219" s="172"/>
      <c r="K219" s="172"/>
      <c r="L219" s="172"/>
      <c r="M219" s="172"/>
      <c r="N219" s="172"/>
      <c r="O219" s="172"/>
      <c r="P219" s="172"/>
      <c r="Q219" s="172"/>
      <c r="R219" s="172"/>
      <c r="S219" s="172"/>
      <c r="T219" s="172"/>
      <c r="U219" s="172"/>
      <c r="V219" s="172"/>
    </row>
    <row r="220" spans="1:22">
      <c r="A220" s="161">
        <v>1</v>
      </c>
      <c r="B220" s="162" t="s">
        <v>263</v>
      </c>
      <c r="C220" s="163" t="s">
        <v>83</v>
      </c>
      <c r="D220" s="104">
        <v>951233171.32700229</v>
      </c>
      <c r="E220" s="105">
        <f t="shared" ref="E220:E231" si="112">(D220/$D$232)</f>
        <v>7.5681557235909983E-2</v>
      </c>
      <c r="F220" s="101">
        <v>224.16</v>
      </c>
      <c r="G220" s="101">
        <v>226.63</v>
      </c>
      <c r="H220" s="106">
        <v>61</v>
      </c>
      <c r="I220" s="62">
        <v>8.8439705812313196E-3</v>
      </c>
      <c r="J220" s="62">
        <v>0.28047526562321479</v>
      </c>
      <c r="K220" s="104">
        <v>964149629.42939615</v>
      </c>
      <c r="L220" s="105">
        <f t="shared" ref="L220:L231" si="113">(K220/$K$232)</f>
        <v>7.5518083073528294E-2</v>
      </c>
      <c r="M220" s="101">
        <v>227.21</v>
      </c>
      <c r="N220" s="101">
        <v>229.77</v>
      </c>
      <c r="O220" s="106">
        <v>61</v>
      </c>
      <c r="P220" s="62">
        <v>1.360635260528209E-2</v>
      </c>
      <c r="Q220" s="62">
        <v>0.29789786358962633</v>
      </c>
      <c r="R220" s="67">
        <f>((K220-D220)/D220)</f>
        <v>1.3578645585261678E-2</v>
      </c>
      <c r="S220" s="67">
        <f>((N220-G220)/G220)</f>
        <v>1.3855182455985592E-2</v>
      </c>
      <c r="T220" s="67">
        <f>((O220-H220)/H220)</f>
        <v>0</v>
      </c>
      <c r="U220" s="67">
        <f>P220-I220</f>
        <v>4.7623820240507708E-3</v>
      </c>
      <c r="V220" s="68">
        <f>Q220-J220</f>
        <v>1.7422597966411546E-2</v>
      </c>
    </row>
    <row r="221" spans="1:22">
      <c r="A221" s="161">
        <v>2</v>
      </c>
      <c r="B221" s="162" t="s">
        <v>264</v>
      </c>
      <c r="C221" s="163" t="s">
        <v>236</v>
      </c>
      <c r="D221" s="104">
        <v>1011233542.46</v>
      </c>
      <c r="E221" s="105">
        <f t="shared" si="112"/>
        <v>8.0455277979629508E-2</v>
      </c>
      <c r="F221" s="101">
        <v>28.76</v>
      </c>
      <c r="G221" s="101">
        <v>31.79</v>
      </c>
      <c r="H221" s="106">
        <v>212</v>
      </c>
      <c r="I221" s="62">
        <v>-3.5000000000000001E-3</v>
      </c>
      <c r="J221" s="62">
        <v>0.34189999999999998</v>
      </c>
      <c r="K221" s="104">
        <v>1045827152.62</v>
      </c>
      <c r="L221" s="105">
        <f t="shared" si="113"/>
        <v>8.1915565158542911E-2</v>
      </c>
      <c r="M221" s="101">
        <v>29.75</v>
      </c>
      <c r="N221" s="101">
        <v>32.880000000000003</v>
      </c>
      <c r="O221" s="106">
        <v>212</v>
      </c>
      <c r="P221" s="62">
        <v>3.4200000000000001E-2</v>
      </c>
      <c r="Q221" s="62">
        <v>0.38779999999999998</v>
      </c>
      <c r="R221" s="67">
        <f t="shared" ref="R221:R232" si="114">((K221-D221)/D221)</f>
        <v>3.4209318330012117E-2</v>
      </c>
      <c r="S221" s="67">
        <f t="shared" ref="S221:S232" si="115">((N221-G221)/G221)</f>
        <v>3.428751179616242E-2</v>
      </c>
      <c r="T221" s="67">
        <f t="shared" ref="T221:T232" si="116">((O221-H221)/H221)</f>
        <v>0</v>
      </c>
      <c r="U221" s="67">
        <f t="shared" ref="U221:U232" si="117">P221-I221</f>
        <v>3.7700000000000004E-2</v>
      </c>
      <c r="V221" s="68">
        <f t="shared" ref="V221:V232" si="118">Q221-J221</f>
        <v>4.5899999999999996E-2</v>
      </c>
    </row>
    <row r="222" spans="1:22">
      <c r="A222" s="161">
        <v>3</v>
      </c>
      <c r="B222" s="162" t="s">
        <v>265</v>
      </c>
      <c r="C222" s="163" t="s">
        <v>43</v>
      </c>
      <c r="D222" s="104">
        <v>373898425.44</v>
      </c>
      <c r="E222" s="105">
        <f t="shared" si="112"/>
        <v>2.9747927152160195E-2</v>
      </c>
      <c r="F222" s="101">
        <v>27.896868000000001</v>
      </c>
      <c r="G222" s="101">
        <v>28.172892999999998</v>
      </c>
      <c r="H222" s="106">
        <v>167</v>
      </c>
      <c r="I222" s="62">
        <v>1.7546983513762715E-2</v>
      </c>
      <c r="J222" s="62">
        <v>0.75008683565589052</v>
      </c>
      <c r="K222" s="104">
        <v>382699021.99000001</v>
      </c>
      <c r="L222" s="105">
        <f t="shared" si="113"/>
        <v>2.9975322971293246E-2</v>
      </c>
      <c r="M222" s="101">
        <v>28.553488000000002</v>
      </c>
      <c r="N222" s="101">
        <v>28.843973999999999</v>
      </c>
      <c r="O222" s="106">
        <v>167</v>
      </c>
      <c r="P222" s="62">
        <v>2.3537399334173648E-2</v>
      </c>
      <c r="Q222" s="62">
        <v>0.79286557672410285</v>
      </c>
      <c r="R222" s="67">
        <f t="shared" si="114"/>
        <v>2.3537399334173596E-2</v>
      </c>
      <c r="S222" s="67">
        <f t="shared" si="115"/>
        <v>2.3820095437128198E-2</v>
      </c>
      <c r="T222" s="67">
        <f t="shared" si="116"/>
        <v>0</v>
      </c>
      <c r="U222" s="67">
        <f t="shared" si="117"/>
        <v>5.9904158204109326E-3</v>
      </c>
      <c r="V222" s="68">
        <f t="shared" si="118"/>
        <v>4.2778741068212334E-2</v>
      </c>
    </row>
    <row r="223" spans="1:22">
      <c r="A223" s="161">
        <v>4</v>
      </c>
      <c r="B223" s="162" t="s">
        <v>266</v>
      </c>
      <c r="C223" s="163" t="s">
        <v>43</v>
      </c>
      <c r="D223" s="104">
        <v>864810748.13</v>
      </c>
      <c r="E223" s="105">
        <f t="shared" si="112"/>
        <v>6.8805657861495159E-2</v>
      </c>
      <c r="F223" s="101">
        <v>64.894212999999993</v>
      </c>
      <c r="G223" s="101">
        <v>65.270433999999995</v>
      </c>
      <c r="H223" s="106">
        <v>99</v>
      </c>
      <c r="I223" s="62">
        <v>1.5198101957760501E-2</v>
      </c>
      <c r="J223" s="62">
        <v>0.2067882634246756</v>
      </c>
      <c r="K223" s="104">
        <v>886275733.80000007</v>
      </c>
      <c r="L223" s="105">
        <f t="shared" si="113"/>
        <v>6.9418524312218136E-2</v>
      </c>
      <c r="M223" s="101">
        <v>66.504913999999999</v>
      </c>
      <c r="N223" s="101">
        <v>66.902770000000004</v>
      </c>
      <c r="O223" s="106">
        <v>99</v>
      </c>
      <c r="P223" s="62">
        <v>2.4820442757463868E-2</v>
      </c>
      <c r="Q223" s="62">
        <v>0.23474201594373101</v>
      </c>
      <c r="R223" s="67">
        <f t="shared" si="114"/>
        <v>2.4820442757463763E-2</v>
      </c>
      <c r="S223" s="67">
        <f t="shared" si="115"/>
        <v>2.5008811799842014E-2</v>
      </c>
      <c r="T223" s="67">
        <f t="shared" si="116"/>
        <v>0</v>
      </c>
      <c r="U223" s="67">
        <f t="shared" si="117"/>
        <v>9.6223407997033661E-3</v>
      </c>
      <c r="V223" s="68">
        <f t="shared" si="118"/>
        <v>2.7953752519055408E-2</v>
      </c>
    </row>
    <row r="224" spans="1:22">
      <c r="A224" s="161">
        <v>5</v>
      </c>
      <c r="B224" s="162" t="s">
        <v>267</v>
      </c>
      <c r="C224" s="163" t="s">
        <v>268</v>
      </c>
      <c r="D224" s="104">
        <v>1262058902.0899999</v>
      </c>
      <c r="E224" s="105">
        <f t="shared" si="112"/>
        <v>0.10041132491244811</v>
      </c>
      <c r="F224" s="101">
        <v>36300</v>
      </c>
      <c r="G224" s="101">
        <v>40900</v>
      </c>
      <c r="H224" s="106">
        <v>219</v>
      </c>
      <c r="I224" s="62">
        <v>-0.01</v>
      </c>
      <c r="J224" s="62">
        <v>1.1599999999999999</v>
      </c>
      <c r="K224" s="104">
        <v>1264521712.1099999</v>
      </c>
      <c r="L224" s="105">
        <f t="shared" si="113"/>
        <v>9.9045057726069641E-2</v>
      </c>
      <c r="M224" s="101">
        <v>36100</v>
      </c>
      <c r="N224" s="101">
        <v>40650</v>
      </c>
      <c r="O224" s="106">
        <v>219</v>
      </c>
      <c r="P224" s="62">
        <v>0</v>
      </c>
      <c r="Q224" s="62">
        <v>1.1599999999999999</v>
      </c>
      <c r="R224" s="67">
        <f t="shared" si="114"/>
        <v>1.9514224066099516E-3</v>
      </c>
      <c r="S224" s="67">
        <f t="shared" si="115"/>
        <v>-6.1124694376528121E-3</v>
      </c>
      <c r="T224" s="67">
        <f t="shared" si="116"/>
        <v>0</v>
      </c>
      <c r="U224" s="67">
        <f t="shared" si="117"/>
        <v>0.01</v>
      </c>
      <c r="V224" s="68">
        <f t="shared" si="118"/>
        <v>0</v>
      </c>
    </row>
    <row r="225" spans="1:22">
      <c r="A225" s="161">
        <v>6</v>
      </c>
      <c r="B225" s="162" t="s">
        <v>269</v>
      </c>
      <c r="C225" s="163" t="s">
        <v>270</v>
      </c>
      <c r="D225" s="104">
        <v>964527066.22000003</v>
      </c>
      <c r="E225" s="105">
        <f t="shared" si="112"/>
        <v>7.6739239723820948E-2</v>
      </c>
      <c r="F225" s="101">
        <v>864.1</v>
      </c>
      <c r="G225" s="101">
        <v>864.1</v>
      </c>
      <c r="H225" s="106">
        <v>129</v>
      </c>
      <c r="I225" s="62">
        <v>1.66E-2</v>
      </c>
      <c r="J225" s="62">
        <v>0.32269999999999999</v>
      </c>
      <c r="K225" s="104">
        <v>985599172.42999995</v>
      </c>
      <c r="L225" s="105">
        <f t="shared" si="113"/>
        <v>7.7198142185481128E-2</v>
      </c>
      <c r="M225" s="101">
        <v>864.1</v>
      </c>
      <c r="N225" s="101">
        <v>864.1</v>
      </c>
      <c r="O225" s="106">
        <v>129</v>
      </c>
      <c r="P225" s="62">
        <v>2.18E-2</v>
      </c>
      <c r="Q225" s="62">
        <v>0.35089999999999999</v>
      </c>
      <c r="R225" s="67">
        <f t="shared" si="114"/>
        <v>2.184708646132856E-2</v>
      </c>
      <c r="S225" s="67">
        <f t="shared" si="115"/>
        <v>0</v>
      </c>
      <c r="T225" s="67">
        <f t="shared" si="116"/>
        <v>0</v>
      </c>
      <c r="U225" s="67">
        <f t="shared" si="117"/>
        <v>5.1999999999999998E-3</v>
      </c>
      <c r="V225" s="68">
        <f t="shared" si="118"/>
        <v>2.8200000000000003E-2</v>
      </c>
    </row>
    <row r="226" spans="1:22">
      <c r="A226" s="161">
        <v>7</v>
      </c>
      <c r="B226" s="162" t="s">
        <v>271</v>
      </c>
      <c r="C226" s="163" t="s">
        <v>270</v>
      </c>
      <c r="D226" s="104">
        <v>827241093.00999999</v>
      </c>
      <c r="E226" s="105">
        <f t="shared" si="112"/>
        <v>6.5816558984370069E-2</v>
      </c>
      <c r="F226" s="101">
        <v>410</v>
      </c>
      <c r="G226" s="101">
        <v>410</v>
      </c>
      <c r="H226" s="106">
        <v>601</v>
      </c>
      <c r="I226" s="62">
        <v>6.0000000000000001E-3</v>
      </c>
      <c r="J226" s="62">
        <v>0.3614</v>
      </c>
      <c r="K226" s="104">
        <v>839198900.62</v>
      </c>
      <c r="L226" s="105">
        <f t="shared" si="113"/>
        <v>6.5731179432948844E-2</v>
      </c>
      <c r="M226" s="101">
        <v>410</v>
      </c>
      <c r="N226" s="101">
        <v>410</v>
      </c>
      <c r="O226" s="106">
        <v>601</v>
      </c>
      <c r="P226" s="62">
        <v>1.44E-2</v>
      </c>
      <c r="Q226" s="62">
        <v>0.38090000000000002</v>
      </c>
      <c r="R226" s="67">
        <f t="shared" si="114"/>
        <v>1.4455045465029218E-2</v>
      </c>
      <c r="S226" s="67">
        <f t="shared" si="115"/>
        <v>0</v>
      </c>
      <c r="T226" s="67">
        <f t="shared" si="116"/>
        <v>0</v>
      </c>
      <c r="U226" s="67">
        <f t="shared" si="117"/>
        <v>8.3999999999999995E-3</v>
      </c>
      <c r="V226" s="68">
        <f t="shared" si="118"/>
        <v>1.9500000000000017E-2</v>
      </c>
    </row>
    <row r="227" spans="1:22">
      <c r="A227" s="161">
        <v>8</v>
      </c>
      <c r="B227" s="162" t="s">
        <v>272</v>
      </c>
      <c r="C227" s="163" t="s">
        <v>273</v>
      </c>
      <c r="D227" s="104">
        <v>56765292.390000001</v>
      </c>
      <c r="E227" s="105">
        <f t="shared" si="112"/>
        <v>4.5163329607542666E-3</v>
      </c>
      <c r="F227" s="101">
        <v>16.5</v>
      </c>
      <c r="G227" s="101">
        <v>16.600000000000001</v>
      </c>
      <c r="H227" s="106">
        <v>63</v>
      </c>
      <c r="I227" s="62">
        <v>2.4199999999999999E-2</v>
      </c>
      <c r="J227" s="62">
        <v>0.48949999999999999</v>
      </c>
      <c r="K227" s="104">
        <v>58316441.079999998</v>
      </c>
      <c r="L227" s="105">
        <f t="shared" si="113"/>
        <v>4.5676995640586459E-3</v>
      </c>
      <c r="M227" s="101">
        <v>17.02</v>
      </c>
      <c r="N227" s="101">
        <v>17.12</v>
      </c>
      <c r="O227" s="106">
        <v>65</v>
      </c>
      <c r="P227" s="62">
        <v>2.8999999999999998E-3</v>
      </c>
      <c r="Q227" s="62">
        <v>0.49380000000000002</v>
      </c>
      <c r="R227" s="67">
        <f t="shared" si="114"/>
        <v>2.7325653135775164E-2</v>
      </c>
      <c r="S227" s="67">
        <f t="shared" si="115"/>
        <v>3.1325301204819252E-2</v>
      </c>
      <c r="T227" s="67">
        <f t="shared" si="116"/>
        <v>3.1746031746031744E-2</v>
      </c>
      <c r="U227" s="67">
        <f t="shared" si="117"/>
        <v>-2.1299999999999999E-2</v>
      </c>
      <c r="V227" s="68">
        <f t="shared" si="118"/>
        <v>4.300000000000026E-3</v>
      </c>
    </row>
    <row r="228" spans="1:22">
      <c r="A228" s="161">
        <v>9</v>
      </c>
      <c r="B228" s="162" t="s">
        <v>274</v>
      </c>
      <c r="C228" s="163" t="s">
        <v>273</v>
      </c>
      <c r="D228" s="107">
        <v>687598430.12</v>
      </c>
      <c r="E228" s="105">
        <f t="shared" si="112"/>
        <v>5.4706376431188947E-2</v>
      </c>
      <c r="F228" s="101">
        <v>10.67</v>
      </c>
      <c r="G228" s="101">
        <v>10.77</v>
      </c>
      <c r="H228" s="106">
        <v>105</v>
      </c>
      <c r="I228" s="62">
        <v>1.47E-2</v>
      </c>
      <c r="J228" s="62">
        <v>0.1721</v>
      </c>
      <c r="K228" s="107">
        <v>700105974.96000004</v>
      </c>
      <c r="L228" s="105">
        <f t="shared" si="113"/>
        <v>5.4836572626795241E-2</v>
      </c>
      <c r="M228" s="101">
        <v>10.388</v>
      </c>
      <c r="N228" s="101">
        <v>10.98</v>
      </c>
      <c r="O228" s="106">
        <v>108</v>
      </c>
      <c r="P228" s="62">
        <v>0</v>
      </c>
      <c r="Q228" s="62">
        <v>0.1721</v>
      </c>
      <c r="R228" s="67">
        <f t="shared" si="114"/>
        <v>1.8190188185591424E-2</v>
      </c>
      <c r="S228" s="67">
        <f t="shared" si="115"/>
        <v>1.9498607242339913E-2</v>
      </c>
      <c r="T228" s="67">
        <f t="shared" si="116"/>
        <v>2.8571428571428571E-2</v>
      </c>
      <c r="U228" s="67">
        <f t="shared" si="117"/>
        <v>-1.47E-2</v>
      </c>
      <c r="V228" s="68">
        <f t="shared" si="118"/>
        <v>0</v>
      </c>
    </row>
    <row r="229" spans="1:22" ht="15" customHeight="1">
      <c r="A229" s="161">
        <v>10</v>
      </c>
      <c r="B229" s="162" t="s">
        <v>275</v>
      </c>
      <c r="C229" s="163" t="s">
        <v>273</v>
      </c>
      <c r="D229" s="104">
        <v>95175823.329999998</v>
      </c>
      <c r="E229" s="105">
        <f t="shared" si="112"/>
        <v>7.5723331964714273E-3</v>
      </c>
      <c r="F229" s="101">
        <v>130.08000000000001</v>
      </c>
      <c r="G229" s="101">
        <v>132.08000000000001</v>
      </c>
      <c r="H229" s="106">
        <v>281</v>
      </c>
      <c r="I229" s="62">
        <v>2.5999999999999999E-2</v>
      </c>
      <c r="J229" s="62">
        <v>0.28399999999999997</v>
      </c>
      <c r="K229" s="104">
        <v>95204298.590000004</v>
      </c>
      <c r="L229" s="105">
        <f t="shared" si="113"/>
        <v>7.4569816866823825E-3</v>
      </c>
      <c r="M229" s="101">
        <v>130.12</v>
      </c>
      <c r="N229" s="101">
        <v>132.12</v>
      </c>
      <c r="O229" s="106">
        <v>281</v>
      </c>
      <c r="P229" s="62">
        <v>0.52610000000000001</v>
      </c>
      <c r="Q229" s="62">
        <v>0.95950000000000002</v>
      </c>
      <c r="R229" s="67">
        <f t="shared" si="114"/>
        <v>2.9918585417721089E-4</v>
      </c>
      <c r="S229" s="67">
        <f t="shared" si="115"/>
        <v>3.0284675953961264E-4</v>
      </c>
      <c r="T229" s="67">
        <f t="shared" si="116"/>
        <v>0</v>
      </c>
      <c r="U229" s="67">
        <f t="shared" si="117"/>
        <v>0.50009999999999999</v>
      </c>
      <c r="V229" s="68">
        <f t="shared" si="118"/>
        <v>0.67549999999999999</v>
      </c>
    </row>
    <row r="230" spans="1:22">
      <c r="A230" s="161">
        <v>11</v>
      </c>
      <c r="B230" s="162" t="s">
        <v>276</v>
      </c>
      <c r="C230" s="163" t="s">
        <v>273</v>
      </c>
      <c r="D230" s="104">
        <v>5411178727.6000004</v>
      </c>
      <c r="E230" s="105">
        <f t="shared" si="112"/>
        <v>0.43052160598572781</v>
      </c>
      <c r="F230" s="101">
        <v>37.51</v>
      </c>
      <c r="G230" s="101">
        <v>37.51</v>
      </c>
      <c r="H230" s="106">
        <v>284</v>
      </c>
      <c r="I230" s="62">
        <v>0</v>
      </c>
      <c r="J230" s="62">
        <v>0.33329999999999999</v>
      </c>
      <c r="K230" s="104">
        <v>5482100247.2600002</v>
      </c>
      <c r="L230" s="105">
        <f t="shared" si="113"/>
        <v>0.42939154800588697</v>
      </c>
      <c r="M230" s="101">
        <v>38.01</v>
      </c>
      <c r="N230" s="101">
        <v>38.21</v>
      </c>
      <c r="O230" s="106">
        <v>284</v>
      </c>
      <c r="P230" s="62">
        <v>0</v>
      </c>
      <c r="Q230" s="62">
        <v>0.33329999999999999</v>
      </c>
      <c r="R230" s="67">
        <f t="shared" si="114"/>
        <v>1.3106482566961043E-2</v>
      </c>
      <c r="S230" s="67">
        <f t="shared" si="115"/>
        <v>1.8661690215942491E-2</v>
      </c>
      <c r="T230" s="67">
        <f t="shared" si="116"/>
        <v>0</v>
      </c>
      <c r="U230" s="67">
        <f t="shared" si="117"/>
        <v>0</v>
      </c>
      <c r="V230" s="68">
        <f t="shared" si="118"/>
        <v>0</v>
      </c>
    </row>
    <row r="231" spans="1:22">
      <c r="A231" s="161">
        <v>12</v>
      </c>
      <c r="B231" s="162" t="s">
        <v>277</v>
      </c>
      <c r="C231" s="163" t="s">
        <v>273</v>
      </c>
      <c r="D231" s="107">
        <v>63168822.810000002</v>
      </c>
      <c r="E231" s="105">
        <f t="shared" si="112"/>
        <v>5.0258075760234618E-3</v>
      </c>
      <c r="F231" s="101">
        <v>35.520000000000003</v>
      </c>
      <c r="G231" s="101">
        <v>35.72</v>
      </c>
      <c r="H231" s="106">
        <v>60</v>
      </c>
      <c r="I231" s="62">
        <v>0</v>
      </c>
      <c r="J231" s="62">
        <v>0.69810000000000005</v>
      </c>
      <c r="K231" s="107">
        <v>63137614.079999998</v>
      </c>
      <c r="L231" s="105">
        <f t="shared" si="113"/>
        <v>4.9453232564945649E-3</v>
      </c>
      <c r="M231" s="101">
        <v>35.56</v>
      </c>
      <c r="N231" s="101">
        <v>35.76</v>
      </c>
      <c r="O231" s="106">
        <v>62</v>
      </c>
      <c r="P231" s="62">
        <v>3.3300000000000003E-2</v>
      </c>
      <c r="Q231" s="62">
        <v>0.75470000000000004</v>
      </c>
      <c r="R231" s="67">
        <f t="shared" si="114"/>
        <v>-4.9405274012900618E-4</v>
      </c>
      <c r="S231" s="67">
        <f t="shared" si="115"/>
        <v>1.1198208286673894E-3</v>
      </c>
      <c r="T231" s="67">
        <f t="shared" si="116"/>
        <v>3.3333333333333333E-2</v>
      </c>
      <c r="U231" s="67">
        <f t="shared" si="117"/>
        <v>3.3300000000000003E-2</v>
      </c>
      <c r="V231" s="68">
        <f t="shared" si="118"/>
        <v>5.6599999999999984E-2</v>
      </c>
    </row>
    <row r="232" spans="1:22">
      <c r="A232" s="188"/>
      <c r="B232" s="188"/>
      <c r="C232" s="189" t="s">
        <v>278</v>
      </c>
      <c r="D232" s="100">
        <f>SUM(D220:D231)</f>
        <v>12568890044.927004</v>
      </c>
      <c r="E232" s="102"/>
      <c r="F232" s="102"/>
      <c r="G232" s="103"/>
      <c r="H232" s="100">
        <f>SUM(H220:H231)</f>
        <v>2281</v>
      </c>
      <c r="I232" s="123"/>
      <c r="J232" s="123"/>
      <c r="K232" s="100">
        <f>SUM(K220:K231)</f>
        <v>12767135898.969397</v>
      </c>
      <c r="L232" s="102"/>
      <c r="M232" s="102"/>
      <c r="N232" s="103"/>
      <c r="O232" s="100">
        <f>SUM(O220:O231)</f>
        <v>2288</v>
      </c>
      <c r="P232" s="123"/>
      <c r="Q232" s="123"/>
      <c r="R232" s="67">
        <f t="shared" si="114"/>
        <v>1.5772741533561889E-2</v>
      </c>
      <c r="S232" s="67" t="e">
        <f t="shared" si="115"/>
        <v>#DIV/0!</v>
      </c>
      <c r="T232" s="67">
        <f t="shared" si="116"/>
        <v>3.0688294607628232E-3</v>
      </c>
      <c r="U232" s="67">
        <f t="shared" si="117"/>
        <v>0</v>
      </c>
      <c r="V232" s="68">
        <f t="shared" si="118"/>
        <v>0</v>
      </c>
    </row>
    <row r="233" spans="1:22">
      <c r="A233" s="108"/>
      <c r="B233" s="108"/>
      <c r="C233" s="109" t="s">
        <v>279</v>
      </c>
      <c r="D233" s="110">
        <f>SUM(D208,D212,D217,D232)</f>
        <v>3940271035326.1558</v>
      </c>
      <c r="E233" s="111"/>
      <c r="F233" s="111"/>
      <c r="G233" s="112"/>
      <c r="H233" s="110">
        <f>SUM(H208,H212,H217,H232)</f>
        <v>807789</v>
      </c>
      <c r="I233" s="124"/>
      <c r="J233" s="124"/>
      <c r="K233" s="110">
        <f>SUM(K208,K212,K217,K232)</f>
        <v>3978262506502.1558</v>
      </c>
      <c r="L233" s="111"/>
      <c r="M233" s="111"/>
      <c r="N233" s="110"/>
      <c r="O233" s="110">
        <f>SUM(O208,O212,O217,O232)</f>
        <v>809264</v>
      </c>
      <c r="P233" s="125"/>
      <c r="Q233" s="110"/>
      <c r="R233" s="131"/>
      <c r="S233" s="132"/>
      <c r="T233" s="132"/>
      <c r="U233" s="133"/>
      <c r="V233" s="133"/>
    </row>
    <row r="234" spans="1:22">
      <c r="A234" s="113" t="s">
        <v>280</v>
      </c>
      <c r="B234" s="166" t="s">
        <v>300</v>
      </c>
      <c r="C234" s="114"/>
      <c r="D234" s="114"/>
      <c r="E234" s="114"/>
      <c r="F234" s="114"/>
      <c r="G234" s="114"/>
      <c r="H234" s="114"/>
      <c r="I234" s="114"/>
      <c r="J234" s="114"/>
      <c r="K234" s="114"/>
      <c r="L234" s="114"/>
      <c r="M234" s="114"/>
      <c r="N234" s="114"/>
      <c r="O234" s="114"/>
      <c r="P234" s="114"/>
      <c r="Q234" s="114"/>
      <c r="R234" s="114"/>
      <c r="S234" s="114"/>
      <c r="T234" s="114"/>
      <c r="U234" s="114"/>
      <c r="V234" s="114"/>
    </row>
    <row r="235" spans="1:22">
      <c r="B235" s="165"/>
    </row>
    <row r="236" spans="1:22">
      <c r="B236" s="140"/>
      <c r="C236" s="115"/>
      <c r="D236" s="116"/>
      <c r="K236" s="116"/>
    </row>
    <row r="237" spans="1:22" ht="15">
      <c r="B237" s="117"/>
      <c r="C237" s="118"/>
      <c r="D237" s="119"/>
      <c r="F237" s="120"/>
      <c r="G237" s="120"/>
      <c r="I237" s="126"/>
      <c r="J237" s="127"/>
    </row>
    <row r="240" spans="1:22">
      <c r="B240" s="115"/>
    </row>
  </sheetData>
  <sheetProtection algorithmName="SHA-512" hashValue="u7QzbTK7HritDZKkOcZTABRYG+tCmy4TsmHZbUZND1FprBwiVuQq4usJhe7lZpC7GWTCAsAOifqkKDyoKEQzjA==" saltValue="C+vT3uH8cQkfZHaSyeIMBA==" spinCount="100000" sheet="1" objects="1" scenarios="1"/>
  <mergeCells count="34">
    <mergeCell ref="A1:V1"/>
    <mergeCell ref="D2:J2"/>
    <mergeCell ref="K2:Q2"/>
    <mergeCell ref="R2:T2"/>
    <mergeCell ref="U2:V2"/>
    <mergeCell ref="B4:V4"/>
    <mergeCell ref="A5:V5"/>
    <mergeCell ref="B25:V25"/>
    <mergeCell ref="A26:V26"/>
    <mergeCell ref="B66:V66"/>
    <mergeCell ref="A67:V67"/>
    <mergeCell ref="B105:V105"/>
    <mergeCell ref="A106:V106"/>
    <mergeCell ref="A107:V107"/>
    <mergeCell ref="B123:V123"/>
    <mergeCell ref="A124:V124"/>
    <mergeCell ref="B139:V139"/>
    <mergeCell ref="A140:V140"/>
    <mergeCell ref="B147:V147"/>
    <mergeCell ref="A148:V148"/>
    <mergeCell ref="B179:V179"/>
    <mergeCell ref="A180:V180"/>
    <mergeCell ref="B185:V185"/>
    <mergeCell ref="A186:V186"/>
    <mergeCell ref="A187:V187"/>
    <mergeCell ref="A210:V210"/>
    <mergeCell ref="A214:V214"/>
    <mergeCell ref="B218:V218"/>
    <mergeCell ref="A219:V219"/>
    <mergeCell ref="B190:V190"/>
    <mergeCell ref="A191:V191"/>
    <mergeCell ref="B204:V204"/>
    <mergeCell ref="A205:V205"/>
    <mergeCell ref="B209:U209"/>
  </mergeCells>
  <pageMargins left="0.7" right="0.7" top="0.75" bottom="0.75" header="0.3" footer="0.3"/>
  <pageSetup paperSize="9" orientation="portrait" horizontalDpi="300" verticalDpi="300" r:id="rId1"/>
  <ignoredErrors>
    <ignoredError sqref="L90 E90 E72 L46 E46 L32 E32" formula="1"/>
    <ignoredError sqref="S146 S24 T37 S65 S104 S138 T156 S178 S184 S207 S232 T215:T216 R47:T47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E29"/>
  <sheetViews>
    <sheetView workbookViewId="0">
      <selection activeCell="H6" sqref="H6"/>
    </sheetView>
  </sheetViews>
  <sheetFormatPr defaultColWidth="9" defaultRowHeight="14.4"/>
  <cols>
    <col min="1" max="1" width="34" customWidth="1"/>
    <col min="2" max="2" width="17.6640625" customWidth="1"/>
    <col min="3" max="3" width="17.44140625" customWidth="1"/>
  </cols>
  <sheetData>
    <row r="1" spans="1:5">
      <c r="A1" s="137"/>
      <c r="B1" s="137"/>
      <c r="C1" s="137"/>
      <c r="D1" s="137"/>
      <c r="E1" s="19"/>
    </row>
    <row r="2" spans="1:5" ht="27.6">
      <c r="A2" s="148" t="s">
        <v>281</v>
      </c>
      <c r="B2" s="149" t="s">
        <v>297</v>
      </c>
      <c r="C2" s="149" t="s">
        <v>301</v>
      </c>
      <c r="D2" s="150"/>
      <c r="E2" s="19"/>
    </row>
    <row r="3" spans="1:5">
      <c r="A3" s="151" t="s">
        <v>17</v>
      </c>
      <c r="B3" s="152">
        <f t="shared" ref="B3:C10" si="0">B13</f>
        <v>30.560198280420003</v>
      </c>
      <c r="C3" s="152">
        <f t="shared" si="0"/>
        <v>31.203064609430001</v>
      </c>
      <c r="D3" s="150"/>
      <c r="E3" s="19"/>
    </row>
    <row r="4" spans="1:5" ht="17.25" customHeight="1">
      <c r="A4" s="148" t="s">
        <v>54</v>
      </c>
      <c r="B4" s="153">
        <f t="shared" si="0"/>
        <v>1651.9941141754978</v>
      </c>
      <c r="C4" s="153">
        <f t="shared" si="0"/>
        <v>1680.7898983811579</v>
      </c>
      <c r="D4" s="150"/>
      <c r="E4" s="19"/>
    </row>
    <row r="5" spans="1:5" ht="19.5" customHeight="1">
      <c r="A5" s="148" t="s">
        <v>282</v>
      </c>
      <c r="B5" s="152">
        <f t="shared" si="0"/>
        <v>198.3718049229638</v>
      </c>
      <c r="C5" s="152">
        <f t="shared" si="0"/>
        <v>196.29964051455568</v>
      </c>
      <c r="D5" s="150"/>
      <c r="E5" s="19"/>
    </row>
    <row r="6" spans="1:5">
      <c r="A6" s="148" t="s">
        <v>158</v>
      </c>
      <c r="B6" s="153">
        <f t="shared" si="0"/>
        <v>1699.0421627933724</v>
      </c>
      <c r="C6" s="153">
        <f t="shared" si="0"/>
        <v>1708.643961742885</v>
      </c>
      <c r="D6" s="150"/>
      <c r="E6" s="19"/>
    </row>
    <row r="7" spans="1:5">
      <c r="A7" s="148" t="s">
        <v>283</v>
      </c>
      <c r="B7" s="152">
        <f t="shared" si="0"/>
        <v>100.24826219226375</v>
      </c>
      <c r="C7" s="152">
        <f t="shared" si="0"/>
        <v>99.946034003712882</v>
      </c>
      <c r="D7" s="150"/>
      <c r="E7" s="19"/>
    </row>
    <row r="8" spans="1:5">
      <c r="A8" s="148" t="s">
        <v>196</v>
      </c>
      <c r="B8" s="154">
        <f t="shared" si="0"/>
        <v>54.152150309321541</v>
      </c>
      <c r="C8" s="154">
        <f t="shared" si="0"/>
        <v>54.717751907536261</v>
      </c>
      <c r="D8" s="150"/>
      <c r="E8" s="19"/>
    </row>
    <row r="9" spans="1:5">
      <c r="A9" s="148" t="s">
        <v>228</v>
      </c>
      <c r="B9" s="152">
        <f t="shared" si="0"/>
        <v>5.82185179839</v>
      </c>
      <c r="C9" s="152">
        <f t="shared" si="0"/>
        <v>5.8837956957899999</v>
      </c>
      <c r="D9" s="150"/>
      <c r="E9" s="19"/>
    </row>
    <row r="10" spans="1:5">
      <c r="A10" s="148" t="s">
        <v>284</v>
      </c>
      <c r="B10" s="152">
        <f t="shared" si="0"/>
        <v>51.937137539237916</v>
      </c>
      <c r="C10" s="152">
        <f t="shared" si="0"/>
        <v>52.3470550083237</v>
      </c>
      <c r="D10" s="150"/>
      <c r="E10" s="19"/>
    </row>
    <row r="11" spans="1:5">
      <c r="A11" s="148"/>
      <c r="B11" s="152"/>
      <c r="C11" s="152"/>
      <c r="D11" s="150"/>
      <c r="E11" s="19"/>
    </row>
    <row r="12" spans="1:5">
      <c r="A12" s="137"/>
      <c r="B12" s="137"/>
      <c r="C12" s="137"/>
      <c r="D12" s="137"/>
      <c r="E12" s="19"/>
    </row>
    <row r="13" spans="1:5">
      <c r="A13" s="155" t="s">
        <v>17</v>
      </c>
      <c r="B13" s="156">
        <f>'Weekly Valuation'!D24/1000000000</f>
        <v>30.560198280420003</v>
      </c>
      <c r="C13" s="157">
        <f>'Weekly Valuation'!K24/1000000000</f>
        <v>31.203064609430001</v>
      </c>
      <c r="D13" s="137"/>
      <c r="E13" s="19"/>
    </row>
    <row r="14" spans="1:5">
      <c r="A14" s="158" t="s">
        <v>54</v>
      </c>
      <c r="B14" s="156">
        <f>'Weekly Valuation'!D65/1000000000</f>
        <v>1651.9941141754978</v>
      </c>
      <c r="C14" s="159">
        <f>'Weekly Valuation'!K65/1000000000</f>
        <v>1680.7898983811579</v>
      </c>
      <c r="D14" s="137"/>
      <c r="E14" s="19"/>
    </row>
    <row r="15" spans="1:5">
      <c r="A15" s="158" t="s">
        <v>282</v>
      </c>
      <c r="B15" s="156">
        <f>'Weekly Valuation'!D104/1000000000</f>
        <v>198.3718049229638</v>
      </c>
      <c r="C15" s="157">
        <f>'Weekly Valuation'!K104/1000000000</f>
        <v>196.29964051455568</v>
      </c>
      <c r="D15" s="137"/>
      <c r="E15" s="19"/>
    </row>
    <row r="16" spans="1:5">
      <c r="A16" s="158" t="s">
        <v>158</v>
      </c>
      <c r="B16" s="156">
        <f>'Weekly Valuation'!D138/1000000000</f>
        <v>1699.0421627933724</v>
      </c>
      <c r="C16" s="159">
        <f>'Weekly Valuation'!K138/1000000000</f>
        <v>1708.643961742885</v>
      </c>
      <c r="D16" s="137"/>
      <c r="E16" s="19"/>
    </row>
    <row r="17" spans="1:5">
      <c r="A17" s="158" t="s">
        <v>283</v>
      </c>
      <c r="B17" s="156">
        <f>'Weekly Valuation'!D146/1000000000</f>
        <v>100.24826219226375</v>
      </c>
      <c r="C17" s="157">
        <f>'Weekly Valuation'!K146/1000000000</f>
        <v>99.946034003712882</v>
      </c>
      <c r="D17" s="137"/>
      <c r="E17" s="19"/>
    </row>
    <row r="18" spans="1:5">
      <c r="A18" s="158" t="s">
        <v>196</v>
      </c>
      <c r="B18" s="156">
        <f>'Weekly Valuation'!D178/1000000000</f>
        <v>54.152150309321541</v>
      </c>
      <c r="C18" s="160">
        <f>'Weekly Valuation'!K178/1000000000</f>
        <v>54.717751907536261</v>
      </c>
      <c r="D18" s="137"/>
      <c r="E18" s="19"/>
    </row>
    <row r="19" spans="1:5">
      <c r="A19" s="158" t="s">
        <v>228</v>
      </c>
      <c r="B19" s="156">
        <f>'Weekly Valuation'!D184/1000000000</f>
        <v>5.82185179839</v>
      </c>
      <c r="C19" s="157">
        <f>'Weekly Valuation'!K184/1000000000</f>
        <v>5.8837956957899999</v>
      </c>
      <c r="D19" s="137"/>
      <c r="E19" s="19"/>
    </row>
    <row r="20" spans="1:5">
      <c r="A20" s="158" t="s">
        <v>284</v>
      </c>
      <c r="B20" s="156">
        <f>'Weekly Valuation'!D207/1000000000</f>
        <v>51.937137539237916</v>
      </c>
      <c r="C20" s="157">
        <f>'Weekly Valuation'!K207/1000000000</f>
        <v>52.3470550083237</v>
      </c>
      <c r="D20" s="137"/>
      <c r="E20" s="19"/>
    </row>
    <row r="21" spans="1:5">
      <c r="A21" s="21"/>
      <c r="B21" s="137"/>
      <c r="C21" s="24"/>
      <c r="D21" s="137"/>
      <c r="E21" s="19"/>
    </row>
    <row r="22" spans="1:5">
      <c r="A22" s="21"/>
      <c r="B22" s="137"/>
      <c r="C22" s="22"/>
      <c r="D22" s="137"/>
      <c r="E22" s="19"/>
    </row>
    <row r="23" spans="1:5">
      <c r="A23" s="26"/>
      <c r="B23" s="27"/>
      <c r="C23" s="23"/>
      <c r="D23" s="19"/>
      <c r="E23" s="19"/>
    </row>
    <row r="24" spans="1:5">
      <c r="A24" s="28"/>
      <c r="B24" s="29"/>
      <c r="C24" s="29"/>
      <c r="D24" s="15"/>
      <c r="E24" s="19"/>
    </row>
    <row r="25" spans="1:5">
      <c r="A25" s="28"/>
      <c r="B25" s="29"/>
      <c r="C25" s="29"/>
      <c r="D25" s="15"/>
      <c r="E25" s="15"/>
    </row>
    <row r="26" spans="1:5">
      <c r="A26" s="28"/>
      <c r="B26" s="29"/>
      <c r="C26" s="29"/>
      <c r="D26" s="15"/>
      <c r="E26" s="15"/>
    </row>
    <row r="27" spans="1:5">
      <c r="A27" s="28"/>
      <c r="B27" s="29"/>
      <c r="C27" s="29"/>
      <c r="D27" s="15"/>
      <c r="E27" s="15"/>
    </row>
    <row r="28" spans="1:5">
      <c r="A28" s="15"/>
      <c r="B28" s="15"/>
      <c r="C28" s="15"/>
      <c r="D28" s="15"/>
    </row>
    <row r="29" spans="1:5">
      <c r="A29" s="15"/>
      <c r="B29" s="15"/>
      <c r="C29" s="15"/>
      <c r="D29" s="15"/>
    </row>
  </sheetData>
  <sheetProtection algorithmName="SHA-512" hashValue="+M+/lVZNAt1pX887TKxLtNKj1T3Jn/azM97X/nAH7fCH4H0lU0ZclQgi2B/y0Kw0iV6TF2c1uOVTfbgur/+Skg==" saltValue="hPe5kC8ov9DJisxXRGjs6Q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H8" sqref="H8"/>
    </sheetView>
  </sheetViews>
  <sheetFormatPr defaultColWidth="9" defaultRowHeight="14.4"/>
  <cols>
    <col min="1" max="1" width="26.6640625" customWidth="1"/>
    <col min="2" max="2" width="17.44140625" customWidth="1"/>
    <col min="16" max="16" width="7.5546875" customWidth="1"/>
  </cols>
  <sheetData>
    <row r="1" spans="1:5" ht="15.6">
      <c r="A1" s="146" t="s">
        <v>281</v>
      </c>
      <c r="B1" s="147">
        <v>45653</v>
      </c>
      <c r="C1" s="19"/>
      <c r="D1" s="15"/>
      <c r="E1" s="15"/>
    </row>
    <row r="2" spans="1:5">
      <c r="A2" s="21" t="s">
        <v>228</v>
      </c>
      <c r="B2" s="22">
        <f>'Weekly Valuation'!K184</f>
        <v>5883795695.79</v>
      </c>
      <c r="C2" s="19"/>
      <c r="D2" s="15"/>
      <c r="E2" s="15"/>
    </row>
    <row r="3" spans="1:5">
      <c r="A3" s="21" t="s">
        <v>17</v>
      </c>
      <c r="B3" s="22">
        <f>'Weekly Valuation'!K24</f>
        <v>31203064609.43</v>
      </c>
      <c r="C3" s="19"/>
      <c r="D3" s="15"/>
      <c r="E3" s="15"/>
    </row>
    <row r="4" spans="1:5">
      <c r="A4" s="21" t="s">
        <v>284</v>
      </c>
      <c r="B4" s="23">
        <f>'Weekly Valuation'!K207</f>
        <v>52347055008.3237</v>
      </c>
      <c r="C4" s="19"/>
      <c r="D4" s="15"/>
      <c r="E4" s="15"/>
    </row>
    <row r="5" spans="1:5">
      <c r="A5" s="21" t="s">
        <v>196</v>
      </c>
      <c r="B5" s="22">
        <f>'Weekly Valuation'!K178</f>
        <v>54717751907.536263</v>
      </c>
      <c r="C5" s="19"/>
      <c r="D5" s="15"/>
      <c r="E5" s="15"/>
    </row>
    <row r="6" spans="1:5">
      <c r="A6" s="21" t="s">
        <v>283</v>
      </c>
      <c r="B6" s="22">
        <f>'Weekly Valuation'!K146</f>
        <v>99946034003.712875</v>
      </c>
      <c r="C6" s="19"/>
      <c r="D6" s="15"/>
      <c r="E6" s="15"/>
    </row>
    <row r="7" spans="1:5">
      <c r="A7" s="21" t="s">
        <v>282</v>
      </c>
      <c r="B7" s="22">
        <f>'Weekly Valuation'!K104</f>
        <v>196299640514.55566</v>
      </c>
      <c r="C7" s="19"/>
      <c r="D7" s="15"/>
      <c r="E7" s="15"/>
    </row>
    <row r="8" spans="1:5">
      <c r="A8" s="21" t="s">
        <v>54</v>
      </c>
      <c r="B8" s="24">
        <f>'Weekly Valuation'!K65</f>
        <v>1680789898381.158</v>
      </c>
      <c r="C8" s="19"/>
      <c r="D8" s="15"/>
      <c r="E8" s="15"/>
    </row>
    <row r="9" spans="1:5">
      <c r="A9" s="21" t="s">
        <v>158</v>
      </c>
      <c r="B9" s="24">
        <f>'Weekly Valuation'!K138</f>
        <v>1708643961742.885</v>
      </c>
      <c r="C9" s="19"/>
      <c r="D9" s="15"/>
      <c r="E9" s="15"/>
    </row>
    <row r="10" spans="1:5">
      <c r="A10" s="137"/>
      <c r="B10" s="137"/>
      <c r="C10" s="19"/>
      <c r="D10" s="15"/>
      <c r="E10" s="15"/>
    </row>
    <row r="11" spans="1:5">
      <c r="A11" s="185"/>
      <c r="B11" s="186"/>
      <c r="C11" s="15"/>
      <c r="D11" s="15"/>
      <c r="E11" s="15"/>
    </row>
    <row r="12" spans="1:5">
      <c r="A12" s="185"/>
      <c r="B12" s="15"/>
      <c r="C12" s="15"/>
      <c r="D12" s="15"/>
      <c r="E12" s="15"/>
    </row>
    <row r="13" spans="1:5">
      <c r="A13" s="29"/>
      <c r="B13" s="29"/>
      <c r="C13" s="15"/>
      <c r="D13" s="15"/>
      <c r="E13" s="15"/>
    </row>
    <row r="14" spans="1:5">
      <c r="A14" s="29"/>
      <c r="B14" s="29"/>
      <c r="C14" s="15"/>
      <c r="D14" s="15"/>
      <c r="E14" s="15"/>
    </row>
    <row r="15" spans="1:5" ht="16.5" customHeight="1">
      <c r="A15" s="136"/>
      <c r="B15" s="136"/>
      <c r="C15" s="15"/>
      <c r="D15" s="15"/>
      <c r="E15" s="15"/>
    </row>
    <row r="16" spans="1:5">
      <c r="A16" s="29"/>
      <c r="B16" s="29"/>
      <c r="C16" s="15"/>
      <c r="D16" s="15"/>
      <c r="E16" s="15"/>
    </row>
    <row r="17" spans="1:17">
      <c r="A17" s="29"/>
      <c r="B17" s="29"/>
      <c r="C17" s="15"/>
      <c r="D17" s="15"/>
      <c r="E17" s="15"/>
    </row>
    <row r="18" spans="1:17">
      <c r="A18" s="138"/>
      <c r="B18" s="29"/>
      <c r="C18" s="15"/>
      <c r="D18" s="15"/>
      <c r="E18" s="15"/>
    </row>
    <row r="19" spans="1:17">
      <c r="A19" s="138"/>
      <c r="B19" s="138"/>
      <c r="C19" s="15"/>
      <c r="D19" s="15"/>
      <c r="E19" s="15"/>
    </row>
    <row r="20" spans="1:17">
      <c r="A20" s="138"/>
      <c r="B20" s="138"/>
      <c r="C20" s="15"/>
      <c r="D20" s="15"/>
      <c r="E20" s="15"/>
    </row>
    <row r="21" spans="1:17">
      <c r="A21" s="28"/>
      <c r="B21" s="138"/>
      <c r="C21" s="15"/>
      <c r="D21" s="15"/>
      <c r="E21" s="15"/>
    </row>
    <row r="22" spans="1:17">
      <c r="A22" s="15"/>
      <c r="B22" s="138"/>
      <c r="C22" s="15"/>
      <c r="D22" s="15"/>
      <c r="E22" s="15"/>
    </row>
    <row r="23" spans="1:17">
      <c r="A23" s="15"/>
      <c r="B23" s="15"/>
      <c r="C23" s="15"/>
      <c r="D23" s="15"/>
      <c r="E23" s="15"/>
    </row>
    <row r="24" spans="1:17">
      <c r="A24" s="15"/>
      <c r="B24" s="15"/>
      <c r="C24" s="15"/>
      <c r="D24" s="15"/>
      <c r="E24" s="15"/>
    </row>
    <row r="25" spans="1:17">
      <c r="A25" s="15"/>
      <c r="B25" s="15"/>
      <c r="C25" s="15"/>
      <c r="D25" s="15"/>
      <c r="E25" s="15"/>
    </row>
    <row r="26" spans="1:17">
      <c r="A26" s="15"/>
      <c r="B26" s="15"/>
    </row>
    <row r="32" spans="1:17" ht="16.5" customHeight="1">
      <c r="A32" s="182" t="s">
        <v>302</v>
      </c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25"/>
    </row>
    <row r="33" spans="1:17" ht="15" customHeight="1">
      <c r="A33" s="183"/>
      <c r="B33" s="183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25"/>
    </row>
  </sheetData>
  <sheetProtection algorithmName="SHA-512" hashValue="yj5U16uR7CgIKLpyimiNVwQDK2rj9cQfCG5OOUGIHkLSJo1rnA4Y3EHevzOK9PC+0B9wPFLEOkuAR8h3X9NU4g==" saltValue="Lw8r7Q/qQ4WT+PfhExlo+g==" spinCount="100000" sheet="1" selectLockedCells="1" selectUnlockedCell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8"/>
  <sheetViews>
    <sheetView zoomScale="110" zoomScaleNormal="110" workbookViewId="0">
      <selection activeCell="F6" sqref="F6"/>
    </sheetView>
  </sheetViews>
  <sheetFormatPr defaultColWidth="9" defaultRowHeight="14.4"/>
  <cols>
    <col min="1" max="2" width="10.5546875" customWidth="1"/>
    <col min="3" max="3" width="11.109375" customWidth="1"/>
    <col min="4" max="4" width="10.5546875" customWidth="1"/>
    <col min="5" max="5" width="10.88671875" customWidth="1"/>
    <col min="6" max="6" width="11.109375" customWidth="1"/>
    <col min="7" max="7" width="12.109375" customWidth="1"/>
    <col min="8" max="8" width="11.6640625" customWidth="1"/>
    <col min="9" max="9" width="11.44140625" customWidth="1"/>
  </cols>
  <sheetData>
    <row r="1" spans="1:13">
      <c r="A1" s="19"/>
      <c r="B1" s="19"/>
      <c r="C1" s="19"/>
      <c r="D1" s="19"/>
      <c r="E1" s="19"/>
      <c r="F1" s="19"/>
      <c r="G1" s="19"/>
      <c r="H1" s="19"/>
      <c r="I1" s="19"/>
      <c r="J1" s="19"/>
      <c r="K1" s="15"/>
      <c r="L1" s="15"/>
      <c r="M1" s="15"/>
    </row>
    <row r="2" spans="1:13">
      <c r="A2" s="141" t="s">
        <v>285</v>
      </c>
      <c r="B2" s="142">
        <v>45604</v>
      </c>
      <c r="C2" s="142">
        <v>45611</v>
      </c>
      <c r="D2" s="142">
        <v>45618</v>
      </c>
      <c r="E2" s="142">
        <v>45625</v>
      </c>
      <c r="F2" s="142">
        <v>45632</v>
      </c>
      <c r="G2" s="142">
        <v>45639</v>
      </c>
      <c r="H2" s="142">
        <v>45646</v>
      </c>
      <c r="I2" s="142">
        <v>45653</v>
      </c>
      <c r="J2" s="19"/>
      <c r="K2" s="15"/>
      <c r="L2" s="15"/>
      <c r="M2" s="15"/>
    </row>
    <row r="3" spans="1:13">
      <c r="A3" s="141" t="s">
        <v>286</v>
      </c>
      <c r="B3" s="143">
        <f t="shared" ref="B3:I3" si="0">B4</f>
        <v>3781.6039580427923</v>
      </c>
      <c r="C3" s="143">
        <f t="shared" si="0"/>
        <v>3775.5209725078448</v>
      </c>
      <c r="D3" s="143">
        <f t="shared" si="0"/>
        <v>3826.7471799710661</v>
      </c>
      <c r="E3" s="143">
        <f t="shared" si="0"/>
        <v>3850.3823617505013</v>
      </c>
      <c r="F3" s="143">
        <f t="shared" si="0"/>
        <v>3767.9650755489829</v>
      </c>
      <c r="G3" s="143">
        <f t="shared" si="0"/>
        <v>3751.2644931970517</v>
      </c>
      <c r="H3" s="143">
        <f t="shared" si="0"/>
        <v>3792.1276820114672</v>
      </c>
      <c r="I3" s="143">
        <f t="shared" si="0"/>
        <v>3829.831201863391</v>
      </c>
      <c r="J3" s="19"/>
      <c r="K3" s="15"/>
      <c r="L3" s="15"/>
      <c r="M3" s="15"/>
    </row>
    <row r="4" spans="1:13">
      <c r="A4" s="19"/>
      <c r="B4" s="144">
        <f>'NAV Trend'!C10/1000000000</f>
        <v>3781.6039580427923</v>
      </c>
      <c r="C4" s="144">
        <f>'NAV Trend'!D10/1000000000</f>
        <v>3775.5209725078448</v>
      </c>
      <c r="D4" s="144">
        <f>'NAV Trend'!E10/1000000000</f>
        <v>3826.7471799710661</v>
      </c>
      <c r="E4" s="144">
        <f>'NAV Trend'!F10/1000000000</f>
        <v>3850.3823617505013</v>
      </c>
      <c r="F4" s="144">
        <f>'NAV Trend'!G10/1000000000</f>
        <v>3767.9650755489829</v>
      </c>
      <c r="G4" s="144">
        <f>'NAV Trend'!H10/1000000000</f>
        <v>3751.2644931970517</v>
      </c>
      <c r="H4" s="145">
        <f>'NAV Trend'!I10/1000000000</f>
        <v>3792.1276820114672</v>
      </c>
      <c r="I4" s="145">
        <f>'NAV Trend'!J10/1000000000</f>
        <v>3829.831201863391</v>
      </c>
      <c r="J4" s="19"/>
      <c r="K4" s="15"/>
      <c r="L4" s="15"/>
      <c r="M4" s="15"/>
    </row>
    <row r="5" spans="1:13">
      <c r="A5" s="19"/>
      <c r="B5" s="19"/>
      <c r="C5" s="19"/>
      <c r="D5" s="19"/>
      <c r="E5" s="19"/>
      <c r="F5" s="19"/>
      <c r="G5" s="19"/>
      <c r="H5" s="19"/>
      <c r="I5" s="19"/>
      <c r="J5" s="19"/>
      <c r="K5" s="15"/>
      <c r="L5" s="15"/>
      <c r="M5" s="15"/>
    </row>
    <row r="6" spans="1:13">
      <c r="A6" s="19"/>
      <c r="B6" s="19"/>
      <c r="C6" s="19"/>
      <c r="D6" s="19"/>
      <c r="E6" s="19"/>
      <c r="F6" s="19"/>
      <c r="G6" s="19"/>
      <c r="H6" s="19"/>
      <c r="I6" s="19"/>
      <c r="J6" s="15"/>
      <c r="K6" s="15"/>
      <c r="L6" s="15"/>
    </row>
    <row r="7" spans="1:13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3">
      <c r="A8" s="15"/>
      <c r="B8" s="15"/>
      <c r="C8" s="15"/>
      <c r="D8" s="15"/>
      <c r="E8" s="15"/>
      <c r="F8" s="15"/>
      <c r="G8" s="15"/>
      <c r="H8" s="15"/>
      <c r="I8" s="15"/>
      <c r="J8" s="15"/>
      <c r="K8" s="20"/>
    </row>
  </sheetData>
  <sheetProtection algorithmName="SHA-512" hashValue="YGqCDb7/9OzZlpbc4ThSGJVc6RzJN2zGev9Z9C9WAONu2rPH5MxgAX18p2CFp+rAaTAP+WXIzcoOUjzRiZ6WPg==" saltValue="dzsB2tW0kwZ07HLirjzueg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L8"/>
  <sheetViews>
    <sheetView workbookViewId="0">
      <selection activeCell="E7" sqref="E7"/>
    </sheetView>
  </sheetViews>
  <sheetFormatPr defaultColWidth="9" defaultRowHeight="14.4"/>
  <cols>
    <col min="1" max="1" width="16.5546875" customWidth="1"/>
    <col min="2" max="2" width="11.109375" customWidth="1"/>
    <col min="3" max="3" width="11.44140625" customWidth="1"/>
    <col min="4" max="4" width="11.5546875" customWidth="1"/>
    <col min="5" max="5" width="11.109375" customWidth="1"/>
    <col min="6" max="7" width="11.33203125" customWidth="1"/>
    <col min="8" max="8" width="11.6640625" customWidth="1"/>
    <col min="9" max="9" width="11.109375" customWidth="1"/>
  </cols>
  <sheetData>
    <row r="1" spans="1:12">
      <c r="A1" s="19"/>
      <c r="B1" s="19"/>
      <c r="C1" s="19"/>
      <c r="D1" s="19"/>
      <c r="E1" s="19"/>
      <c r="F1" s="19"/>
      <c r="G1" s="19"/>
      <c r="H1" s="19"/>
      <c r="I1" s="19"/>
      <c r="J1" s="15"/>
      <c r="K1" s="19"/>
      <c r="L1" s="15"/>
    </row>
    <row r="2" spans="1:12">
      <c r="A2" s="141" t="s">
        <v>285</v>
      </c>
      <c r="B2" s="142">
        <v>45604</v>
      </c>
      <c r="C2" s="142">
        <v>45611</v>
      </c>
      <c r="D2" s="142">
        <v>45618</v>
      </c>
      <c r="E2" s="142">
        <v>45625</v>
      </c>
      <c r="F2" s="142">
        <v>45632</v>
      </c>
      <c r="G2" s="142">
        <v>45639</v>
      </c>
      <c r="H2" s="142">
        <v>45646</v>
      </c>
      <c r="I2" s="142">
        <v>45653</v>
      </c>
      <c r="J2" s="15"/>
      <c r="K2" s="19"/>
      <c r="L2" s="15"/>
    </row>
    <row r="3" spans="1:12">
      <c r="A3" s="141" t="s">
        <v>287</v>
      </c>
      <c r="B3" s="143">
        <f t="shared" ref="B3:I3" si="0">B4</f>
        <v>12.888080361994271</v>
      </c>
      <c r="C3" s="143">
        <f t="shared" si="0"/>
        <v>12.879805353681869</v>
      </c>
      <c r="D3" s="143">
        <f t="shared" si="0"/>
        <v>12.922326068600094</v>
      </c>
      <c r="E3" s="143">
        <f t="shared" si="0"/>
        <v>12.578926303585625</v>
      </c>
      <c r="F3" s="143">
        <f t="shared" si="0"/>
        <v>12.480727319636602</v>
      </c>
      <c r="G3" s="143">
        <f t="shared" si="0"/>
        <v>12.494363671946113</v>
      </c>
      <c r="H3" s="143">
        <f t="shared" si="0"/>
        <v>12.568890044927004</v>
      </c>
      <c r="I3" s="143">
        <f t="shared" si="0"/>
        <v>12.767135898969396</v>
      </c>
      <c r="J3" s="15"/>
      <c r="K3" s="19"/>
      <c r="L3" s="15"/>
    </row>
    <row r="4" spans="1:12">
      <c r="A4" s="19"/>
      <c r="B4" s="144">
        <f>'NAV Trend'!C16/1000000000</f>
        <v>12.888080361994271</v>
      </c>
      <c r="C4" s="144">
        <f>'NAV Trend'!D16/1000000000</f>
        <v>12.879805353681869</v>
      </c>
      <c r="D4" s="144">
        <f>'NAV Trend'!E16/1000000000</f>
        <v>12.922326068600094</v>
      </c>
      <c r="E4" s="144">
        <f>'NAV Trend'!F16/1000000000</f>
        <v>12.578926303585625</v>
      </c>
      <c r="F4" s="144">
        <f>'NAV Trend'!G16/1000000000</f>
        <v>12.480727319636602</v>
      </c>
      <c r="G4" s="144">
        <f>'NAV Trend'!H16/1000000000</f>
        <v>12.494363671946113</v>
      </c>
      <c r="H4" s="144">
        <f>'NAV Trend'!I16/1000000000</f>
        <v>12.568890044927004</v>
      </c>
      <c r="I4" s="145">
        <f>'NAV Trend'!J16/1000000000</f>
        <v>12.767135898969396</v>
      </c>
      <c r="J4" s="15"/>
      <c r="K4" s="19"/>
      <c r="L4" s="15"/>
    </row>
    <row r="5" spans="1:12">
      <c r="A5" s="19"/>
      <c r="B5" s="19"/>
      <c r="C5" s="19"/>
      <c r="D5" s="19"/>
      <c r="E5" s="19"/>
      <c r="F5" s="19"/>
      <c r="G5" s="19"/>
      <c r="H5" s="19"/>
      <c r="I5" s="19"/>
      <c r="J5" s="15"/>
      <c r="K5" s="19"/>
      <c r="L5" s="15"/>
    </row>
    <row r="6" spans="1:12">
      <c r="A6" s="15"/>
      <c r="B6" s="15"/>
      <c r="C6" s="15"/>
      <c r="D6" s="15"/>
      <c r="E6" s="15"/>
      <c r="F6" s="15"/>
      <c r="G6" s="15"/>
      <c r="H6" s="15"/>
      <c r="I6" s="15"/>
      <c r="J6" s="15"/>
      <c r="K6" s="19"/>
      <c r="L6" s="15"/>
    </row>
    <row r="7" spans="1:1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</row>
  </sheetData>
  <sheetProtection algorithmName="SHA-512" hashValue="8lJF4rQMsqyyWT/WXIEkKvQtrzQFVvQYB/6A7PPgvJtXsEmta6PNbbOlnCPzM/8KB9PnrDO9Uo/gzx4z6u80NA==" saltValue="nGb3QbHTnGOyXbOedj99yw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D1" workbookViewId="0">
      <selection activeCell="K1" sqref="K1"/>
    </sheetView>
  </sheetViews>
  <sheetFormatPr defaultColWidth="9" defaultRowHeight="14.4"/>
  <cols>
    <col min="1" max="1" width="36.33203125" customWidth="1"/>
    <col min="2" max="2" width="23.5546875" customWidth="1"/>
    <col min="3" max="3" width="22.5546875" customWidth="1"/>
    <col min="4" max="4" width="20.88671875" customWidth="1"/>
    <col min="5" max="5" width="22.5546875" customWidth="1"/>
    <col min="6" max="6" width="24.6640625" customWidth="1"/>
    <col min="7" max="7" width="22.44140625" customWidth="1"/>
    <col min="8" max="8" width="24.33203125" customWidth="1"/>
    <col min="9" max="9" width="22.5546875" customWidth="1"/>
    <col min="10" max="10" width="21.6640625" customWidth="1"/>
    <col min="11" max="12" width="20.6640625" customWidth="1"/>
    <col min="13" max="13" width="20.5546875" customWidth="1"/>
  </cols>
  <sheetData>
    <row r="1" spans="1:11" ht="15.6">
      <c r="A1" s="1" t="s">
        <v>281</v>
      </c>
      <c r="B1" s="2">
        <v>45597</v>
      </c>
      <c r="C1" s="2">
        <v>45604</v>
      </c>
      <c r="D1" s="2">
        <v>45611</v>
      </c>
      <c r="E1" s="2">
        <v>45618</v>
      </c>
      <c r="F1" s="2">
        <v>45625</v>
      </c>
      <c r="G1" s="2">
        <v>45632</v>
      </c>
      <c r="H1" s="2">
        <v>45639</v>
      </c>
      <c r="I1" s="2">
        <v>45646</v>
      </c>
      <c r="J1" s="2">
        <v>45653</v>
      </c>
    </row>
    <row r="2" spans="1:11">
      <c r="A2" s="3" t="s">
        <v>17</v>
      </c>
      <c r="B2" s="4">
        <v>29662249858.959999</v>
      </c>
      <c r="C2" s="4">
        <v>29877584741.98</v>
      </c>
      <c r="D2" s="4">
        <v>30163797785.389999</v>
      </c>
      <c r="E2" s="4">
        <v>30063948704.580002</v>
      </c>
      <c r="F2" s="4">
        <v>29963223384.749996</v>
      </c>
      <c r="G2" s="4">
        <v>30290917801.960003</v>
      </c>
      <c r="H2" s="4">
        <v>30219679979.860001</v>
      </c>
      <c r="I2" s="4">
        <v>30560198280.420002</v>
      </c>
      <c r="J2" s="4">
        <v>31203064609.43</v>
      </c>
    </row>
    <row r="3" spans="1:11">
      <c r="A3" s="3" t="s">
        <v>54</v>
      </c>
      <c r="B3" s="4">
        <v>1514887327409.3999</v>
      </c>
      <c r="C3" s="4">
        <v>1524333945094.0388</v>
      </c>
      <c r="D3" s="4">
        <v>1544078501312.1094</v>
      </c>
      <c r="E3" s="4">
        <v>1568511463413.2886</v>
      </c>
      <c r="F3" s="4">
        <v>1581147259519.7791</v>
      </c>
      <c r="G3" s="4">
        <v>1605147165407.8784</v>
      </c>
      <c r="H3" s="4">
        <v>1617261517557.7881</v>
      </c>
      <c r="I3" s="4">
        <v>1651994114175.4978</v>
      </c>
      <c r="J3" s="4">
        <v>1680789898381.158</v>
      </c>
    </row>
    <row r="4" spans="1:11">
      <c r="A4" s="3" t="s">
        <v>282</v>
      </c>
      <c r="B4" s="5">
        <v>216996701591.78</v>
      </c>
      <c r="C4" s="5">
        <v>212549652307.17569</v>
      </c>
      <c r="D4" s="5">
        <v>212512704820.16043</v>
      </c>
      <c r="E4" s="5">
        <v>211308718018.9035</v>
      </c>
      <c r="F4" s="5">
        <v>211817086273.75339</v>
      </c>
      <c r="G4" s="5">
        <v>200489400850.13455</v>
      </c>
      <c r="H4" s="5">
        <v>199225882213.46936</v>
      </c>
      <c r="I4" s="5">
        <v>198371804922.96381</v>
      </c>
      <c r="J4" s="5">
        <v>196299640514.55566</v>
      </c>
    </row>
    <row r="5" spans="1:11">
      <c r="A5" s="3" t="s">
        <v>158</v>
      </c>
      <c r="B5" s="4">
        <v>1786622536580.1599</v>
      </c>
      <c r="C5" s="4">
        <v>1806075096556.1135</v>
      </c>
      <c r="D5" s="4">
        <v>1779564267121.3723</v>
      </c>
      <c r="E5" s="4">
        <v>1806794587019.7612</v>
      </c>
      <c r="F5" s="4">
        <v>1817826880103.7505</v>
      </c>
      <c r="G5" s="4">
        <v>1721227403889.6946</v>
      </c>
      <c r="H5" s="4">
        <v>1693020111552.7451</v>
      </c>
      <c r="I5" s="4">
        <v>1699042162793.3723</v>
      </c>
      <c r="J5" s="4">
        <v>1708643961742.885</v>
      </c>
    </row>
    <row r="6" spans="1:11">
      <c r="A6" s="3" t="s">
        <v>283</v>
      </c>
      <c r="B6" s="6">
        <v>98953116968.937393</v>
      </c>
      <c r="C6" s="6">
        <v>99081658987.424438</v>
      </c>
      <c r="D6" s="6">
        <v>99228057377.56897</v>
      </c>
      <c r="E6" s="6">
        <v>99712365888.853806</v>
      </c>
      <c r="F6" s="6">
        <v>99287613486.429764</v>
      </c>
      <c r="G6" s="6">
        <v>99753756571.315765</v>
      </c>
      <c r="H6" s="6">
        <v>99992536244.061172</v>
      </c>
      <c r="I6" s="6">
        <v>100248262192.26375</v>
      </c>
      <c r="J6" s="6">
        <v>99946034003.712875</v>
      </c>
    </row>
    <row r="7" spans="1:11">
      <c r="A7" s="3" t="s">
        <v>196</v>
      </c>
      <c r="B7" s="7">
        <v>52773311659.495102</v>
      </c>
      <c r="C7" s="7">
        <v>52945664168.085022</v>
      </c>
      <c r="D7" s="7">
        <v>53058098833.391159</v>
      </c>
      <c r="E7" s="7">
        <v>53247703123.154457</v>
      </c>
      <c r="F7" s="7">
        <v>53277880968.774506</v>
      </c>
      <c r="G7" s="7">
        <v>53833340267.497757</v>
      </c>
      <c r="H7" s="7">
        <v>53880440218.66169</v>
      </c>
      <c r="I7" s="7">
        <v>54152150309.321541</v>
      </c>
      <c r="J7" s="7">
        <v>54717751907.536263</v>
      </c>
    </row>
    <row r="8" spans="1:11">
      <c r="A8" s="3" t="s">
        <v>228</v>
      </c>
      <c r="B8" s="6">
        <v>5514830055.6700001</v>
      </c>
      <c r="C8" s="6">
        <v>5557964924.1800003</v>
      </c>
      <c r="D8" s="6">
        <v>5640379430.5799999</v>
      </c>
      <c r="E8" s="6">
        <v>5652206919.4699993</v>
      </c>
      <c r="F8" s="6">
        <v>5645387282.9300003</v>
      </c>
      <c r="G8" s="6">
        <v>5746085220.3999996</v>
      </c>
      <c r="H8" s="6">
        <v>5750433945.7299995</v>
      </c>
      <c r="I8" s="6">
        <v>5821851798.3900003</v>
      </c>
      <c r="J8" s="6">
        <v>5883795695.79</v>
      </c>
    </row>
    <row r="9" spans="1:11">
      <c r="A9" s="3" t="s">
        <v>284</v>
      </c>
      <c r="B9" s="6">
        <v>50663887289.265602</v>
      </c>
      <c r="C9" s="6">
        <v>51182391263.795021</v>
      </c>
      <c r="D9" s="6">
        <v>51275165827.272346</v>
      </c>
      <c r="E9" s="6">
        <v>51456186883.054207</v>
      </c>
      <c r="F9" s="6">
        <v>51417030730.333893</v>
      </c>
      <c r="G9" s="6">
        <v>51477005540.102272</v>
      </c>
      <c r="H9" s="6">
        <v>51913891484.736198</v>
      </c>
      <c r="I9" s="6">
        <v>51937137539.237915</v>
      </c>
      <c r="J9" s="6">
        <v>52347055008.3237</v>
      </c>
    </row>
    <row r="10" spans="1:11" ht="15.6">
      <c r="A10" s="8" t="s">
        <v>288</v>
      </c>
      <c r="B10" s="9">
        <f t="shared" ref="B10:J10" si="0">SUM(B2:B9)</f>
        <v>3756073961413.668</v>
      </c>
      <c r="C10" s="9">
        <f t="shared" si="0"/>
        <v>3781603958042.7925</v>
      </c>
      <c r="D10" s="9">
        <f t="shared" si="0"/>
        <v>3775520972507.8447</v>
      </c>
      <c r="E10" s="9">
        <f t="shared" si="0"/>
        <v>3826747179971.0659</v>
      </c>
      <c r="F10" s="9">
        <f t="shared" si="0"/>
        <v>3850382361750.5015</v>
      </c>
      <c r="G10" s="9">
        <f t="shared" si="0"/>
        <v>3767965075548.9829</v>
      </c>
      <c r="H10" s="9">
        <f t="shared" si="0"/>
        <v>3751264493197.0518</v>
      </c>
      <c r="I10" s="9">
        <f t="shared" si="0"/>
        <v>3792127682011.4673</v>
      </c>
      <c r="J10" s="9">
        <f t="shared" si="0"/>
        <v>3829831201863.3911</v>
      </c>
    </row>
    <row r="11" spans="1:11">
      <c r="A11" s="10"/>
      <c r="B11" s="11"/>
      <c r="C11" s="11"/>
      <c r="D11" s="11"/>
      <c r="E11" s="11"/>
      <c r="F11" s="11"/>
      <c r="G11" s="11"/>
      <c r="H11" s="11"/>
      <c r="I11" s="10"/>
      <c r="J11" s="10"/>
    </row>
    <row r="12" spans="1:11" ht="15.6">
      <c r="A12" s="12" t="s">
        <v>289</v>
      </c>
      <c r="B12" s="134" t="s">
        <v>290</v>
      </c>
      <c r="C12" s="13">
        <f>(B10+C10)/2</f>
        <v>3768838959728.2305</v>
      </c>
      <c r="D12" s="14">
        <f t="shared" ref="D12:J12" si="1">(C10+D10)/2</f>
        <v>3778562465275.3184</v>
      </c>
      <c r="E12" s="14">
        <f t="shared" si="1"/>
        <v>3801134076239.4551</v>
      </c>
      <c r="F12" s="14">
        <f t="shared" si="1"/>
        <v>3838564770860.7837</v>
      </c>
      <c r="G12" s="14">
        <f t="shared" si="1"/>
        <v>3809173718649.7422</v>
      </c>
      <c r="H12" s="14">
        <f t="shared" si="1"/>
        <v>3759614784373.0176</v>
      </c>
      <c r="I12" s="14">
        <f t="shared" si="1"/>
        <v>3771696087604.2598</v>
      </c>
      <c r="J12" s="14">
        <f t="shared" si="1"/>
        <v>3810979441937.4292</v>
      </c>
    </row>
    <row r="13" spans="1:11">
      <c r="C13" s="15"/>
      <c r="D13" s="15"/>
      <c r="E13" s="15"/>
      <c r="F13" s="15"/>
      <c r="G13" s="15"/>
      <c r="H13" s="15"/>
      <c r="I13" s="15"/>
      <c r="J13" s="15"/>
      <c r="K13" s="15"/>
    </row>
    <row r="14" spans="1:1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>
      <c r="A15" s="15"/>
      <c r="B15" s="2">
        <v>45597</v>
      </c>
      <c r="C15" s="2">
        <v>45604</v>
      </c>
      <c r="D15" s="2">
        <v>45611</v>
      </c>
      <c r="E15" s="2">
        <v>45618</v>
      </c>
      <c r="F15" s="2">
        <v>45625</v>
      </c>
      <c r="G15" s="2">
        <v>45632</v>
      </c>
      <c r="H15" s="2">
        <v>45639</v>
      </c>
      <c r="I15" s="2">
        <v>45646</v>
      </c>
      <c r="J15" s="2">
        <v>45653</v>
      </c>
      <c r="K15" s="15"/>
    </row>
    <row r="16" spans="1:11">
      <c r="A16" s="16" t="s">
        <v>291</v>
      </c>
      <c r="B16" s="17">
        <v>13160067015.3069</v>
      </c>
      <c r="C16" s="17">
        <v>12888080361.994272</v>
      </c>
      <c r="D16" s="17">
        <v>12879805353.68187</v>
      </c>
      <c r="E16" s="17">
        <v>12922326068.600094</v>
      </c>
      <c r="F16" s="17">
        <v>12578926303.585625</v>
      </c>
      <c r="G16" s="17">
        <v>12480727319.636602</v>
      </c>
      <c r="H16" s="17">
        <v>12494363671.946114</v>
      </c>
      <c r="I16" s="17">
        <v>12568890044.927004</v>
      </c>
      <c r="J16" s="17">
        <v>12767135898.969397</v>
      </c>
      <c r="K16" s="15"/>
    </row>
    <row r="17" spans="1:1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>
      <c r="A18" s="15"/>
      <c r="B18" s="15"/>
      <c r="C18" s="18"/>
      <c r="D18" s="18"/>
      <c r="E18" s="18"/>
      <c r="F18" s="18"/>
      <c r="G18" s="18"/>
      <c r="H18" s="18"/>
      <c r="I18" s="18"/>
      <c r="J18" s="18"/>
      <c r="K18" s="15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2" spans="1:11">
      <c r="B22" s="15"/>
      <c r="C22" s="15"/>
      <c r="D22" s="15"/>
      <c r="E22" s="15"/>
      <c r="F22" s="15"/>
      <c r="G22" s="15"/>
      <c r="H22" s="15"/>
      <c r="I22" s="15"/>
      <c r="J22" s="15"/>
      <c r="K22" s="19"/>
    </row>
  </sheetData>
  <sheetProtection algorithmName="SHA-512" hashValue="8rfDDihAE/Bg/OQ+7LFX5AjRwcMYqSjS+uoSF0EstUGiNAw0TI6LmuAbU0+32koPHhYtcn//1P745GwqvI+bgQ==" saltValue="SEDW8Ds/A9VId982Bkvhhg==" spinCount="100000" sheet="1" objects="1" scenarios="1"/>
  <pageMargins left="0.7" right="0.7" top="0.75" bottom="0.75" header="0.3" footer="0.3"/>
  <pageSetup paperSize="9" orientation="portrait" horizontalDpi="300" verticalDpi="300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2023-10-09T09:40:00Z</dcterms:created>
  <dcterms:modified xsi:type="dcterms:W3CDTF">2025-01-07T19:37:09Z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A438AA3AB3D54FD3925988ED903466DD_13</vt:lpwstr>
  </property>
  <property fmtid="{D5CDD505-2E9C-101B-9397-08002B2CF9AE}" pid="3" name="KSOProductBuildVer">
    <vt:lpwstr>1033-12.2.0.13266</vt:lpwstr>
  </property>
</Properties>
</file>