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19" i="1" l="1"/>
  <c r="M119" i="1"/>
  <c r="K119" i="1"/>
  <c r="N139" i="1" l="1"/>
  <c r="M139" i="1"/>
  <c r="K139" i="1"/>
  <c r="N134" i="1"/>
  <c r="M134" i="1"/>
  <c r="K134" i="1"/>
  <c r="N113" i="1"/>
  <c r="M113" i="1"/>
  <c r="K113" i="1"/>
  <c r="N126" i="1"/>
  <c r="M126" i="1"/>
  <c r="K126" i="1"/>
  <c r="N112" i="1"/>
  <c r="M112" i="1"/>
  <c r="K112" i="1"/>
  <c r="V195" i="1" l="1"/>
  <c r="U195" i="1"/>
  <c r="T195" i="1"/>
  <c r="S195" i="1"/>
  <c r="R195" i="1"/>
  <c r="N111" i="1"/>
  <c r="M111" i="1"/>
  <c r="K111" i="1"/>
  <c r="N110" i="1"/>
  <c r="M110" i="1"/>
  <c r="K110" i="1"/>
  <c r="R136" i="1"/>
  <c r="S136" i="1"/>
  <c r="T136" i="1"/>
  <c r="U136" i="1"/>
  <c r="V136" i="1"/>
  <c r="N136" i="1"/>
  <c r="M136" i="1"/>
  <c r="K136" i="1"/>
  <c r="N109" i="1" l="1"/>
  <c r="M109" i="1"/>
  <c r="K109" i="1"/>
  <c r="N137" i="1" l="1"/>
  <c r="M137" i="1"/>
  <c r="K137" i="1"/>
  <c r="N123" i="1"/>
  <c r="M123" i="1"/>
  <c r="K123" i="1"/>
  <c r="N127" i="1" l="1"/>
  <c r="M127" i="1"/>
  <c r="K127" i="1"/>
  <c r="N120" i="1" l="1"/>
  <c r="M120" i="1"/>
  <c r="K120" i="1"/>
  <c r="N122" i="1"/>
  <c r="M122" i="1"/>
  <c r="K122" i="1"/>
  <c r="N133" i="1"/>
  <c r="M133" i="1"/>
  <c r="N132" i="1" l="1"/>
  <c r="M132" i="1"/>
  <c r="K132" i="1"/>
  <c r="N114" i="1" l="1"/>
  <c r="M114" i="1"/>
  <c r="K114" i="1"/>
  <c r="N121" i="1" l="1"/>
  <c r="M121" i="1"/>
  <c r="K121" i="1"/>
  <c r="N108" i="1"/>
  <c r="M108" i="1"/>
  <c r="K108" i="1"/>
  <c r="R6" i="1"/>
  <c r="N131" i="1"/>
  <c r="M131" i="1"/>
  <c r="K131" i="1"/>
  <c r="V179" i="1" l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N115" i="1" l="1"/>
  <c r="M115" i="1"/>
  <c r="K115" i="1"/>
  <c r="G139" i="1"/>
  <c r="F139" i="1"/>
  <c r="G137" i="1"/>
  <c r="F137" i="1"/>
  <c r="G134" i="1"/>
  <c r="F134" i="1"/>
  <c r="G133" i="1"/>
  <c r="F133" i="1"/>
  <c r="G132" i="1"/>
  <c r="F132" i="1"/>
  <c r="G131" i="1"/>
  <c r="F131" i="1"/>
  <c r="G130" i="1"/>
  <c r="F130" i="1"/>
  <c r="G127" i="1"/>
  <c r="F127" i="1"/>
  <c r="G126" i="1"/>
  <c r="F126" i="1"/>
  <c r="D139" i="1"/>
  <c r="D137" i="1"/>
  <c r="D134" i="1"/>
  <c r="D132" i="1"/>
  <c r="D131" i="1"/>
  <c r="D127" i="1"/>
  <c r="D126" i="1"/>
  <c r="G123" i="1"/>
  <c r="F123" i="1"/>
  <c r="G122" i="1"/>
  <c r="F122" i="1"/>
  <c r="G121" i="1"/>
  <c r="F121" i="1"/>
  <c r="G120" i="1"/>
  <c r="F120" i="1"/>
  <c r="I119" i="1"/>
  <c r="G119" i="1"/>
  <c r="F119" i="1"/>
  <c r="G115" i="1"/>
  <c r="F115" i="1"/>
  <c r="G114" i="1"/>
  <c r="F114" i="1"/>
  <c r="G113" i="1"/>
  <c r="F113" i="1"/>
  <c r="G112" i="1"/>
  <c r="F112" i="1"/>
  <c r="G110" i="1"/>
  <c r="F110" i="1"/>
  <c r="G109" i="1"/>
  <c r="F109" i="1"/>
  <c r="G108" i="1"/>
  <c r="F108" i="1"/>
  <c r="D123" i="1"/>
  <c r="D122" i="1"/>
  <c r="D121" i="1"/>
  <c r="D120" i="1"/>
  <c r="D119" i="1"/>
  <c r="D115" i="1"/>
  <c r="D114" i="1"/>
  <c r="D113" i="1"/>
  <c r="D112" i="1"/>
  <c r="D110" i="1"/>
  <c r="D109" i="1"/>
  <c r="D108" i="1"/>
  <c r="R89" i="1" l="1"/>
  <c r="N130" i="1" l="1"/>
  <c r="M130" i="1"/>
  <c r="V32" i="1" l="1"/>
  <c r="U32" i="1"/>
  <c r="T32" i="1"/>
  <c r="S32" i="1"/>
  <c r="R32" i="1"/>
  <c r="V72" i="1" l="1"/>
  <c r="V47" i="1" l="1"/>
  <c r="U47" i="1"/>
  <c r="T47" i="1"/>
  <c r="S47" i="1"/>
  <c r="R47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G4" i="5"/>
  <c r="G3" i="5" s="1"/>
  <c r="F4" i="5"/>
  <c r="F3" i="5" s="1"/>
  <c r="V235" i="1"/>
  <c r="U235" i="1"/>
  <c r="S235" i="1"/>
  <c r="O235" i="1"/>
  <c r="K235" i="1"/>
  <c r="H235" i="1"/>
  <c r="D235" i="1"/>
  <c r="E233" i="1" s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O220" i="1"/>
  <c r="K220" i="1"/>
  <c r="L219" i="1" s="1"/>
  <c r="H220" i="1"/>
  <c r="D220" i="1"/>
  <c r="E219" i="1" s="1"/>
  <c r="V219" i="1"/>
  <c r="U219" i="1"/>
  <c r="T219" i="1"/>
  <c r="S219" i="1"/>
  <c r="R219" i="1"/>
  <c r="V218" i="1"/>
  <c r="U218" i="1"/>
  <c r="T218" i="1"/>
  <c r="S218" i="1"/>
  <c r="R218" i="1"/>
  <c r="O215" i="1"/>
  <c r="K215" i="1"/>
  <c r="L214" i="1" s="1"/>
  <c r="H215" i="1"/>
  <c r="D215" i="1"/>
  <c r="V214" i="1"/>
  <c r="U214" i="1"/>
  <c r="T214" i="1"/>
  <c r="S214" i="1"/>
  <c r="R214" i="1"/>
  <c r="V210" i="1"/>
  <c r="U210" i="1"/>
  <c r="S210" i="1"/>
  <c r="O210" i="1"/>
  <c r="K210" i="1"/>
  <c r="H210" i="1"/>
  <c r="D210" i="1"/>
  <c r="V209" i="1"/>
  <c r="U209" i="1"/>
  <c r="T209" i="1"/>
  <c r="S209" i="1"/>
  <c r="R209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4" i="1"/>
  <c r="U194" i="1"/>
  <c r="T194" i="1"/>
  <c r="S194" i="1"/>
  <c r="R194" i="1"/>
  <c r="V191" i="1"/>
  <c r="U191" i="1"/>
  <c r="T191" i="1"/>
  <c r="S191" i="1"/>
  <c r="R191" i="1"/>
  <c r="V190" i="1"/>
  <c r="U190" i="1"/>
  <c r="T190" i="1"/>
  <c r="S190" i="1"/>
  <c r="R190" i="1"/>
  <c r="V186" i="1"/>
  <c r="U186" i="1"/>
  <c r="S186" i="1"/>
  <c r="O186" i="1"/>
  <c r="K186" i="1"/>
  <c r="H186" i="1"/>
  <c r="D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0" i="1"/>
  <c r="U180" i="1"/>
  <c r="S180" i="1"/>
  <c r="O180" i="1"/>
  <c r="K180" i="1"/>
  <c r="H180" i="1"/>
  <c r="D180" i="1"/>
  <c r="V148" i="1"/>
  <c r="U148" i="1"/>
  <c r="S148" i="1"/>
  <c r="O148" i="1"/>
  <c r="K148" i="1"/>
  <c r="B6" i="3" s="1"/>
  <c r="H148" i="1"/>
  <c r="D148" i="1"/>
  <c r="E146" i="1" s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0" i="1"/>
  <c r="U140" i="1"/>
  <c r="S140" i="1"/>
  <c r="O140" i="1"/>
  <c r="H140" i="1"/>
  <c r="V139" i="1"/>
  <c r="U139" i="1"/>
  <c r="T139" i="1"/>
  <c r="R139" i="1"/>
  <c r="V138" i="1"/>
  <c r="U138" i="1"/>
  <c r="T138" i="1"/>
  <c r="S138" i="1"/>
  <c r="R138" i="1"/>
  <c r="V137" i="1"/>
  <c r="U137" i="1"/>
  <c r="T137" i="1"/>
  <c r="S137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R133" i="1"/>
  <c r="S133" i="1"/>
  <c r="V132" i="1"/>
  <c r="U132" i="1"/>
  <c r="T132" i="1"/>
  <c r="S132" i="1"/>
  <c r="V131" i="1"/>
  <c r="U131" i="1"/>
  <c r="T131" i="1"/>
  <c r="S131" i="1"/>
  <c r="R131" i="1"/>
  <c r="V130" i="1"/>
  <c r="U130" i="1"/>
  <c r="T130" i="1"/>
  <c r="R130" i="1"/>
  <c r="V129" i="1"/>
  <c r="U129" i="1"/>
  <c r="T129" i="1"/>
  <c r="S129" i="1"/>
  <c r="R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R126" i="1"/>
  <c r="V123" i="1"/>
  <c r="U123" i="1"/>
  <c r="T123" i="1"/>
  <c r="S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V113" i="1"/>
  <c r="U113" i="1"/>
  <c r="T113" i="1"/>
  <c r="S113" i="1"/>
  <c r="V112" i="1"/>
  <c r="U112" i="1"/>
  <c r="T112" i="1"/>
  <c r="S112" i="1"/>
  <c r="R112" i="1"/>
  <c r="V110" i="1"/>
  <c r="U110" i="1"/>
  <c r="T110" i="1"/>
  <c r="S110" i="1"/>
  <c r="V109" i="1"/>
  <c r="U109" i="1"/>
  <c r="T109" i="1"/>
  <c r="S109" i="1"/>
  <c r="V108" i="1"/>
  <c r="U108" i="1"/>
  <c r="T108" i="1"/>
  <c r="R108" i="1"/>
  <c r="S108" i="1"/>
  <c r="V104" i="1"/>
  <c r="U104" i="1"/>
  <c r="S104" i="1"/>
  <c r="O104" i="1"/>
  <c r="K104" i="1"/>
  <c r="L82" i="1" s="1"/>
  <c r="H104" i="1"/>
  <c r="D104" i="1"/>
  <c r="B15" i="2" s="1"/>
  <c r="B5" i="2" s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5" i="1"/>
  <c r="U65" i="1"/>
  <c r="S65" i="1"/>
  <c r="O65" i="1"/>
  <c r="K65" i="1"/>
  <c r="L57" i="1" s="1"/>
  <c r="H65" i="1"/>
  <c r="D65" i="1"/>
  <c r="B14" i="2" s="1"/>
  <c r="B4" i="2" s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1" i="1"/>
  <c r="U31" i="1"/>
  <c r="T31" i="1"/>
  <c r="S31" i="1"/>
  <c r="R31" i="1"/>
  <c r="V30" i="1"/>
  <c r="U30" i="1"/>
  <c r="T30" i="1"/>
  <c r="S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B20" i="2" l="1"/>
  <c r="B10" i="2" s="1"/>
  <c r="E195" i="1"/>
  <c r="L199" i="1"/>
  <c r="L195" i="1"/>
  <c r="E178" i="1"/>
  <c r="E166" i="1"/>
  <c r="E154" i="1"/>
  <c r="E176" i="1"/>
  <c r="E164" i="1"/>
  <c r="E152" i="1"/>
  <c r="E171" i="1"/>
  <c r="E159" i="1"/>
  <c r="E169" i="1"/>
  <c r="E174" i="1"/>
  <c r="E162" i="1"/>
  <c r="E153" i="1"/>
  <c r="E161" i="1"/>
  <c r="E167" i="1"/>
  <c r="E155" i="1"/>
  <c r="E173" i="1"/>
  <c r="E179" i="1"/>
  <c r="E172" i="1"/>
  <c r="E160" i="1"/>
  <c r="E157" i="1"/>
  <c r="E177" i="1"/>
  <c r="E165" i="1"/>
  <c r="E170" i="1"/>
  <c r="E158" i="1"/>
  <c r="E168" i="1"/>
  <c r="E156" i="1"/>
  <c r="E175" i="1"/>
  <c r="E163" i="1"/>
  <c r="E151" i="1"/>
  <c r="L171" i="1"/>
  <c r="L159" i="1"/>
  <c r="L169" i="1"/>
  <c r="L176" i="1"/>
  <c r="L164" i="1"/>
  <c r="L152" i="1"/>
  <c r="L157" i="1"/>
  <c r="L174" i="1"/>
  <c r="L167" i="1"/>
  <c r="L155" i="1"/>
  <c r="L161" i="1"/>
  <c r="L162" i="1"/>
  <c r="L179" i="1"/>
  <c r="L172" i="1"/>
  <c r="L160" i="1"/>
  <c r="L158" i="1"/>
  <c r="L177" i="1"/>
  <c r="L165" i="1"/>
  <c r="L153" i="1"/>
  <c r="L173" i="1"/>
  <c r="L166" i="1"/>
  <c r="L170" i="1"/>
  <c r="L154" i="1"/>
  <c r="L175" i="1"/>
  <c r="L163" i="1"/>
  <c r="L151" i="1"/>
  <c r="L168" i="1"/>
  <c r="L156" i="1"/>
  <c r="B2" i="3"/>
  <c r="L184" i="1"/>
  <c r="L32" i="1"/>
  <c r="L12" i="1"/>
  <c r="L100" i="1"/>
  <c r="L69" i="1"/>
  <c r="E14" i="1"/>
  <c r="E32" i="1"/>
  <c r="E47" i="1"/>
  <c r="L47" i="1"/>
  <c r="R215" i="1"/>
  <c r="B5" i="3"/>
  <c r="L21" i="1"/>
  <c r="L7" i="1"/>
  <c r="D4" i="5"/>
  <c r="D3" i="5" s="1"/>
  <c r="B4" i="3"/>
  <c r="L197" i="1"/>
  <c r="R235" i="1"/>
  <c r="E231" i="1"/>
  <c r="E229" i="1"/>
  <c r="E227" i="1"/>
  <c r="E8" i="1"/>
  <c r="L206" i="1"/>
  <c r="E191" i="1"/>
  <c r="T235" i="1"/>
  <c r="J12" i="4"/>
  <c r="E12" i="1"/>
  <c r="E10" i="1"/>
  <c r="E6" i="1"/>
  <c r="E18" i="1"/>
  <c r="E196" i="1"/>
  <c r="E218" i="1"/>
  <c r="E225" i="1"/>
  <c r="E82" i="1"/>
  <c r="E22" i="1"/>
  <c r="E46" i="1"/>
  <c r="E20" i="1"/>
  <c r="E16" i="1"/>
  <c r="E71" i="1"/>
  <c r="E102" i="1"/>
  <c r="E98" i="1"/>
  <c r="E74" i="1"/>
  <c r="E96" i="1"/>
  <c r="S139" i="1"/>
  <c r="E223" i="1"/>
  <c r="E234" i="1"/>
  <c r="E94" i="1"/>
  <c r="E92" i="1"/>
  <c r="E76" i="1"/>
  <c r="E68" i="1"/>
  <c r="E70" i="1"/>
  <c r="E144" i="1"/>
  <c r="T186" i="1"/>
  <c r="E88" i="1"/>
  <c r="E80" i="1"/>
  <c r="E100" i="1"/>
  <c r="E86" i="1"/>
  <c r="E69" i="1"/>
  <c r="E78" i="1"/>
  <c r="E84" i="1"/>
  <c r="L23" i="1"/>
  <c r="E91" i="1"/>
  <c r="E93" i="1"/>
  <c r="E95" i="1"/>
  <c r="E97" i="1"/>
  <c r="E99" i="1"/>
  <c r="E101" i="1"/>
  <c r="E103" i="1"/>
  <c r="E224" i="1"/>
  <c r="E226" i="1"/>
  <c r="E228" i="1"/>
  <c r="E230" i="1"/>
  <c r="E232" i="1"/>
  <c r="L19" i="1"/>
  <c r="E73" i="1"/>
  <c r="E75" i="1"/>
  <c r="E77" i="1"/>
  <c r="E79" i="1"/>
  <c r="E81" i="1"/>
  <c r="E83" i="1"/>
  <c r="E85" i="1"/>
  <c r="E87" i="1"/>
  <c r="E89" i="1"/>
  <c r="L15" i="1"/>
  <c r="T140" i="1"/>
  <c r="L11" i="1"/>
  <c r="L143" i="1"/>
  <c r="L147" i="1"/>
  <c r="L234" i="1"/>
  <c r="T65" i="1"/>
  <c r="L183" i="1"/>
  <c r="L185" i="1"/>
  <c r="E199" i="1"/>
  <c r="E201" i="1"/>
  <c r="E203" i="1"/>
  <c r="E205" i="1"/>
  <c r="T210" i="1"/>
  <c r="L6" i="1"/>
  <c r="L10" i="1"/>
  <c r="L14" i="1"/>
  <c r="L18" i="1"/>
  <c r="L22" i="1"/>
  <c r="E190" i="1"/>
  <c r="E194" i="1"/>
  <c r="E197" i="1"/>
  <c r="E209" i="1"/>
  <c r="H211" i="1"/>
  <c r="H236" i="1" s="1"/>
  <c r="R220" i="1"/>
  <c r="D140" i="1"/>
  <c r="T104" i="1"/>
  <c r="L146" i="1"/>
  <c r="T148" i="1"/>
  <c r="T180" i="1"/>
  <c r="E200" i="1"/>
  <c r="E202" i="1"/>
  <c r="E204" i="1"/>
  <c r="E206" i="1"/>
  <c r="C4" i="5"/>
  <c r="C3" i="5" s="1"/>
  <c r="D12" i="4"/>
  <c r="G12" i="4"/>
  <c r="H4" i="5"/>
  <c r="H3" i="5" s="1"/>
  <c r="I12" i="4"/>
  <c r="E90" i="1"/>
  <c r="L42" i="1"/>
  <c r="L63" i="1"/>
  <c r="L78" i="1"/>
  <c r="L102" i="1"/>
  <c r="L59" i="1"/>
  <c r="L55" i="1"/>
  <c r="L53" i="1"/>
  <c r="L61" i="1"/>
  <c r="L51" i="1"/>
  <c r="L49" i="1"/>
  <c r="E54" i="1"/>
  <c r="E56" i="1"/>
  <c r="E58" i="1"/>
  <c r="E60" i="1"/>
  <c r="E62" i="1"/>
  <c r="E64" i="1"/>
  <c r="E52" i="1"/>
  <c r="E50" i="1"/>
  <c r="E48" i="1"/>
  <c r="L194" i="1"/>
  <c r="L200" i="1"/>
  <c r="L190" i="1"/>
  <c r="L198" i="1"/>
  <c r="L202" i="1"/>
  <c r="L226" i="1"/>
  <c r="L230" i="1"/>
  <c r="L224" i="1"/>
  <c r="L228" i="1"/>
  <c r="L232" i="1"/>
  <c r="L223" i="1"/>
  <c r="L225" i="1"/>
  <c r="L227" i="1"/>
  <c r="L229" i="1"/>
  <c r="L231" i="1"/>
  <c r="L233" i="1"/>
  <c r="L86" i="1"/>
  <c r="L94" i="1"/>
  <c r="L204" i="1"/>
  <c r="L71" i="1"/>
  <c r="E72" i="1"/>
  <c r="L74" i="1"/>
  <c r="L98" i="1"/>
  <c r="L46" i="1"/>
  <c r="L76" i="1"/>
  <c r="L80" i="1"/>
  <c r="L84" i="1"/>
  <c r="L88" i="1"/>
  <c r="L92" i="1"/>
  <c r="L96" i="1"/>
  <c r="R148" i="1"/>
  <c r="L144" i="1"/>
  <c r="L145" i="1"/>
  <c r="L27" i="1"/>
  <c r="E28" i="1"/>
  <c r="L29" i="1"/>
  <c r="E30" i="1"/>
  <c r="L31" i="1"/>
  <c r="E33" i="1"/>
  <c r="L34" i="1"/>
  <c r="E35" i="1"/>
  <c r="L36" i="1"/>
  <c r="E37" i="1"/>
  <c r="L38" i="1"/>
  <c r="E39" i="1"/>
  <c r="L40" i="1"/>
  <c r="E41" i="1"/>
  <c r="E43" i="1"/>
  <c r="L44" i="1"/>
  <c r="E45" i="1"/>
  <c r="L8" i="1"/>
  <c r="L9" i="1"/>
  <c r="L13" i="1"/>
  <c r="L16" i="1"/>
  <c r="L17" i="1"/>
  <c r="L20" i="1"/>
  <c r="R180" i="1"/>
  <c r="B7" i="3"/>
  <c r="C15" i="2"/>
  <c r="C5" i="2" s="1"/>
  <c r="R110" i="1"/>
  <c r="R113" i="1"/>
  <c r="R114" i="1"/>
  <c r="R120" i="1"/>
  <c r="E7" i="1"/>
  <c r="E9" i="1"/>
  <c r="E11" i="1"/>
  <c r="E13" i="1"/>
  <c r="E15" i="1"/>
  <c r="E17" i="1"/>
  <c r="E19" i="1"/>
  <c r="E21" i="1"/>
  <c r="E23" i="1"/>
  <c r="B3" i="3"/>
  <c r="C13" i="2"/>
  <c r="C3" i="2" s="1"/>
  <c r="O211" i="1"/>
  <c r="O236" i="1" s="1"/>
  <c r="E27" i="1"/>
  <c r="L28" i="1"/>
  <c r="E29" i="1"/>
  <c r="L30" i="1"/>
  <c r="E31" i="1"/>
  <c r="L33" i="1"/>
  <c r="E34" i="1"/>
  <c r="L35" i="1"/>
  <c r="E36" i="1"/>
  <c r="L37" i="1"/>
  <c r="E38" i="1"/>
  <c r="L39" i="1"/>
  <c r="E40" i="1"/>
  <c r="L41" i="1"/>
  <c r="E42" i="1"/>
  <c r="L43" i="1"/>
  <c r="E44" i="1"/>
  <c r="L45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E63" i="1"/>
  <c r="L64" i="1"/>
  <c r="R65" i="1"/>
  <c r="L68" i="1"/>
  <c r="L70" i="1"/>
  <c r="L72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L103" i="1"/>
  <c r="R104" i="1"/>
  <c r="K140" i="1"/>
  <c r="L111" i="1" s="1"/>
  <c r="R109" i="1"/>
  <c r="R123" i="1"/>
  <c r="R127" i="1"/>
  <c r="S130" i="1"/>
  <c r="B19" i="2"/>
  <c r="B9" i="2" s="1"/>
  <c r="E185" i="1"/>
  <c r="E183" i="1"/>
  <c r="B13" i="2"/>
  <c r="B3" i="2" s="1"/>
  <c r="R24" i="1"/>
  <c r="T24" i="1"/>
  <c r="B8" i="3"/>
  <c r="C14" i="2"/>
  <c r="C4" i="2" s="1"/>
  <c r="L90" i="1"/>
  <c r="R132" i="1"/>
  <c r="R134" i="1"/>
  <c r="R137" i="1"/>
  <c r="B17" i="2"/>
  <c r="B7" i="2" s="1"/>
  <c r="E147" i="1"/>
  <c r="E145" i="1"/>
  <c r="E143" i="1"/>
  <c r="B18" i="2"/>
  <c r="B8" i="2" s="1"/>
  <c r="E184" i="1"/>
  <c r="R186" i="1"/>
  <c r="L191" i="1"/>
  <c r="L196" i="1"/>
  <c r="L201" i="1"/>
  <c r="L203" i="1"/>
  <c r="L205" i="1"/>
  <c r="L209" i="1"/>
  <c r="R210" i="1"/>
  <c r="E214" i="1"/>
  <c r="L218" i="1"/>
  <c r="C17" i="2"/>
  <c r="C7" i="2" s="1"/>
  <c r="C18" i="2"/>
  <c r="C8" i="2" s="1"/>
  <c r="C19" i="2"/>
  <c r="C9" i="2" s="1"/>
  <c r="C20" i="2"/>
  <c r="C10" i="2" s="1"/>
  <c r="E123" i="1" l="1"/>
  <c r="E136" i="1"/>
  <c r="L120" i="1"/>
  <c r="L136" i="1"/>
  <c r="E126" i="1"/>
  <c r="E130" i="1"/>
  <c r="E131" i="1"/>
  <c r="E122" i="1"/>
  <c r="E108" i="1"/>
  <c r="E113" i="1"/>
  <c r="E127" i="1"/>
  <c r="D211" i="1"/>
  <c r="E65" i="1" s="1"/>
  <c r="E120" i="1"/>
  <c r="E137" i="1"/>
  <c r="E128" i="1"/>
  <c r="E110" i="1"/>
  <c r="E112" i="1"/>
  <c r="E139" i="1"/>
  <c r="E134" i="1"/>
  <c r="E115" i="1"/>
  <c r="E129" i="1"/>
  <c r="E116" i="1"/>
  <c r="E133" i="1"/>
  <c r="E132" i="1"/>
  <c r="E118" i="1"/>
  <c r="E135" i="1"/>
  <c r="E119" i="1"/>
  <c r="B16" i="2"/>
  <c r="B6" i="2" s="1"/>
  <c r="E121" i="1"/>
  <c r="E117" i="1"/>
  <c r="E109" i="1"/>
  <c r="L134" i="1"/>
  <c r="K211" i="1"/>
  <c r="L140" i="1" s="1"/>
  <c r="L127" i="1"/>
  <c r="L110" i="1"/>
  <c r="B9" i="3"/>
  <c r="C16" i="2"/>
  <c r="C6" i="2" s="1"/>
  <c r="L138" i="1"/>
  <c r="L130" i="1"/>
  <c r="L139" i="1"/>
  <c r="L135" i="1"/>
  <c r="L133" i="1"/>
  <c r="R140" i="1"/>
  <c r="L131" i="1"/>
  <c r="L129" i="1"/>
  <c r="L128" i="1"/>
  <c r="L126" i="1"/>
  <c r="L122" i="1"/>
  <c r="L118" i="1"/>
  <c r="L116" i="1"/>
  <c r="L108" i="1"/>
  <c r="L121" i="1"/>
  <c r="L119" i="1"/>
  <c r="L117" i="1"/>
  <c r="L115" i="1"/>
  <c r="L112" i="1"/>
  <c r="L109" i="1"/>
  <c r="L137" i="1"/>
  <c r="L132" i="1"/>
  <c r="L123" i="1"/>
  <c r="L113" i="1"/>
  <c r="L114" i="1"/>
  <c r="E186" i="1" l="1"/>
  <c r="E104" i="1"/>
  <c r="E180" i="1"/>
  <c r="E148" i="1"/>
  <c r="E210" i="1"/>
  <c r="D236" i="1"/>
  <c r="E24" i="1"/>
  <c r="E140" i="1"/>
  <c r="K236" i="1"/>
  <c r="R211" i="1"/>
  <c r="L186" i="1"/>
  <c r="L24" i="1"/>
  <c r="L180" i="1"/>
  <c r="L148" i="1"/>
  <c r="L65" i="1"/>
  <c r="L104" i="1"/>
  <c r="L210" i="1"/>
</calcChain>
</file>

<file path=xl/sharedStrings.xml><?xml version="1.0" encoding="utf-8"?>
<sst xmlns="http://schemas.openxmlformats.org/spreadsheetml/2006/main" count="494" uniqueCount="315">
  <si>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</si>
  <si>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</si>
  <si>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</si>
  <si>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</si>
  <si>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</si>
  <si>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</si>
  <si>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</si>
  <si>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</si>
  <si>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</si>
  <si>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</si>
  <si>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</si>
  <si>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</si>
  <si>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</si>
  <si>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</si>
  <si>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</si>
  <si>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</si>
  <si>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</si>
  <si>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</si>
  <si>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</si>
  <si>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</si>
  <si>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</si>
  <si>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</si>
  <si>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</si>
  <si>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</si>
  <si>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</si>
  <si>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</si>
  <si>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</si>
  <si>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</si>
  <si>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</si>
  <si>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</si>
  <si>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</si>
  <si>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</si>
  <si>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</si>
  <si>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</si>
  <si>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</si>
  <si>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</si>
  <si>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</si>
  <si>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</si>
  <si>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</si>
  <si>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</si>
  <si>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</si>
  <si>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</si>
  <si>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</si>
  <si>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</si>
  <si>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</si>
  <si>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</si>
  <si>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</si>
  <si>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</si>
  <si>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</si>
  <si>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</si>
  <si>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</si>
  <si>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</si>
  <si>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</si>
  <si>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</si>
  <si>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</si>
  <si>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</si>
  <si>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</si>
  <si>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</si>
  <si>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</si>
  <si>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</si>
  <si>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</si>
  <si>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</si>
  <si>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</si>
  <si>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</si>
  <si>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</si>
  <si>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</si>
  <si>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</si>
  <si>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</si>
  <si>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</si>
  <si>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</si>
  <si>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</si>
  <si>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</si>
  <si>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</si>
  <si>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</si>
  <si>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</si>
  <si>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</si>
  <si>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</si>
  <si>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</si>
  <si>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</si>
  <si>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</si>
  <si>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</si>
  <si>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</si>
  <si>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</si>
  <si>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</si>
  <si>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</si>
  <si>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</si>
  <si>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</si>
  <si>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</si>
  <si>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</si>
  <si>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</si>
  <si>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</si>
  <si>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</si>
  <si>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</si>
  <si>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</si>
  <si>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</si>
  <si>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</si>
  <si>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</si>
  <si>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</si>
  <si>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</si>
  <si>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</si>
  <si>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</si>
  <si>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</si>
  <si>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</si>
  <si>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</si>
  <si>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</si>
  <si>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</si>
  <si>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</si>
  <si>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</si>
  <si>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</si>
  <si>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</si>
  <si>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</si>
  <si>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</si>
  <si>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</si>
  <si>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</si>
  <si>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</si>
  <si>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</si>
  <si>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</si>
  <si>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</si>
  <si>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</si>
  <si>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</si>
  <si>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</si>
  <si>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</si>
  <si>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</si>
  <si>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</si>
  <si>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</si>
  <si>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</si>
  <si>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</si>
  <si>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</si>
  <si>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</si>
  <si>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</si>
  <si>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</si>
  <si>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</si>
  <si>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</si>
  <si>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</si>
  <si>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</si>
  <si>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</si>
  <si>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</si>
  <si>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</si>
  <si>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</si>
  <si>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</si>
  <si>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</si>
  <si>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</si>
  <si>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</si>
  <si>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</si>
  <si>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</si>
  <si>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</si>
  <si>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</si>
  <si>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</si>
  <si>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</si>
  <si>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</si>
  <si>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</si>
  <si>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</si>
  <si>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</si>
  <si>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</si>
  <si>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</si>
  <si>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</si>
  <si>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</si>
  <si>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</si>
  <si>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</si>
  <si>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</si>
  <si>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</si>
  <si>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</si>
  <si>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</si>
  <si>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</si>
  <si>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</si>
  <si>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</si>
  <si>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</si>
  <si>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</si>
  <si>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</si>
  <si>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</si>
  <si>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</si>
  <si>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</si>
  <si>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</si>
  <si>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</si>
  <si>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</si>
  <si>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</si>
  <si>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</si>
  <si>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</si>
  <si>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</si>
  <si>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</si>
  <si>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</si>
  <si>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</si>
  <si>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</si>
  <si>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</si>
  <si>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</si>
  <si>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</si>
  <si>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</si>
  <si>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</si>
  <si>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</si>
  <si>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</si>
  <si>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</si>
  <si>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</si>
  <si>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</si>
  <si>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</si>
  <si>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</si>
  <si>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</si>
  <si>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</si>
  <si>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</si>
  <si>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</si>
  <si>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</si>
  <si>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</si>
  <si>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</si>
  <si>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</si>
  <si>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</si>
  <si>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</si>
  <si>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</si>
  <si>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</si>
  <si>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</si>
  <si>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</si>
  <si>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</si>
  <si>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</si>
  <si>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</si>
  <si>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</si>
  <si>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</si>
  <si>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</si>
  <si>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</si>
  <si>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</si>
  <si>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</si>
  <si>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</si>
  <si>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</si>
  <si>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</si>
  <si>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</si>
  <si>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</si>
  <si>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</si>
  <si>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</si>
  <si>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</si>
  <si>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</si>
  <si>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</si>
  <si>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</si>
  <si>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</si>
  <si>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</si>
  <si>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</si>
  <si>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</si>
  <si>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</si>
  <si>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</si>
  <si>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</si>
  <si>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</si>
  <si>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</si>
  <si>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</si>
  <si>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</si>
  <si>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</si>
  <si>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</si>
  <si>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</si>
  <si>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</si>
  <si>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</si>
  <si>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</si>
  <si>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</si>
  <si>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</si>
  <si>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</si>
  <si>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</si>
  <si>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</si>
  <si>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</si>
  <si>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</si>
  <si>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</si>
  <si>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</si>
  <si>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</si>
  <si>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</si>
  <si>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</si>
  <si>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</si>
  <si>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</si>
  <si>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</si>
  <si>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</si>
  <si>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</si>
  <si>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</si>
  <si>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</si>
  <si>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</si>
  <si>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</si>
  <si>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</si>
  <si>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</si>
  <si>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</si>
  <si>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</si>
  <si>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</si>
  <si>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</si>
  <si>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</si>
  <si>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</si>
  <si>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</si>
  <si>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</si>
  <si>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</si>
  <si>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</si>
  <si>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</si>
  <si>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</si>
  <si>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</si>
  <si>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</si>
  <si>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</si>
  <si>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</si>
  <si>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</si>
  <si>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</si>
  <si>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</si>
  <si>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</si>
  <si>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</si>
  <si>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</si>
  <si>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</si>
  <si>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</si>
  <si>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</si>
  <si>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</si>
  <si>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NAV, Unit Price and Yield as at Week Ended January 3, 2025</t>
  </si>
  <si>
    <t>Week Ended January 3, 2025</t>
  </si>
  <si>
    <t>WEEKLY VALUATION REPORT OF COLLECTIVE INVESTMENT SCHEMES AS AT WEEK ENDED FRIDAY, JANUARY 10, 2025</t>
  </si>
  <si>
    <t>NAV, Unit Price and Yield as at Week Ended January 10, 2025</t>
  </si>
  <si>
    <t>NFEM RATE NG₦/US$ as at 10th January, 2025 = N1,542.0256</t>
  </si>
  <si>
    <t>                2,284.00</t>
  </si>
  <si>
    <t>0.09%</t>
  </si>
  <si>
    <t>                    5.81</t>
  </si>
  <si>
    <t>                   5.89</t>
  </si>
  <si>
    <t>STL Dollar Fund</t>
  </si>
  <si>
    <t>ARM Short-Term Eurobond Fund</t>
  </si>
  <si>
    <t>ARM Sharia Compliant Fixed Income Fund</t>
  </si>
  <si>
    <t xml:space="preserve">                  180,989.00 </t>
  </si>
  <si>
    <t xml:space="preserve">                    180,989.00 </t>
  </si>
  <si>
    <t xml:space="preserve">  1,076.68 </t>
  </si>
  <si>
    <t xml:space="preserve">    1,076.68 </t>
  </si>
  <si>
    <t xml:space="preserve">                8,239.16 </t>
  </si>
  <si>
    <t xml:space="preserve">       8,340.62 </t>
  </si>
  <si>
    <t xml:space="preserve">     26,503.46 </t>
  </si>
  <si>
    <t>Week Ended 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</si>
</sst>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6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0"/>
      <color rgb="FF555555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190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9" fillId="0" borderId="0" xfId="0" applyFont="1"/>
    <xf numFmtId="0" fontId="4" fillId="2" borderId="0" xfId="0" applyFont="1" applyFill="1" applyAlignment="1">
      <alignment wrapText="1"/>
    </xf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3" fillId="8" borderId="1" xfId="0" applyFont="1" applyFill="1" applyBorder="1"/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7" fillId="2" borderId="1" xfId="10" applyFont="1" applyFill="1" applyBorder="1"/>
    <xf numFmtId="10" fontId="17" fillId="8" borderId="1" xfId="2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/>
    </xf>
    <xf numFmtId="4" fontId="17" fillId="2" borderId="1" xfId="0" applyNumberFormat="1" applyFont="1" applyFill="1" applyBorder="1"/>
    <xf numFmtId="164" fontId="15" fillId="10" borderId="1" xfId="1" applyFont="1" applyFill="1" applyBorder="1" applyAlignment="1">
      <alignment horizontal="center"/>
    </xf>
    <xf numFmtId="164" fontId="17" fillId="2" borderId="1" xfId="1" applyFont="1" applyFill="1" applyBorder="1"/>
    <xf numFmtId="0" fontId="15" fillId="0" borderId="1" xfId="0" applyFont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right"/>
    </xf>
    <xf numFmtId="164" fontId="14" fillId="2" borderId="1" xfId="1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0" fontId="17" fillId="2" borderId="1" xfId="2" applyNumberFormat="1" applyFont="1" applyFill="1" applyBorder="1" applyAlignment="1">
      <alignment horizontal="center" vertical="top" wrapText="1"/>
    </xf>
    <xf numFmtId="4" fontId="17" fillId="2" borderId="1" xfId="1" applyNumberFormat="1" applyFont="1" applyFill="1" applyBorder="1" applyAlignment="1">
      <alignment vertical="top" wrapText="1"/>
    </xf>
    <xf numFmtId="164" fontId="14" fillId="10" borderId="1" xfId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/>
    </xf>
    <xf numFmtId="4" fontId="17" fillId="2" borderId="1" xfId="1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 wrapText="1"/>
    </xf>
    <xf numFmtId="164" fontId="14" fillId="2" borderId="1" xfId="1" applyFont="1" applyFill="1" applyBorder="1" applyAlignment="1">
      <alignment horizontal="right"/>
    </xf>
    <xf numFmtId="164" fontId="13" fillId="3" borderId="1" xfId="1" applyFont="1" applyFill="1" applyBorder="1" applyAlignment="1">
      <alignment horizontal="center" vertical="top"/>
    </xf>
    <xf numFmtId="10" fontId="17" fillId="10" borderId="1" xfId="2" applyNumberFormat="1" applyFont="1" applyFill="1" applyBorder="1" applyAlignment="1">
      <alignment horizontal="center"/>
    </xf>
    <xf numFmtId="10" fontId="15" fillId="10" borderId="1" xfId="2" applyNumberFormat="1" applyFont="1" applyFill="1" applyBorder="1" applyAlignment="1">
      <alignment horizontal="center"/>
    </xf>
    <xf numFmtId="10" fontId="17" fillId="10" borderId="1" xfId="2" applyNumberFormat="1" applyFont="1" applyFill="1" applyBorder="1" applyAlignment="1">
      <alignment horizontal="center" vertical="top" wrapText="1"/>
    </xf>
    <xf numFmtId="10" fontId="17" fillId="10" borderId="1" xfId="2" applyNumberFormat="1" applyFont="1" applyFill="1" applyBorder="1" applyAlignment="1">
      <alignment horizontal="center" wrapText="1"/>
    </xf>
    <xf numFmtId="10" fontId="17" fillId="8" borderId="1" xfId="2" applyNumberFormat="1" applyFont="1" applyFill="1" applyBorder="1" applyAlignment="1">
      <alignment horizontal="center" wrapText="1"/>
    </xf>
    <xf numFmtId="10" fontId="17" fillId="10" borderId="1" xfId="1" applyNumberFormat="1" applyFont="1" applyFill="1" applyBorder="1" applyAlignment="1">
      <alignment horizontal="center"/>
    </xf>
    <xf numFmtId="10" fontId="17" fillId="3" borderId="1" xfId="2" applyNumberFormat="1" applyFont="1" applyFill="1" applyBorder="1" applyAlignment="1">
      <alignment horizontal="center" vertical="top" wrapText="1"/>
    </xf>
    <xf numFmtId="10" fontId="15" fillId="3" borderId="1" xfId="2" applyNumberFormat="1" applyFont="1" applyFill="1" applyBorder="1" applyAlignment="1">
      <alignment horizontal="center" vertical="top" wrapText="1"/>
    </xf>
    <xf numFmtId="10" fontId="15" fillId="3" borderId="1" xfId="1" applyNumberFormat="1" applyFont="1" applyFill="1" applyBorder="1" applyAlignment="1">
      <alignment horizontal="center" vertical="top" wrapText="1"/>
    </xf>
    <xf numFmtId="10" fontId="19" fillId="11" borderId="0" xfId="0" applyNumberFormat="1" applyFont="1" applyFill="1" applyAlignment="1">
      <alignment horizontal="right" vertical="center" wrapText="1"/>
    </xf>
    <xf numFmtId="2" fontId="17" fillId="2" borderId="1" xfId="0" applyNumberFormat="1" applyFont="1" applyFill="1" applyBorder="1"/>
    <xf numFmtId="164" fontId="17" fillId="2" borderId="1" xfId="10" applyFont="1" applyFill="1" applyBorder="1" applyAlignment="1">
      <alignment wrapText="1"/>
    </xf>
    <xf numFmtId="164" fontId="17" fillId="12" borderId="1" xfId="1" applyFont="1" applyFill="1" applyBorder="1" applyAlignment="1">
      <alignment horizontal="center"/>
    </xf>
    <xf numFmtId="10" fontId="17" fillId="12" borderId="1" xfId="2" applyNumberFormat="1" applyFont="1" applyFill="1" applyBorder="1" applyAlignment="1">
      <alignment horizontal="center"/>
    </xf>
    <xf numFmtId="10" fontId="17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1" fillId="0" borderId="0" xfId="1" applyFont="1"/>
    <xf numFmtId="4" fontId="22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3" fillId="11" borderId="0" xfId="0" applyNumberFormat="1" applyFont="1" applyFill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4" fontId="25" fillId="0" borderId="1" xfId="0" applyNumberFormat="1" applyFont="1" applyFill="1" applyBorder="1" applyAlignment="1" applyProtection="1"/>
    <xf numFmtId="0" fontId="26" fillId="2" borderId="1" xfId="0" applyFont="1" applyFill="1" applyBorder="1"/>
    <xf numFmtId="4" fontId="17" fillId="2" borderId="1" xfId="1" applyNumberFormat="1" applyFont="1" applyFill="1" applyBorder="1" applyAlignment="1">
      <alignment horizontal="right" vertical="top" wrapText="1"/>
    </xf>
    <xf numFmtId="164" fontId="14" fillId="2" borderId="1" xfId="1" applyFont="1" applyFill="1" applyBorder="1"/>
    <xf numFmtId="43" fontId="17" fillId="2" borderId="1" xfId="0" applyNumberFormat="1" applyFont="1" applyFill="1" applyBorder="1"/>
    <xf numFmtId="4" fontId="17" fillId="2" borderId="1" xfId="1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wrapText="1"/>
    </xf>
    <xf numFmtId="4" fontId="17" fillId="2" borderId="1" xfId="10" applyNumberFormat="1" applyFont="1" applyFill="1" applyBorder="1" applyAlignment="1">
      <alignment horizontal="right" wrapText="1"/>
    </xf>
    <xf numFmtId="4" fontId="17" fillId="10" borderId="1" xfId="1" applyNumberFormat="1" applyFont="1" applyFill="1" applyBorder="1" applyAlignment="1">
      <alignment horizontal="center"/>
    </xf>
    <xf numFmtId="4" fontId="17" fillId="10" borderId="1" xfId="1" applyNumberFormat="1" applyFont="1" applyFill="1" applyBorder="1" applyAlignment="1">
      <alignment horizontal="center" vertical="top" wrapText="1"/>
    </xf>
    <xf numFmtId="43" fontId="17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4" fillId="10" borderId="1" xfId="1" applyNumberFormat="1" applyFont="1" applyFill="1" applyBorder="1" applyAlignment="1">
      <alignment horizontal="right" vertical="top" wrapText="1"/>
    </xf>
    <xf numFmtId="0" fontId="17" fillId="15" borderId="1" xfId="0" applyFont="1" applyFill="1" applyBorder="1" applyAlignment="1">
      <alignment horizontal="right" vertical="center"/>
    </xf>
    <xf numFmtId="0" fontId="14" fillId="15" borderId="1" xfId="0" applyFont="1" applyFill="1" applyBorder="1" applyAlignment="1">
      <alignment horizontal="right" vertical="center"/>
    </xf>
    <xf numFmtId="164" fontId="14" fillId="15" borderId="1" xfId="1" applyFont="1" applyFill="1" applyBorder="1" applyAlignment="1">
      <alignment horizontal="right" vertical="center" wrapText="1"/>
    </xf>
    <xf numFmtId="10" fontId="17" fillId="15" borderId="1" xfId="1" applyNumberFormat="1" applyFont="1" applyFill="1" applyBorder="1" applyAlignment="1">
      <alignment horizontal="right" vertical="center" wrapText="1"/>
    </xf>
    <xf numFmtId="4" fontId="17" fillId="15" borderId="1" xfId="1" applyNumberFormat="1" applyFont="1" applyFill="1" applyBorder="1" applyAlignment="1">
      <alignment horizontal="right" vertical="center" wrapText="1"/>
    </xf>
    <xf numFmtId="164" fontId="14" fillId="15" borderId="1" xfId="1" applyFont="1" applyFill="1" applyBorder="1" applyAlignment="1">
      <alignment horizontal="right" vertical="top" wrapText="1"/>
    </xf>
    <xf numFmtId="4" fontId="17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7" fillId="15" borderId="1" xfId="1" applyNumberFormat="1" applyFont="1" applyFill="1" applyBorder="1" applyAlignment="1">
      <alignment horizontal="right" vertical="top" wrapText="1"/>
    </xf>
    <xf numFmtId="164" fontId="17" fillId="2" borderId="1" xfId="10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64" fontId="17" fillId="10" borderId="1" xfId="1" applyFont="1" applyFill="1" applyBorder="1" applyAlignment="1">
      <alignment horizontal="center" vertical="top" wrapText="1"/>
    </xf>
    <xf numFmtId="164" fontId="17" fillId="2" borderId="1" xfId="1" applyFont="1" applyFill="1" applyBorder="1" applyAlignment="1">
      <alignment horizontal="right" vertical="top" wrapText="1"/>
    </xf>
    <xf numFmtId="0" fontId="17" fillId="16" borderId="1" xfId="0" applyFont="1" applyFill="1" applyBorder="1" applyAlignment="1">
      <alignment horizontal="right" vertical="top" wrapText="1"/>
    </xf>
    <xf numFmtId="0" fontId="24" fillId="16" borderId="1" xfId="0" applyFont="1" applyFill="1" applyBorder="1" applyAlignment="1">
      <alignment horizontal="right" vertical="top" wrapText="1"/>
    </xf>
    <xf numFmtId="164" fontId="24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6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7" fillId="15" borderId="1" xfId="2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5" fillId="15" borderId="1" xfId="2" applyNumberFormat="1" applyFont="1" applyFill="1" applyBorder="1" applyAlignment="1">
      <alignment horizontal="center" vertical="top" wrapText="1"/>
    </xf>
    <xf numFmtId="166" fontId="15" fillId="15" borderId="1" xfId="2" applyNumberFormat="1" applyFont="1" applyFill="1" applyBorder="1" applyAlignment="1">
      <alignment horizontal="center" vertical="top" wrapText="1"/>
    </xf>
    <xf numFmtId="10" fontId="15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7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 vertical="top" wrapText="1"/>
    </xf>
    <xf numFmtId="164" fontId="3" fillId="2" borderId="0" xfId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/>
    </xf>
    <xf numFmtId="0" fontId="42" fillId="8" borderId="1" xfId="0" applyFont="1" applyFill="1" applyBorder="1"/>
    <xf numFmtId="0" fontId="17" fillId="0" borderId="1" xfId="0" applyFont="1" applyBorder="1" applyAlignment="1">
      <alignment horizontal="center"/>
    </xf>
    <xf numFmtId="4" fontId="17" fillId="2" borderId="1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43" fillId="0" borderId="0" xfId="0" applyFont="1"/>
    <xf numFmtId="0" fontId="30" fillId="6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/>
    </xf>
    <xf numFmtId="4" fontId="21" fillId="0" borderId="0" xfId="0" applyNumberFormat="1" applyFont="1"/>
    <xf numFmtId="0" fontId="17" fillId="15" borderId="1" xfId="0" applyFont="1" applyFill="1" applyBorder="1" applyAlignment="1">
      <alignment horizontal="right"/>
    </xf>
    <xf numFmtId="0" fontId="14" fillId="15" borderId="1" xfId="0" applyFont="1" applyFill="1" applyBorder="1" applyAlignment="1">
      <alignment horizontal="right"/>
    </xf>
    <xf numFmtId="0" fontId="44" fillId="0" borderId="0" xfId="0" applyFont="1"/>
    <xf numFmtId="43" fontId="6" fillId="0" borderId="0" xfId="0" applyNumberFormat="1" applyFont="1"/>
    <xf numFmtId="0" fontId="8" fillId="0" borderId="0" xfId="0" applyFont="1" applyBorder="1"/>
    <xf numFmtId="0" fontId="46" fillId="0" borderId="0" xfId="0" applyFont="1" applyBorder="1" applyAlignment="1">
      <alignment horizontal="right"/>
    </xf>
    <xf numFmtId="16" fontId="46" fillId="2" borderId="0" xfId="0" applyNumberFormat="1" applyFont="1" applyFill="1" applyBorder="1" applyAlignment="1">
      <alignment horizontal="center" wrapText="1"/>
    </xf>
    <xf numFmtId="0" fontId="47" fillId="0" borderId="0" xfId="0" applyFont="1" applyBorder="1"/>
    <xf numFmtId="0" fontId="46" fillId="0" borderId="0" xfId="0" applyFont="1" applyBorder="1" applyAlignment="1">
      <alignment horizontal="right" wrapText="1"/>
    </xf>
    <xf numFmtId="4" fontId="48" fillId="2" borderId="0" xfId="0" applyNumberFormat="1" applyFont="1" applyFill="1" applyBorder="1"/>
    <xf numFmtId="4" fontId="48" fillId="2" borderId="0" xfId="0" applyNumberFormat="1" applyFont="1" applyFill="1" applyBorder="1" applyAlignment="1">
      <alignment horizontal="right"/>
    </xf>
    <xf numFmtId="164" fontId="48" fillId="2" borderId="0" xfId="1" applyFont="1" applyFill="1" applyBorder="1" applyAlignment="1">
      <alignment horizontal="right" vertical="top" wrapText="1"/>
    </xf>
    <xf numFmtId="0" fontId="49" fillId="0" borderId="0" xfId="0" applyFont="1" applyBorder="1" applyAlignment="1">
      <alignment horizontal="right" wrapText="1"/>
    </xf>
    <xf numFmtId="164" fontId="50" fillId="0" borderId="0" xfId="1" applyFont="1" applyBorder="1"/>
    <xf numFmtId="4" fontId="50" fillId="2" borderId="0" xfId="0" applyNumberFormat="1" applyFont="1" applyFill="1" applyBorder="1"/>
    <xf numFmtId="0" fontId="49" fillId="0" borderId="0" xfId="0" applyFont="1" applyBorder="1" applyAlignment="1">
      <alignment horizontal="right"/>
    </xf>
    <xf numFmtId="4" fontId="50" fillId="2" borderId="0" xfId="0" applyNumberFormat="1" applyFont="1" applyFill="1" applyBorder="1" applyAlignment="1">
      <alignment horizontal="right"/>
    </xf>
    <xf numFmtId="164" fontId="50" fillId="2" borderId="0" xfId="1" applyFont="1" applyFill="1" applyBorder="1" applyAlignment="1">
      <alignment horizontal="right" vertical="top" wrapText="1"/>
    </xf>
    <xf numFmtId="0" fontId="51" fillId="0" borderId="0" xfId="0" applyFont="1" applyBorder="1" applyAlignment="1">
      <alignment horizontal="right"/>
    </xf>
    <xf numFmtId="4" fontId="52" fillId="2" borderId="0" xfId="0" applyNumberFormat="1" applyFont="1" applyFill="1" applyBorder="1" applyAlignment="1">
      <alignment horizontal="right"/>
    </xf>
    <xf numFmtId="4" fontId="52" fillId="2" borderId="0" xfId="0" applyNumberFormat="1" applyFont="1" applyFill="1" applyBorder="1"/>
    <xf numFmtId="0" fontId="51" fillId="0" borderId="0" xfId="0" applyFont="1" applyAlignment="1">
      <alignment horizontal="right"/>
    </xf>
    <xf numFmtId="4" fontId="52" fillId="2" borderId="0" xfId="0" applyNumberFormat="1" applyFont="1" applyFill="1"/>
    <xf numFmtId="164" fontId="52" fillId="2" borderId="0" xfId="1" applyFont="1" applyFill="1" applyBorder="1" applyAlignment="1">
      <alignment horizontal="right" vertical="top" wrapText="1"/>
    </xf>
    <xf numFmtId="0" fontId="53" fillId="0" borderId="0" xfId="0" applyFont="1" applyBorder="1" applyAlignment="1">
      <alignment horizontal="right"/>
    </xf>
    <xf numFmtId="16" fontId="51" fillId="2" borderId="0" xfId="0" applyNumberFormat="1" applyFont="1" applyFill="1" applyBorder="1"/>
    <xf numFmtId="164" fontId="8" fillId="0" borderId="0" xfId="1" applyFont="1" applyBorder="1"/>
    <xf numFmtId="0" fontId="45" fillId="0" borderId="0" xfId="0" applyFont="1"/>
    <xf numFmtId="16" fontId="54" fillId="2" borderId="0" xfId="0" applyNumberFormat="1" applyFont="1" applyFill="1"/>
    <xf numFmtId="164" fontId="55" fillId="0" borderId="0" xfId="1" applyFont="1"/>
    <xf numFmtId="43" fontId="55" fillId="0" borderId="0" xfId="0" applyNumberFormat="1" applyFont="1"/>
    <xf numFmtId="4" fontId="55" fillId="0" borderId="0" xfId="0" applyNumberFormat="1" applyFont="1"/>
    <xf numFmtId="4" fontId="17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wrapText="1"/>
    </xf>
    <xf numFmtId="49" fontId="17" fillId="0" borderId="1" xfId="0" applyNumberFormat="1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24" fillId="14" borderId="1" xfId="0" applyFont="1" applyFill="1" applyBorder="1" applyAlignment="1">
      <alignment horizontal="center" wrapText="1"/>
    </xf>
    <xf numFmtId="0" fontId="24" fillId="9" borderId="1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</cellXfs>
  <cellStyles count="31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January 3,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32.261498393230006</c:v>
                </c:pt>
                <c:pt idx="1">
                  <c:v>1731.3314553779687</c:v>
                </c:pt>
                <c:pt idx="2">
                  <c:v>196.55895396870349</c:v>
                </c:pt>
                <c:pt idx="3">
                  <c:v>1710.0393123716767</c:v>
                </c:pt>
                <c:pt idx="4">
                  <c:v>100.16567634188785</c:v>
                </c:pt>
                <c:pt idx="5" formatCode="_-* #,##0.00_-;\-* #,##0.00_-;_-* &quot;-&quot;??_-;_-@_-">
                  <c:v>54.655185610452072</c:v>
                </c:pt>
                <c:pt idx="6">
                  <c:v>5.9567588092900001</c:v>
                </c:pt>
                <c:pt idx="7">
                  <c:v>52.524540980356321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January 10,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33.411621797110001</c:v>
                </c:pt>
                <c:pt idx="1">
                  <c:v>1796.1635202174673</c:v>
                </c:pt>
                <c:pt idx="2">
                  <c:v>198.624219481398</c:v>
                </c:pt>
                <c:pt idx="3">
                  <c:v>1721.2737908844595</c:v>
                </c:pt>
                <c:pt idx="4">
                  <c:v>100.81452594229248</c:v>
                </c:pt>
                <c:pt idx="5" formatCode="_-* #,##0.00_-;\-* #,##0.00_-;_-* &quot;-&quot;??_-;_-@_-">
                  <c:v>55.198098021346276</c:v>
                </c:pt>
                <c:pt idx="6">
                  <c:v>6.0531176973000003</c:v>
                </c:pt>
                <c:pt idx="7">
                  <c:v>52.575931037907694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10TH JANUARY,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10-Jan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6053117697.3000002</c:v>
                </c:pt>
                <c:pt idx="1">
                  <c:v>33411621797.110004</c:v>
                </c:pt>
                <c:pt idx="2" formatCode="_-* #,##0.00_-;\-* #,##0.00_-;_-* &quot;-&quot;??_-;_-@_-">
                  <c:v>52575931037.907692</c:v>
                </c:pt>
                <c:pt idx="3">
                  <c:v>55198098021.346275</c:v>
                </c:pt>
                <c:pt idx="4">
                  <c:v>100814525942.29248</c:v>
                </c:pt>
                <c:pt idx="5">
                  <c:v>198624219481.39801</c:v>
                </c:pt>
                <c:pt idx="6">
                  <c:v>1796163520217.4673</c:v>
                </c:pt>
                <c:pt idx="7">
                  <c:v>1721273790884.4595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45618</c:v>
                </c:pt>
                <c:pt idx="1">
                  <c:v>45625</c:v>
                </c:pt>
                <c:pt idx="2">
                  <c:v>45632</c:v>
                </c:pt>
                <c:pt idx="3">
                  <c:v>45639</c:v>
                </c:pt>
                <c:pt idx="4">
                  <c:v>45646</c:v>
                </c:pt>
                <c:pt idx="5">
                  <c:v>45653</c:v>
                </c:pt>
                <c:pt idx="6">
                  <c:v>45660</c:v>
                </c:pt>
                <c:pt idx="7">
                  <c:v>45667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3826.7471799710661</c:v>
                </c:pt>
                <c:pt idx="1">
                  <c:v>3850.3823617505013</c:v>
                </c:pt>
                <c:pt idx="2">
                  <c:v>3767.9650755489829</c:v>
                </c:pt>
                <c:pt idx="3">
                  <c:v>3751.2644931970517</c:v>
                </c:pt>
                <c:pt idx="4">
                  <c:v>3792.1276820114672</c:v>
                </c:pt>
                <c:pt idx="5">
                  <c:v>3829.831201863391</c:v>
                </c:pt>
                <c:pt idx="6">
                  <c:v>3883.4933818535656</c:v>
                </c:pt>
                <c:pt idx="7">
                  <c:v>3964.1148250792808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45618</c:v>
                </c:pt>
                <c:pt idx="1">
                  <c:v>45625</c:v>
                </c:pt>
                <c:pt idx="2">
                  <c:v>45632</c:v>
                </c:pt>
                <c:pt idx="3">
                  <c:v>45639</c:v>
                </c:pt>
                <c:pt idx="4">
                  <c:v>45646</c:v>
                </c:pt>
                <c:pt idx="5">
                  <c:v>45653</c:v>
                </c:pt>
                <c:pt idx="6">
                  <c:v>45660</c:v>
                </c:pt>
                <c:pt idx="7">
                  <c:v>45667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12.922326068600094</c:v>
                </c:pt>
                <c:pt idx="1">
                  <c:v>12.578926303585625</c:v>
                </c:pt>
                <c:pt idx="2">
                  <c:v>12.480727319636602</c:v>
                </c:pt>
                <c:pt idx="3">
                  <c:v>12.494363671946113</c:v>
                </c:pt>
                <c:pt idx="4">
                  <c:v>12.568890044927004</c:v>
                </c:pt>
                <c:pt idx="5">
                  <c:v>12.767135898969396</c:v>
                </c:pt>
                <c:pt idx="6">
                  <c:v>12.486443329167654</c:v>
                </c:pt>
                <c:pt idx="7">
                  <c:v>13.126291240540001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3"/>
  <sheetViews>
    <sheetView tabSelected="1" view="pageBreakPreview" zoomScale="130" zoomScaleNormal="160" zoomScaleSheetLayoutView="13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86" t="s">
        <v>297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</row>
    <row r="2" spans="1:25" ht="15" customHeight="1">
      <c r="A2" s="24"/>
      <c r="B2" s="25"/>
      <c r="C2" s="132"/>
      <c r="D2" s="187" t="s">
        <v>295</v>
      </c>
      <c r="E2" s="187"/>
      <c r="F2" s="187"/>
      <c r="G2" s="187"/>
      <c r="H2" s="187"/>
      <c r="I2" s="187"/>
      <c r="J2" s="187"/>
      <c r="K2" s="187" t="s">
        <v>298</v>
      </c>
      <c r="L2" s="187"/>
      <c r="M2" s="187"/>
      <c r="N2" s="187"/>
      <c r="O2" s="187"/>
      <c r="P2" s="187"/>
      <c r="Q2" s="187"/>
      <c r="R2" s="187" t="s">
        <v>0</v>
      </c>
      <c r="S2" s="187"/>
      <c r="T2" s="187"/>
      <c r="U2" s="187" t="s">
        <v>1</v>
      </c>
      <c r="V2" s="187"/>
    </row>
    <row r="3" spans="1:25" ht="20.399999999999999">
      <c r="A3" s="26" t="s">
        <v>2</v>
      </c>
      <c r="B3" s="27" t="s">
        <v>3</v>
      </c>
      <c r="C3" s="28" t="s">
        <v>4</v>
      </c>
      <c r="D3" s="29" t="s">
        <v>5</v>
      </c>
      <c r="E3" s="30" t="s">
        <v>6</v>
      </c>
      <c r="F3" s="129" t="s">
        <v>292</v>
      </c>
      <c r="G3" s="30" t="s">
        <v>8</v>
      </c>
      <c r="H3" s="30" t="s">
        <v>9</v>
      </c>
      <c r="I3" s="30" t="s">
        <v>10</v>
      </c>
      <c r="J3" s="30" t="s">
        <v>11</v>
      </c>
      <c r="K3" s="53" t="s">
        <v>5</v>
      </c>
      <c r="L3" s="30" t="s">
        <v>6</v>
      </c>
      <c r="M3" s="30" t="s">
        <v>7</v>
      </c>
      <c r="N3" s="30" t="s">
        <v>8</v>
      </c>
      <c r="O3" s="30" t="s">
        <v>9</v>
      </c>
      <c r="P3" s="30" t="s">
        <v>10</v>
      </c>
      <c r="Q3" s="30" t="s">
        <v>11</v>
      </c>
      <c r="R3" s="29" t="s">
        <v>12</v>
      </c>
      <c r="S3" s="30" t="s">
        <v>13</v>
      </c>
      <c r="T3" s="30" t="s">
        <v>14</v>
      </c>
      <c r="U3" s="30" t="s">
        <v>15</v>
      </c>
      <c r="V3" s="30" t="s">
        <v>16</v>
      </c>
    </row>
    <row r="4" spans="1:25" ht="5.25" customHeight="1">
      <c r="A4" s="31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5" spans="1:25" ht="15" customHeight="1">
      <c r="A5" s="184" t="s">
        <v>17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</row>
    <row r="6" spans="1:25">
      <c r="A6" s="173">
        <v>1</v>
      </c>
      <c r="B6" s="134" t="s">
        <v>18</v>
      </c>
      <c r="C6" s="135" t="s">
        <v>19</v>
      </c>
      <c r="D6" s="32">
        <v>1353527614.21</v>
      </c>
      <c r="E6" s="33">
        <f t="shared" ref="E6:E23" si="0">(D6/$D$24)</f>
        <v>4.1954889934499584E-2</v>
      </c>
      <c r="F6" s="34">
        <v>399.03379999999999</v>
      </c>
      <c r="G6" s="34">
        <v>399.03379999999999</v>
      </c>
      <c r="H6" s="35">
        <v>1948</v>
      </c>
      <c r="I6" s="54">
        <v>1.0200000000000001E-2</v>
      </c>
      <c r="J6" s="54">
        <v>0.3236</v>
      </c>
      <c r="K6" s="32">
        <v>1381350889.5799999</v>
      </c>
      <c r="L6" s="33">
        <f>(K6/$K$24)</f>
        <v>4.1343425289803871E-2</v>
      </c>
      <c r="M6" s="34">
        <v>404.85520000000002</v>
      </c>
      <c r="N6" s="34">
        <v>404.85520000000002</v>
      </c>
      <c r="O6" s="35">
        <v>1948</v>
      </c>
      <c r="P6" s="54">
        <v>1.46E-2</v>
      </c>
      <c r="Q6" s="54">
        <v>1.8499999999999999E-2</v>
      </c>
      <c r="R6" s="60">
        <f>((K6-D6)/D6)</f>
        <v>2.0556119489471385E-2</v>
      </c>
      <c r="S6" s="60">
        <f>((N6-G6)/G6)</f>
        <v>1.4588739099294446E-2</v>
      </c>
      <c r="T6" s="60">
        <f>((O6-H6)/H6)</f>
        <v>0</v>
      </c>
      <c r="U6" s="61">
        <f>P6-I6</f>
        <v>4.3999999999999994E-3</v>
      </c>
      <c r="V6" s="62">
        <f>Q6-J6</f>
        <v>-0.30509999999999998</v>
      </c>
    </row>
    <row r="7" spans="1:25">
      <c r="A7" s="173">
        <v>2</v>
      </c>
      <c r="B7" s="134" t="s">
        <v>20</v>
      </c>
      <c r="C7" s="135" t="s">
        <v>21</v>
      </c>
      <c r="D7" s="36">
        <v>637160680.28000021</v>
      </c>
      <c r="E7" s="33">
        <f t="shared" si="0"/>
        <v>1.9749878710336243E-2</v>
      </c>
      <c r="F7" s="36">
        <v>261.85989999999998</v>
      </c>
      <c r="G7" s="36">
        <v>264.827</v>
      </c>
      <c r="H7" s="35">
        <v>460</v>
      </c>
      <c r="I7" s="54">
        <v>1.0135999999999999E-2</v>
      </c>
      <c r="J7" s="54">
        <v>0.35232671711507391</v>
      </c>
      <c r="K7" s="36">
        <v>647034038.29999995</v>
      </c>
      <c r="L7" s="33">
        <f t="shared" ref="L7:L23" si="1">(K7/$K$24)</f>
        <v>1.93655382019189E-2</v>
      </c>
      <c r="M7" s="36">
        <v>265.96679999999998</v>
      </c>
      <c r="N7" s="36">
        <v>268.9957</v>
      </c>
      <c r="O7" s="35">
        <v>460</v>
      </c>
      <c r="P7" s="54">
        <v>-8.1799999999999998E-3</v>
      </c>
      <c r="Q7" s="54">
        <v>3.2800000000000003E-2</v>
      </c>
      <c r="R7" s="60">
        <f t="shared" ref="R7:R24" si="2">((K7-D7)/D7)</f>
        <v>1.5495868350917222E-2</v>
      </c>
      <c r="S7" s="60">
        <f t="shared" ref="S7:S24" si="3">((N7-G7)/G7)</f>
        <v>1.5741219739679117E-2</v>
      </c>
      <c r="T7" s="60">
        <f t="shared" ref="T7:T24" si="4">((O7-H7)/H7)</f>
        <v>0</v>
      </c>
      <c r="U7" s="61">
        <f t="shared" ref="U7:U24" si="5">P7-I7</f>
        <v>-1.8315999999999999E-2</v>
      </c>
      <c r="V7" s="62">
        <f t="shared" ref="V7:V24" si="6">Q7-J7</f>
        <v>-0.31952671711507391</v>
      </c>
    </row>
    <row r="8" spans="1:25">
      <c r="A8" s="173">
        <v>3</v>
      </c>
      <c r="B8" s="134" t="s">
        <v>22</v>
      </c>
      <c r="C8" s="135" t="s">
        <v>23</v>
      </c>
      <c r="D8" s="36">
        <v>3945355206.5500002</v>
      </c>
      <c r="E8" s="33">
        <f t="shared" si="0"/>
        <v>0.12229299329066264</v>
      </c>
      <c r="F8" s="36">
        <v>35.723599999999998</v>
      </c>
      <c r="G8" s="36">
        <v>36.800699999999999</v>
      </c>
      <c r="H8" s="37">
        <v>6620</v>
      </c>
      <c r="I8" s="55">
        <v>0.58679999999999999</v>
      </c>
      <c r="J8" s="55">
        <v>0.16800000000000001</v>
      </c>
      <c r="K8" s="36">
        <v>3991659685.2600002</v>
      </c>
      <c r="L8" s="33">
        <f t="shared" si="1"/>
        <v>0.11946919875662143</v>
      </c>
      <c r="M8" s="36">
        <v>36.290199999999999</v>
      </c>
      <c r="N8" s="36">
        <v>37.384399999999999</v>
      </c>
      <c r="O8" s="37">
        <v>6620</v>
      </c>
      <c r="P8" s="55">
        <v>0.82699999999999996</v>
      </c>
      <c r="Q8" s="55">
        <v>0.85970000000000002</v>
      </c>
      <c r="R8" s="60">
        <f t="shared" si="2"/>
        <v>1.1736453699562022E-2</v>
      </c>
      <c r="S8" s="60">
        <f t="shared" si="3"/>
        <v>1.5861111337556088E-2</v>
      </c>
      <c r="T8" s="60">
        <f t="shared" si="4"/>
        <v>0</v>
      </c>
      <c r="U8" s="61">
        <f t="shared" si="5"/>
        <v>0.24019999999999997</v>
      </c>
      <c r="V8" s="62">
        <f t="shared" si="6"/>
        <v>0.69169999999999998</v>
      </c>
      <c r="X8" s="63"/>
      <c r="Y8" s="63"/>
    </row>
    <row r="9" spans="1:25">
      <c r="A9" s="173">
        <v>4</v>
      </c>
      <c r="B9" s="134" t="s">
        <v>24</v>
      </c>
      <c r="C9" s="135" t="s">
        <v>25</v>
      </c>
      <c r="D9" s="36">
        <v>650704325.63999999</v>
      </c>
      <c r="E9" s="33">
        <f t="shared" si="0"/>
        <v>2.0169687027821022E-2</v>
      </c>
      <c r="F9" s="36">
        <v>220.87739999999999</v>
      </c>
      <c r="G9" s="36">
        <v>220.87739999999999</v>
      </c>
      <c r="H9" s="35">
        <v>1882</v>
      </c>
      <c r="I9" s="54">
        <v>8.6999999999999994E-3</v>
      </c>
      <c r="J9" s="54">
        <v>8.6999999999999994E-3</v>
      </c>
      <c r="K9" s="36">
        <v>654420698.13</v>
      </c>
      <c r="L9" s="33">
        <f t="shared" si="1"/>
        <v>1.9586618755112487E-2</v>
      </c>
      <c r="M9" s="36">
        <v>222.58080000000001</v>
      </c>
      <c r="N9" s="36">
        <v>222.58080000000001</v>
      </c>
      <c r="O9" s="35">
        <v>1894</v>
      </c>
      <c r="P9" s="54">
        <v>7.7000000000000002E-3</v>
      </c>
      <c r="Q9" s="54">
        <v>1.6500000000000001E-2</v>
      </c>
      <c r="R9" s="60">
        <f t="shared" si="2"/>
        <v>5.7113074918393588E-3</v>
      </c>
      <c r="S9" s="60">
        <f t="shared" si="3"/>
        <v>7.711970532068995E-3</v>
      </c>
      <c r="T9" s="60">
        <f t="shared" si="4"/>
        <v>6.376195536663124E-3</v>
      </c>
      <c r="U9" s="61">
        <f t="shared" si="5"/>
        <v>-9.9999999999999915E-4</v>
      </c>
      <c r="V9" s="62">
        <f t="shared" si="6"/>
        <v>7.8000000000000014E-3</v>
      </c>
    </row>
    <row r="10" spans="1:25">
      <c r="A10" s="173">
        <v>5</v>
      </c>
      <c r="B10" s="134" t="s">
        <v>26</v>
      </c>
      <c r="C10" s="135" t="s">
        <v>27</v>
      </c>
      <c r="D10" s="36">
        <v>975615058.30999994</v>
      </c>
      <c r="E10" s="33">
        <f t="shared" si="0"/>
        <v>3.0240847663626509E-2</v>
      </c>
      <c r="F10" s="36">
        <v>1.2544999999999999</v>
      </c>
      <c r="G10" s="36">
        <v>1.2704</v>
      </c>
      <c r="H10" s="35">
        <v>496</v>
      </c>
      <c r="I10" s="54">
        <v>8.3999999999999995E-3</v>
      </c>
      <c r="J10" s="54">
        <v>1.2699999999999999E-2</v>
      </c>
      <c r="K10" s="36">
        <v>986766885.75</v>
      </c>
      <c r="L10" s="33">
        <f t="shared" si="1"/>
        <v>2.9533642268013225E-2</v>
      </c>
      <c r="M10" s="36">
        <v>1.2608999999999999</v>
      </c>
      <c r="N10" s="36">
        <v>1.2768999999999999</v>
      </c>
      <c r="O10" s="35">
        <v>496</v>
      </c>
      <c r="P10" s="54">
        <v>5.1000000000000004E-3</v>
      </c>
      <c r="Q10" s="54">
        <v>1.7899999999999999E-2</v>
      </c>
      <c r="R10" s="60">
        <f t="shared" si="2"/>
        <v>1.1430561003555753E-2</v>
      </c>
      <c r="S10" s="60">
        <f t="shared" si="3"/>
        <v>5.1164987405541169E-3</v>
      </c>
      <c r="T10" s="60">
        <f t="shared" si="4"/>
        <v>0</v>
      </c>
      <c r="U10" s="61">
        <f t="shared" si="5"/>
        <v>-3.2999999999999991E-3</v>
      </c>
      <c r="V10" s="62">
        <f t="shared" si="6"/>
        <v>5.1999999999999998E-3</v>
      </c>
    </row>
    <row r="11" spans="1:25">
      <c r="A11" s="173">
        <v>6</v>
      </c>
      <c r="B11" s="134" t="s">
        <v>28</v>
      </c>
      <c r="C11" s="135" t="s">
        <v>29</v>
      </c>
      <c r="D11" s="38">
        <v>95906837.659999996</v>
      </c>
      <c r="E11" s="33">
        <f t="shared" si="0"/>
        <v>2.972795512812443E-3</v>
      </c>
      <c r="F11" s="36">
        <v>172.9933</v>
      </c>
      <c r="G11" s="36">
        <v>173.80070000000001</v>
      </c>
      <c r="H11" s="37">
        <v>63</v>
      </c>
      <c r="I11" s="55">
        <v>2.464E-3</v>
      </c>
      <c r="J11" s="55">
        <v>6.4999999999999997E-3</v>
      </c>
      <c r="K11" s="38">
        <v>96433645.829999998</v>
      </c>
      <c r="L11" s="33">
        <f t="shared" si="1"/>
        <v>2.8862306180641967E-3</v>
      </c>
      <c r="M11" s="36">
        <v>173.94300000000001</v>
      </c>
      <c r="N11" s="36">
        <v>174.7568</v>
      </c>
      <c r="O11" s="37">
        <v>63</v>
      </c>
      <c r="P11" s="55">
        <v>3.8200000000000002E-4</v>
      </c>
      <c r="Q11" s="55">
        <v>1.2E-2</v>
      </c>
      <c r="R11" s="60">
        <f t="shared" si="2"/>
        <v>5.4929156549566689E-3</v>
      </c>
      <c r="S11" s="60">
        <f t="shared" si="3"/>
        <v>5.5011285915418763E-3</v>
      </c>
      <c r="T11" s="60">
        <f t="shared" si="4"/>
        <v>0</v>
      </c>
      <c r="U11" s="61">
        <f t="shared" si="5"/>
        <v>-2.0820000000000001E-3</v>
      </c>
      <c r="V11" s="62">
        <f t="shared" si="6"/>
        <v>5.5000000000000005E-3</v>
      </c>
    </row>
    <row r="12" spans="1:25">
      <c r="A12" s="173">
        <v>7</v>
      </c>
      <c r="B12" s="134" t="s">
        <v>30</v>
      </c>
      <c r="C12" s="135" t="s">
        <v>31</v>
      </c>
      <c r="D12" s="36">
        <v>1214811700.5799999</v>
      </c>
      <c r="E12" s="33">
        <f t="shared" si="0"/>
        <v>3.7655154319643294E-2</v>
      </c>
      <c r="F12" s="36">
        <v>330.16</v>
      </c>
      <c r="G12" s="36">
        <v>334.7</v>
      </c>
      <c r="H12" s="37">
        <v>1640</v>
      </c>
      <c r="I12" s="55">
        <v>2.8199999999999999E-2</v>
      </c>
      <c r="J12" s="55">
        <v>1.9599999999999999E-2</v>
      </c>
      <c r="K12" s="36">
        <v>1217866641.3900001</v>
      </c>
      <c r="L12" s="33">
        <f t="shared" si="1"/>
        <v>3.645038989084156E-2</v>
      </c>
      <c r="M12" s="36">
        <v>334.32</v>
      </c>
      <c r="N12" s="36">
        <v>338.24</v>
      </c>
      <c r="O12" s="37">
        <v>1645</v>
      </c>
      <c r="P12" s="55">
        <v>1.15E-2</v>
      </c>
      <c r="Q12" s="55">
        <v>3.2399999999999998E-2</v>
      </c>
      <c r="R12" s="60">
        <f t="shared" si="2"/>
        <v>2.5147443085554986E-3</v>
      </c>
      <c r="S12" s="60">
        <f t="shared" si="3"/>
        <v>1.0576635793247746E-2</v>
      </c>
      <c r="T12" s="60">
        <f t="shared" si="4"/>
        <v>3.0487804878048782E-3</v>
      </c>
      <c r="U12" s="61">
        <f t="shared" si="5"/>
        <v>-1.67E-2</v>
      </c>
      <c r="V12" s="62">
        <f t="shared" si="6"/>
        <v>1.2799999999999999E-2</v>
      </c>
    </row>
    <row r="13" spans="1:25">
      <c r="A13" s="173">
        <v>8</v>
      </c>
      <c r="B13" s="134" t="s">
        <v>32</v>
      </c>
      <c r="C13" s="135" t="s">
        <v>33</v>
      </c>
      <c r="D13" s="32">
        <v>413032073.66000003</v>
      </c>
      <c r="E13" s="33">
        <f t="shared" si="0"/>
        <v>1.280263144090895E-2</v>
      </c>
      <c r="F13" s="36">
        <v>207.21</v>
      </c>
      <c r="G13" s="36">
        <v>216</v>
      </c>
      <c r="H13" s="35">
        <v>2465</v>
      </c>
      <c r="I13" s="54">
        <v>6.7000000000000002E-3</v>
      </c>
      <c r="J13" s="54">
        <v>0.64829999999999999</v>
      </c>
      <c r="K13" s="32">
        <v>433732198.97000003</v>
      </c>
      <c r="L13" s="33">
        <f t="shared" si="1"/>
        <v>1.2981476972408338E-2</v>
      </c>
      <c r="M13" s="36">
        <v>217.44</v>
      </c>
      <c r="N13" s="36">
        <v>226.49</v>
      </c>
      <c r="O13" s="35">
        <v>2466</v>
      </c>
      <c r="P13" s="54">
        <v>6.7000000000000002E-3</v>
      </c>
      <c r="Q13" s="54">
        <v>0.72970000000000002</v>
      </c>
      <c r="R13" s="60">
        <f t="shared" si="2"/>
        <v>5.0117476656401129E-2</v>
      </c>
      <c r="S13" s="60">
        <f t="shared" si="3"/>
        <v>4.8564814814814859E-2</v>
      </c>
      <c r="T13" s="60">
        <f t="shared" si="4"/>
        <v>4.0567951318458417E-4</v>
      </c>
      <c r="U13" s="61">
        <f t="shared" si="5"/>
        <v>0</v>
      </c>
      <c r="V13" s="62">
        <f t="shared" si="6"/>
        <v>8.1400000000000028E-2</v>
      </c>
    </row>
    <row r="14" spans="1:25">
      <c r="A14" s="173">
        <v>9</v>
      </c>
      <c r="B14" s="134" t="s">
        <v>34</v>
      </c>
      <c r="C14" s="135" t="s">
        <v>35</v>
      </c>
      <c r="D14" s="38">
        <v>60338797</v>
      </c>
      <c r="E14" s="33">
        <f t="shared" si="0"/>
        <v>1.8703036128248137E-3</v>
      </c>
      <c r="F14" s="36">
        <v>214.83</v>
      </c>
      <c r="G14" s="36">
        <v>221.68</v>
      </c>
      <c r="H14" s="35">
        <v>16</v>
      </c>
      <c r="I14" s="54">
        <v>2.1100000000000001E-2</v>
      </c>
      <c r="J14" s="54">
        <v>0.19270000000000001</v>
      </c>
      <c r="K14" s="38">
        <v>63378121.259999998</v>
      </c>
      <c r="L14" s="33">
        <f t="shared" si="1"/>
        <v>1.8968885031938796E-3</v>
      </c>
      <c r="M14" s="36">
        <v>225.62</v>
      </c>
      <c r="N14" s="36">
        <v>232.87</v>
      </c>
      <c r="O14" s="35">
        <v>16</v>
      </c>
      <c r="P14" s="54">
        <v>1.4E-2</v>
      </c>
      <c r="Q14" s="54">
        <v>3.1899999999999998E-2</v>
      </c>
      <c r="R14" s="60">
        <f t="shared" si="2"/>
        <v>5.0370978725346446E-2</v>
      </c>
      <c r="S14" s="60">
        <f t="shared" si="3"/>
        <v>5.0478166726813413E-2</v>
      </c>
      <c r="T14" s="60">
        <f t="shared" si="4"/>
        <v>0</v>
      </c>
      <c r="U14" s="61">
        <f t="shared" si="5"/>
        <v>-7.1000000000000004E-3</v>
      </c>
      <c r="V14" s="62">
        <f t="shared" si="6"/>
        <v>-0.1608</v>
      </c>
    </row>
    <row r="15" spans="1:25" ht="14.25" customHeight="1">
      <c r="A15" s="173">
        <v>10</v>
      </c>
      <c r="B15" s="134" t="s">
        <v>36</v>
      </c>
      <c r="C15" s="135" t="s">
        <v>37</v>
      </c>
      <c r="D15" s="32">
        <v>616438500.24000001</v>
      </c>
      <c r="E15" s="33">
        <f t="shared" si="0"/>
        <v>1.9107559504097867E-2</v>
      </c>
      <c r="F15" s="36">
        <v>2.1179410000000001</v>
      </c>
      <c r="G15" s="36">
        <v>2.1550410000000002</v>
      </c>
      <c r="H15" s="35">
        <v>473</v>
      </c>
      <c r="I15" s="54">
        <v>1.3505165048506518E-2</v>
      </c>
      <c r="J15" s="54">
        <v>-2.3621893121912318E-3</v>
      </c>
      <c r="K15" s="32">
        <v>634388872.21000004</v>
      </c>
      <c r="L15" s="33">
        <f t="shared" si="1"/>
        <v>1.898707210509825E-2</v>
      </c>
      <c r="M15" s="36">
        <v>2.1862409999999999</v>
      </c>
      <c r="N15" s="36">
        <v>2.2156660000000001</v>
      </c>
      <c r="O15" s="35">
        <v>476</v>
      </c>
      <c r="P15" s="54">
        <v>3.2248301534367529E-2</v>
      </c>
      <c r="Q15" s="54">
        <v>4.3717688778216246E-2</v>
      </c>
      <c r="R15" s="60">
        <f t="shared" si="2"/>
        <v>2.911948550100513E-2</v>
      </c>
      <c r="S15" s="60">
        <f t="shared" si="3"/>
        <v>2.8131715359475725E-2</v>
      </c>
      <c r="T15" s="60">
        <f t="shared" si="4"/>
        <v>6.3424947145877377E-3</v>
      </c>
      <c r="U15" s="61">
        <f t="shared" si="5"/>
        <v>1.8743136485861012E-2</v>
      </c>
      <c r="V15" s="62">
        <f t="shared" si="6"/>
        <v>4.6079878090407478E-2</v>
      </c>
    </row>
    <row r="16" spans="1:25" ht="14.25" customHeight="1">
      <c r="A16" s="173">
        <v>11</v>
      </c>
      <c r="B16" s="134" t="s">
        <v>38</v>
      </c>
      <c r="C16" s="135" t="s">
        <v>39</v>
      </c>
      <c r="D16" s="32">
        <v>15571492.949999999</v>
      </c>
      <c r="E16" s="33">
        <f t="shared" si="0"/>
        <v>4.8266490167944709E-4</v>
      </c>
      <c r="F16" s="36">
        <v>13.44</v>
      </c>
      <c r="G16" s="36">
        <v>14.23</v>
      </c>
      <c r="H16" s="35">
        <v>28</v>
      </c>
      <c r="I16" s="54">
        <v>5.0700000000000002E-2</v>
      </c>
      <c r="J16" s="54">
        <v>1.0261</v>
      </c>
      <c r="K16" s="32">
        <v>16091262.140000001</v>
      </c>
      <c r="L16" s="33">
        <f t="shared" si="1"/>
        <v>4.8160673665328756E-4</v>
      </c>
      <c r="M16" s="36">
        <v>13.89</v>
      </c>
      <c r="N16" s="36">
        <v>14.7</v>
      </c>
      <c r="O16" s="35">
        <v>28</v>
      </c>
      <c r="P16" s="54">
        <v>0.1182</v>
      </c>
      <c r="Q16" s="54">
        <v>1.1112</v>
      </c>
      <c r="R16" s="60">
        <f t="shared" ref="R16" si="7">((K16-D16)/D16)</f>
        <v>3.3379534747822709E-2</v>
      </c>
      <c r="S16" s="60">
        <f t="shared" ref="S16" si="8">((N16-G16)/G16)</f>
        <v>3.3028812368236037E-2</v>
      </c>
      <c r="T16" s="60">
        <f t="shared" ref="T16" si="9">((O16-H16)/H16)</f>
        <v>0</v>
      </c>
      <c r="U16" s="61">
        <f t="shared" ref="U16" si="10">P16-I16</f>
        <v>6.7500000000000004E-2</v>
      </c>
      <c r="V16" s="62">
        <f t="shared" ref="V16" si="11">Q16-J16</f>
        <v>8.5099999999999953E-2</v>
      </c>
    </row>
    <row r="17" spans="1:22">
      <c r="A17" s="173">
        <v>12</v>
      </c>
      <c r="B17" s="134" t="s">
        <v>40</v>
      </c>
      <c r="C17" s="135" t="s">
        <v>41</v>
      </c>
      <c r="D17" s="139">
        <v>1781877464.71</v>
      </c>
      <c r="E17" s="33">
        <f t="shared" si="0"/>
        <v>5.5232321914840836E-2</v>
      </c>
      <c r="F17" s="36">
        <v>3.63</v>
      </c>
      <c r="G17" s="36">
        <v>3.7</v>
      </c>
      <c r="H17" s="35">
        <v>3660</v>
      </c>
      <c r="I17" s="54">
        <v>-8.0000000000000002E-3</v>
      </c>
      <c r="J17" s="54">
        <v>-3.5000000000000001E-3</v>
      </c>
      <c r="K17" s="139">
        <v>1817587297.8800001</v>
      </c>
      <c r="L17" s="33">
        <f t="shared" si="1"/>
        <v>5.4399852509919633E-2</v>
      </c>
      <c r="M17" s="36">
        <v>3.7</v>
      </c>
      <c r="N17" s="36">
        <v>3.78</v>
      </c>
      <c r="O17" s="35">
        <v>3660</v>
      </c>
      <c r="P17" s="54">
        <v>9.2999999999999992E-3</v>
      </c>
      <c r="Q17" s="54">
        <v>1.6400000000000001E-2</v>
      </c>
      <c r="R17" s="60">
        <f t="shared" si="2"/>
        <v>2.0040566131640167E-2</v>
      </c>
      <c r="S17" s="60">
        <f t="shared" si="3"/>
        <v>2.1621621621621519E-2</v>
      </c>
      <c r="T17" s="60">
        <f t="shared" si="4"/>
        <v>0</v>
      </c>
      <c r="U17" s="61">
        <f t="shared" si="5"/>
        <v>1.7299999999999999E-2</v>
      </c>
      <c r="V17" s="62">
        <f t="shared" si="6"/>
        <v>1.9900000000000001E-2</v>
      </c>
    </row>
    <row r="18" spans="1:22">
      <c r="A18" s="173">
        <v>13</v>
      </c>
      <c r="B18" s="134" t="s">
        <v>42</v>
      </c>
      <c r="C18" s="135" t="s">
        <v>43</v>
      </c>
      <c r="D18" s="36">
        <v>788700140.06000006</v>
      </c>
      <c r="E18" s="33">
        <f t="shared" si="0"/>
        <v>2.4447101943210016E-2</v>
      </c>
      <c r="F18" s="36">
        <v>24.750945999999999</v>
      </c>
      <c r="G18" s="36">
        <v>24.890263999999998</v>
      </c>
      <c r="H18" s="35">
        <v>381</v>
      </c>
      <c r="I18" s="54">
        <v>2.3121327548185633E-2</v>
      </c>
      <c r="J18" s="54">
        <v>1.8876277169201483E-2</v>
      </c>
      <c r="K18" s="36">
        <v>828153913.03000009</v>
      </c>
      <c r="L18" s="33">
        <f t="shared" si="1"/>
        <v>2.4786402709180453E-2</v>
      </c>
      <c r="M18" s="36">
        <v>25.014645999999999</v>
      </c>
      <c r="N18" s="36">
        <v>25.155991</v>
      </c>
      <c r="O18" s="35">
        <v>405</v>
      </c>
      <c r="P18" s="54">
        <v>1.0654138229706511E-2</v>
      </c>
      <c r="Q18" s="54">
        <v>2.9731525865130726E-2</v>
      </c>
      <c r="R18" s="60">
        <f t="shared" si="2"/>
        <v>5.0023793538313051E-2</v>
      </c>
      <c r="S18" s="60">
        <f t="shared" si="3"/>
        <v>1.067594140423749E-2</v>
      </c>
      <c r="T18" s="60">
        <f t="shared" si="4"/>
        <v>6.2992125984251968E-2</v>
      </c>
      <c r="U18" s="61">
        <f t="shared" si="5"/>
        <v>-1.2467189318479122E-2</v>
      </c>
      <c r="V18" s="62">
        <f t="shared" si="6"/>
        <v>1.0855248695929243E-2</v>
      </c>
    </row>
    <row r="19" spans="1:22">
      <c r="A19" s="173">
        <v>14</v>
      </c>
      <c r="B19" s="134" t="s">
        <v>44</v>
      </c>
      <c r="C19" s="135" t="s">
        <v>45</v>
      </c>
      <c r="D19" s="36">
        <v>129651269.72</v>
      </c>
      <c r="E19" s="33">
        <f t="shared" si="0"/>
        <v>4.0187615633874895E-3</v>
      </c>
      <c r="F19" s="36">
        <v>1.4006479999999999</v>
      </c>
      <c r="G19" s="36">
        <v>1.4562349999999999</v>
      </c>
      <c r="H19" s="35">
        <v>22</v>
      </c>
      <c r="I19" s="54">
        <v>4.7999999999999996E-3</v>
      </c>
      <c r="J19" s="54">
        <v>-0.34200000000000003</v>
      </c>
      <c r="K19" s="36">
        <v>132478113.09999999</v>
      </c>
      <c r="L19" s="33">
        <f t="shared" si="1"/>
        <v>3.9650309076424096E-3</v>
      </c>
      <c r="M19" s="36">
        <v>1.431187</v>
      </c>
      <c r="N19" s="36">
        <v>1.4834609999999999</v>
      </c>
      <c r="O19" s="35">
        <v>22</v>
      </c>
      <c r="P19" s="54">
        <v>8.9999999999999998E-4</v>
      </c>
      <c r="Q19" s="54">
        <v>-0.3286</v>
      </c>
      <c r="R19" s="60">
        <f t="shared" si="2"/>
        <v>2.1803437684065553E-2</v>
      </c>
      <c r="S19" s="60">
        <f t="shared" si="3"/>
        <v>1.8696158243690045E-2</v>
      </c>
      <c r="T19" s="60">
        <f t="shared" si="4"/>
        <v>0</v>
      </c>
      <c r="U19" s="61">
        <f t="shared" si="5"/>
        <v>-3.8999999999999998E-3</v>
      </c>
      <c r="V19" s="62">
        <f t="shared" si="6"/>
        <v>1.3400000000000023E-2</v>
      </c>
    </row>
    <row r="20" spans="1:22">
      <c r="A20" s="173">
        <v>15</v>
      </c>
      <c r="B20" s="134" t="s">
        <v>46</v>
      </c>
      <c r="C20" s="135" t="s">
        <v>47</v>
      </c>
      <c r="D20" s="32">
        <v>1773759201.6500001</v>
      </c>
      <c r="E20" s="33">
        <f t="shared" si="0"/>
        <v>5.4980682547039389E-2</v>
      </c>
      <c r="F20" s="36">
        <v>31.12</v>
      </c>
      <c r="G20" s="36">
        <v>31.78</v>
      </c>
      <c r="H20" s="35">
        <v>8944</v>
      </c>
      <c r="I20" s="54">
        <v>-9.1000000000000004E-3</v>
      </c>
      <c r="J20" s="54">
        <v>0.23699999999999999</v>
      </c>
      <c r="K20" s="32">
        <v>2410880411.54</v>
      </c>
      <c r="L20" s="33">
        <f t="shared" si="1"/>
        <v>7.2156940665135061E-2</v>
      </c>
      <c r="M20" s="36">
        <v>32.130000000000003</v>
      </c>
      <c r="N20" s="36">
        <v>32.76</v>
      </c>
      <c r="O20" s="35">
        <v>8944</v>
      </c>
      <c r="P20" s="54">
        <v>2.3599999999999999E-2</v>
      </c>
      <c r="Q20" s="54">
        <v>3.1699999999999999E-2</v>
      </c>
      <c r="R20" s="60">
        <f t="shared" si="2"/>
        <v>0.35919261718125661</v>
      </c>
      <c r="S20" s="60">
        <f t="shared" si="3"/>
        <v>3.0837004405286243E-2</v>
      </c>
      <c r="T20" s="60">
        <f t="shared" si="4"/>
        <v>0</v>
      </c>
      <c r="U20" s="61">
        <f t="shared" si="5"/>
        <v>3.27E-2</v>
      </c>
      <c r="V20" s="62">
        <f t="shared" si="6"/>
        <v>-0.20529999999999998</v>
      </c>
    </row>
    <row r="21" spans="1:22" ht="12.75" customHeight="1">
      <c r="A21" s="173">
        <v>16</v>
      </c>
      <c r="B21" s="134" t="s">
        <v>48</v>
      </c>
      <c r="C21" s="135" t="s">
        <v>49</v>
      </c>
      <c r="D21" s="36">
        <v>770951402.90999997</v>
      </c>
      <c r="E21" s="33">
        <f t="shared" si="0"/>
        <v>2.3896949655375654E-2</v>
      </c>
      <c r="F21" s="36">
        <v>8129.47</v>
      </c>
      <c r="G21" s="36">
        <v>8234.59</v>
      </c>
      <c r="H21" s="35">
        <v>19</v>
      </c>
      <c r="I21" s="54">
        <v>1.52E-2</v>
      </c>
      <c r="J21" s="54">
        <v>1.52E-2</v>
      </c>
      <c r="K21" s="36">
        <v>786109220.64999998</v>
      </c>
      <c r="L21" s="33">
        <f t="shared" si="1"/>
        <v>2.3528017449245636E-2</v>
      </c>
      <c r="M21" s="36" t="s">
        <v>311</v>
      </c>
      <c r="N21" s="36" t="s">
        <v>312</v>
      </c>
      <c r="O21" s="35">
        <v>19</v>
      </c>
      <c r="P21" s="54">
        <v>1.29E-2</v>
      </c>
      <c r="Q21" s="54">
        <v>2.8299999999999999E-2</v>
      </c>
      <c r="R21" s="60">
        <f t="shared" si="2"/>
        <v>1.9661184457004634E-2</v>
      </c>
      <c r="S21" s="60" t="e">
        <f t="shared" si="3"/>
        <v>#VALUE!</v>
      </c>
      <c r="T21" s="60">
        <f t="shared" si="4"/>
        <v>0</v>
      </c>
      <c r="U21" s="61">
        <f t="shared" si="5"/>
        <v>-2.3E-3</v>
      </c>
      <c r="V21" s="62">
        <f t="shared" si="6"/>
        <v>1.3099999999999999E-2</v>
      </c>
    </row>
    <row r="22" spans="1:22">
      <c r="A22" s="173">
        <v>17</v>
      </c>
      <c r="B22" s="134" t="s">
        <v>50</v>
      </c>
      <c r="C22" s="135" t="s">
        <v>49</v>
      </c>
      <c r="D22" s="36">
        <v>13202092507.84</v>
      </c>
      <c r="E22" s="33">
        <f t="shared" si="0"/>
        <v>0.40922130605720491</v>
      </c>
      <c r="F22" s="36">
        <v>25688.91</v>
      </c>
      <c r="G22" s="36">
        <v>26063.18</v>
      </c>
      <c r="H22" s="35">
        <v>17452</v>
      </c>
      <c r="I22" s="54">
        <v>1.41E-2</v>
      </c>
      <c r="J22" s="54">
        <v>1.41E-2</v>
      </c>
      <c r="K22" s="36">
        <v>13435218016.530001</v>
      </c>
      <c r="L22" s="33">
        <f t="shared" si="1"/>
        <v>0.40211211829567944</v>
      </c>
      <c r="M22" s="36">
        <v>26123.52</v>
      </c>
      <c r="N22" s="36" t="s">
        <v>313</v>
      </c>
      <c r="O22" s="35">
        <v>17472</v>
      </c>
      <c r="P22" s="54">
        <v>1.6899999999999998E-2</v>
      </c>
      <c r="Q22" s="54">
        <v>3.1199999999999999E-2</v>
      </c>
      <c r="R22" s="60">
        <f t="shared" si="2"/>
        <v>1.7658224145267885E-2</v>
      </c>
      <c r="S22" s="60" t="e">
        <f t="shared" si="3"/>
        <v>#VALUE!</v>
      </c>
      <c r="T22" s="60">
        <f t="shared" si="4"/>
        <v>1.1460004584001834E-3</v>
      </c>
      <c r="U22" s="61">
        <f t="shared" si="5"/>
        <v>2.7999999999999987E-3</v>
      </c>
      <c r="V22" s="62">
        <f t="shared" si="6"/>
        <v>1.7099999999999997E-2</v>
      </c>
    </row>
    <row r="23" spans="1:22">
      <c r="A23" s="173">
        <v>18</v>
      </c>
      <c r="B23" s="135" t="s">
        <v>51</v>
      </c>
      <c r="C23" s="135" t="s">
        <v>52</v>
      </c>
      <c r="D23" s="36">
        <v>3836004119.2600002</v>
      </c>
      <c r="E23" s="33">
        <f t="shared" si="0"/>
        <v>0.1189034704000288</v>
      </c>
      <c r="F23" s="36">
        <v>1.5163</v>
      </c>
      <c r="G23" s="34">
        <v>1.5308999999999999</v>
      </c>
      <c r="H23" s="35">
        <v>4582</v>
      </c>
      <c r="I23" s="54">
        <v>2.01E-2</v>
      </c>
      <c r="J23" s="54">
        <v>1.6500000000000001E-2</v>
      </c>
      <c r="K23" s="36">
        <v>3878071885.5599999</v>
      </c>
      <c r="L23" s="33">
        <f t="shared" si="1"/>
        <v>0.1160695493654678</v>
      </c>
      <c r="M23" s="36">
        <v>1.5379</v>
      </c>
      <c r="N23" s="34">
        <v>1.5528</v>
      </c>
      <c r="O23" s="35">
        <v>4595</v>
      </c>
      <c r="P23" s="54">
        <v>1.4200000000000001E-2</v>
      </c>
      <c r="Q23" s="54">
        <v>3.09E-2</v>
      </c>
      <c r="R23" s="60">
        <f t="shared" si="2"/>
        <v>1.0966559209043542E-2</v>
      </c>
      <c r="S23" s="60">
        <f t="shared" si="3"/>
        <v>1.4305310601606919E-2</v>
      </c>
      <c r="T23" s="60">
        <f t="shared" si="4"/>
        <v>2.8371890004364906E-3</v>
      </c>
      <c r="U23" s="61">
        <f t="shared" si="5"/>
        <v>-5.899999999999999E-3</v>
      </c>
      <c r="V23" s="62">
        <f t="shared" si="6"/>
        <v>1.44E-2</v>
      </c>
    </row>
    <row r="24" spans="1:22">
      <c r="A24" s="39"/>
      <c r="B24" s="40"/>
      <c r="C24" s="41" t="s">
        <v>53</v>
      </c>
      <c r="D24" s="42">
        <f>SUM(D6:D23)</f>
        <v>32261498393.230003</v>
      </c>
      <c r="E24" s="43">
        <f>(D24/$D$211)</f>
        <v>8.3073396092236441E-3</v>
      </c>
      <c r="F24" s="44"/>
      <c r="G24" s="45"/>
      <c r="H24" s="46">
        <f>SUM(H6:H23)</f>
        <v>51151</v>
      </c>
      <c r="I24" s="56"/>
      <c r="J24" s="35">
        <v>0</v>
      </c>
      <c r="K24" s="42">
        <f>SUM(K6:K23)</f>
        <v>33411621797.110004</v>
      </c>
      <c r="L24" s="43">
        <f>(K24/$K$211)</f>
        <v>8.4285201795187108E-3</v>
      </c>
      <c r="M24" s="44"/>
      <c r="N24" s="45"/>
      <c r="O24" s="46">
        <f>SUM(O6:O23)</f>
        <v>51229</v>
      </c>
      <c r="P24" s="56"/>
      <c r="Q24" s="46"/>
      <c r="R24" s="60">
        <f t="shared" si="2"/>
        <v>3.5650030567747952E-2</v>
      </c>
      <c r="S24" s="60" t="e">
        <f t="shared" si="3"/>
        <v>#DIV/0!</v>
      </c>
      <c r="T24" s="60">
        <f t="shared" si="4"/>
        <v>1.5248968739614084E-3</v>
      </c>
      <c r="U24" s="61">
        <f t="shared" si="5"/>
        <v>0</v>
      </c>
      <c r="V24" s="62">
        <f t="shared" si="6"/>
        <v>0</v>
      </c>
    </row>
    <row r="25" spans="1:22" ht="4.5" customHeight="1">
      <c r="A25" s="39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</row>
    <row r="26" spans="1:22" ht="15" customHeight="1">
      <c r="A26" s="184" t="s">
        <v>54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</row>
    <row r="27" spans="1:22">
      <c r="A27" s="133">
        <v>19</v>
      </c>
      <c r="B27" s="134" t="s">
        <v>55</v>
      </c>
      <c r="C27" s="135" t="s">
        <v>19</v>
      </c>
      <c r="D27" s="48">
        <v>1807392944.6300001</v>
      </c>
      <c r="E27" s="33">
        <f>(D27/$K$65)</f>
        <v>1.0062518942658256E-3</v>
      </c>
      <c r="F27" s="34">
        <v>100</v>
      </c>
      <c r="G27" s="34">
        <v>100</v>
      </c>
      <c r="H27" s="35">
        <v>876</v>
      </c>
      <c r="I27" s="54">
        <v>0.21490000000000001</v>
      </c>
      <c r="J27" s="54">
        <v>0.21490000000000001</v>
      </c>
      <c r="K27" s="48">
        <v>1927766464.5699999</v>
      </c>
      <c r="L27" s="33">
        <f t="shared" ref="L27:L64" si="12">(K27/$K$65)</f>
        <v>1.0732689105814816E-3</v>
      </c>
      <c r="M27" s="34">
        <v>100</v>
      </c>
      <c r="N27" s="34">
        <v>100</v>
      </c>
      <c r="O27" s="35">
        <v>876</v>
      </c>
      <c r="P27" s="54">
        <v>0.20749999999999999</v>
      </c>
      <c r="Q27" s="54">
        <v>0.20749999999999999</v>
      </c>
      <c r="R27" s="60">
        <f>((K27-D27)/D27)</f>
        <v>6.6600636180220371E-2</v>
      </c>
      <c r="S27" s="60">
        <f>((N27-G27)/G27)</f>
        <v>0</v>
      </c>
      <c r="T27" s="60">
        <f>((O27-H27)/H27)</f>
        <v>0</v>
      </c>
      <c r="U27" s="61">
        <f>P27-I27</f>
        <v>-7.4000000000000177E-3</v>
      </c>
      <c r="V27" s="62">
        <f>Q27-J27</f>
        <v>-7.4000000000000177E-3</v>
      </c>
    </row>
    <row r="28" spans="1:22">
      <c r="A28" s="133">
        <v>20</v>
      </c>
      <c r="B28" s="134" t="s">
        <v>56</v>
      </c>
      <c r="C28" s="135" t="s">
        <v>57</v>
      </c>
      <c r="D28" s="48">
        <v>11141321034.309999</v>
      </c>
      <c r="E28" s="33">
        <f t="shared" ref="E28:E64" si="13">(D28/$K$65)</f>
        <v>6.2028433986684485E-3</v>
      </c>
      <c r="F28" s="34">
        <v>100</v>
      </c>
      <c r="G28" s="34">
        <v>100</v>
      </c>
      <c r="H28" s="35">
        <v>1950</v>
      </c>
      <c r="I28" s="54">
        <v>0.22925799999999999</v>
      </c>
      <c r="J28" s="54">
        <v>0.22925799999999999</v>
      </c>
      <c r="K28" s="48">
        <v>11787979057.25</v>
      </c>
      <c r="L28" s="33">
        <f t="shared" si="12"/>
        <v>6.5628651982770434E-3</v>
      </c>
      <c r="M28" s="34">
        <v>100</v>
      </c>
      <c r="N28" s="34">
        <v>100</v>
      </c>
      <c r="O28" s="35">
        <v>1980</v>
      </c>
      <c r="P28" s="54">
        <v>0.22958899999999999</v>
      </c>
      <c r="Q28" s="54">
        <v>0.22958899999999999</v>
      </c>
      <c r="R28" s="60">
        <f t="shared" ref="R28:R65" si="14">((K28-D28)/D28)</f>
        <v>5.8041413666171153E-2</v>
      </c>
      <c r="S28" s="60">
        <f t="shared" ref="S28:S65" si="15">((N28-G28)/G28)</f>
        <v>0</v>
      </c>
      <c r="T28" s="60">
        <f t="shared" ref="T28:T65" si="16">((O28-H28)/H28)</f>
        <v>1.5384615384615385E-2</v>
      </c>
      <c r="U28" s="61">
        <f t="shared" ref="U28:U65" si="17">P28-I28</f>
        <v>3.3099999999999796E-4</v>
      </c>
      <c r="V28" s="62">
        <f t="shared" ref="V28:V65" si="18">Q28-J28</f>
        <v>3.3099999999999796E-4</v>
      </c>
    </row>
    <row r="29" spans="1:22">
      <c r="A29" s="133">
        <v>21</v>
      </c>
      <c r="B29" s="134" t="s">
        <v>58</v>
      </c>
      <c r="C29" s="135" t="s">
        <v>21</v>
      </c>
      <c r="D29" s="48">
        <v>1153436438.9800003</v>
      </c>
      <c r="E29" s="33">
        <f t="shared" si="13"/>
        <v>6.4216672145771562E-4</v>
      </c>
      <c r="F29" s="34">
        <v>100</v>
      </c>
      <c r="G29" s="34">
        <v>100</v>
      </c>
      <c r="H29" s="35">
        <v>1804</v>
      </c>
      <c r="I29" s="54">
        <v>0.23627756237136621</v>
      </c>
      <c r="J29" s="54">
        <v>0.23627756237136621</v>
      </c>
      <c r="K29" s="48">
        <v>1210220601.4300001</v>
      </c>
      <c r="L29" s="33">
        <f t="shared" si="12"/>
        <v>6.7378086004300699E-4</v>
      </c>
      <c r="M29" s="34">
        <v>100</v>
      </c>
      <c r="N29" s="34">
        <v>100</v>
      </c>
      <c r="O29" s="35">
        <v>1814</v>
      </c>
      <c r="P29" s="54">
        <v>0.2293</v>
      </c>
      <c r="Q29" s="54">
        <v>0.2293</v>
      </c>
      <c r="R29" s="60">
        <f t="shared" si="14"/>
        <v>4.923042183426668E-2</v>
      </c>
      <c r="S29" s="60">
        <f t="shared" si="15"/>
        <v>0</v>
      </c>
      <c r="T29" s="60">
        <f t="shared" si="16"/>
        <v>5.5432372505543242E-3</v>
      </c>
      <c r="U29" s="61">
        <f t="shared" si="17"/>
        <v>-6.9775623713662083E-3</v>
      </c>
      <c r="V29" s="62">
        <f t="shared" si="18"/>
        <v>-6.9775623713662083E-3</v>
      </c>
    </row>
    <row r="30" spans="1:22">
      <c r="A30" s="133">
        <v>22</v>
      </c>
      <c r="B30" s="134" t="s">
        <v>59</v>
      </c>
      <c r="C30" s="135" t="s">
        <v>23</v>
      </c>
      <c r="D30" s="48">
        <v>124503361599.52</v>
      </c>
      <c r="E30" s="33">
        <f t="shared" si="13"/>
        <v>6.9316273378297974E-2</v>
      </c>
      <c r="F30" s="34">
        <v>1</v>
      </c>
      <c r="G30" s="34">
        <v>1</v>
      </c>
      <c r="H30" s="35">
        <v>64115</v>
      </c>
      <c r="I30" s="54">
        <v>0.21820000000000001</v>
      </c>
      <c r="J30" s="54">
        <v>0.21820000000000001</v>
      </c>
      <c r="K30" s="48">
        <v>128893197597.34</v>
      </c>
      <c r="L30" s="33">
        <f t="shared" si="12"/>
        <v>7.1760280256518344E-2</v>
      </c>
      <c r="M30" s="34">
        <v>1</v>
      </c>
      <c r="N30" s="34">
        <v>1</v>
      </c>
      <c r="O30" s="35">
        <v>64350</v>
      </c>
      <c r="P30" s="54">
        <v>0.21390000000000001</v>
      </c>
      <c r="Q30" s="54">
        <v>0.21390000000000001</v>
      </c>
      <c r="R30" s="60"/>
      <c r="S30" s="60">
        <f t="shared" si="15"/>
        <v>0</v>
      </c>
      <c r="T30" s="60">
        <f t="shared" si="16"/>
        <v>3.6652889339468145E-3</v>
      </c>
      <c r="U30" s="61">
        <f t="shared" si="17"/>
        <v>-4.2999999999999983E-3</v>
      </c>
      <c r="V30" s="62">
        <f t="shared" si="18"/>
        <v>-4.2999999999999983E-3</v>
      </c>
    </row>
    <row r="31" spans="1:22">
      <c r="A31" s="133">
        <v>23</v>
      </c>
      <c r="B31" s="134" t="s">
        <v>60</v>
      </c>
      <c r="C31" s="135" t="s">
        <v>25</v>
      </c>
      <c r="D31" s="48">
        <v>83097800581</v>
      </c>
      <c r="E31" s="33">
        <f t="shared" si="13"/>
        <v>4.6264050931698622E-2</v>
      </c>
      <c r="F31" s="34">
        <v>1</v>
      </c>
      <c r="G31" s="34">
        <v>1</v>
      </c>
      <c r="H31" s="35">
        <v>30770</v>
      </c>
      <c r="I31" s="54">
        <v>0.20549999999999999</v>
      </c>
      <c r="J31" s="54">
        <v>0.20549999999999999</v>
      </c>
      <c r="K31" s="48">
        <v>87622717096.440002</v>
      </c>
      <c r="L31" s="33">
        <f t="shared" si="12"/>
        <v>4.8783262832234359E-2</v>
      </c>
      <c r="M31" s="34">
        <v>1</v>
      </c>
      <c r="N31" s="34">
        <v>1</v>
      </c>
      <c r="O31" s="35">
        <v>30931</v>
      </c>
      <c r="P31" s="54">
        <v>0.1948</v>
      </c>
      <c r="Q31" s="54">
        <v>0.1948</v>
      </c>
      <c r="R31" s="60">
        <f t="shared" si="14"/>
        <v>5.4452903492064358E-2</v>
      </c>
      <c r="S31" s="60">
        <f t="shared" si="15"/>
        <v>0</v>
      </c>
      <c r="T31" s="60">
        <f t="shared" si="16"/>
        <v>5.2323691907702309E-3</v>
      </c>
      <c r="U31" s="61">
        <f t="shared" si="17"/>
        <v>-1.0699999999999987E-2</v>
      </c>
      <c r="V31" s="62">
        <f t="shared" si="18"/>
        <v>-1.0699999999999987E-2</v>
      </c>
    </row>
    <row r="32" spans="1:22">
      <c r="A32" s="133">
        <v>24</v>
      </c>
      <c r="B32" s="134" t="s">
        <v>294</v>
      </c>
      <c r="C32" s="135" t="s">
        <v>27</v>
      </c>
      <c r="D32" s="36">
        <v>1851483450.1700001</v>
      </c>
      <c r="E32" s="33">
        <f t="shared" ref="E32" si="19">(D32/$D$24)</f>
        <v>5.7389877791867515E-2</v>
      </c>
      <c r="F32" s="36">
        <v>1</v>
      </c>
      <c r="G32" s="36">
        <v>1</v>
      </c>
      <c r="H32" s="35">
        <v>312</v>
      </c>
      <c r="I32" s="54">
        <v>0.23960000000000001</v>
      </c>
      <c r="J32" s="54">
        <v>0.23960000000000001</v>
      </c>
      <c r="K32" s="36">
        <v>2101444884.48</v>
      </c>
      <c r="L32" s="33">
        <f t="shared" ref="L32" si="20">(K32/$K$24)</f>
        <v>6.289562647514968E-2</v>
      </c>
      <c r="M32" s="36">
        <v>1</v>
      </c>
      <c r="N32" s="36">
        <v>1</v>
      </c>
      <c r="O32" s="35">
        <v>312</v>
      </c>
      <c r="P32" s="54">
        <v>0.2366</v>
      </c>
      <c r="Q32" s="54">
        <v>0.2366</v>
      </c>
      <c r="R32" s="60">
        <f t="shared" si="14"/>
        <v>0.13500603221003618</v>
      </c>
      <c r="S32" s="60">
        <f t="shared" si="15"/>
        <v>0</v>
      </c>
      <c r="T32" s="60">
        <f t="shared" si="16"/>
        <v>0</v>
      </c>
      <c r="U32" s="61">
        <f t="shared" si="17"/>
        <v>-3.0000000000000027E-3</v>
      </c>
      <c r="V32" s="62">
        <f t="shared" si="18"/>
        <v>-3.0000000000000027E-3</v>
      </c>
    </row>
    <row r="33" spans="1:22" ht="15" customHeight="1">
      <c r="A33" s="133">
        <v>25</v>
      </c>
      <c r="B33" s="134" t="s">
        <v>61</v>
      </c>
      <c r="C33" s="135" t="s">
        <v>47</v>
      </c>
      <c r="D33" s="48">
        <v>12100461352</v>
      </c>
      <c r="E33" s="33">
        <f t="shared" si="13"/>
        <v>6.7368372733318613E-3</v>
      </c>
      <c r="F33" s="34">
        <v>100</v>
      </c>
      <c r="G33" s="34">
        <v>100</v>
      </c>
      <c r="H33" s="35">
        <v>2083</v>
      </c>
      <c r="I33" s="54">
        <v>0.2442</v>
      </c>
      <c r="J33" s="54">
        <v>0.2442</v>
      </c>
      <c r="K33" s="48">
        <v>13308179311</v>
      </c>
      <c r="L33" s="33">
        <f t="shared" si="12"/>
        <v>7.4092248067641059E-3</v>
      </c>
      <c r="M33" s="34">
        <v>100</v>
      </c>
      <c r="N33" s="34">
        <v>100</v>
      </c>
      <c r="O33" s="35">
        <v>2083</v>
      </c>
      <c r="P33" s="54">
        <v>0.2339</v>
      </c>
      <c r="Q33" s="54">
        <v>0.2339</v>
      </c>
      <c r="R33" s="60">
        <f t="shared" si="14"/>
        <v>9.9807596079829211E-2</v>
      </c>
      <c r="S33" s="60">
        <f t="shared" si="15"/>
        <v>0</v>
      </c>
      <c r="T33" s="60">
        <f t="shared" si="16"/>
        <v>0</v>
      </c>
      <c r="U33" s="61">
        <f t="shared" si="17"/>
        <v>-1.0300000000000004E-2</v>
      </c>
      <c r="V33" s="62">
        <f t="shared" si="18"/>
        <v>-1.0300000000000004E-2</v>
      </c>
    </row>
    <row r="34" spans="1:22" ht="15" customHeight="1">
      <c r="A34" s="133">
        <v>26</v>
      </c>
      <c r="B34" s="134" t="s">
        <v>62</v>
      </c>
      <c r="C34" s="135" t="s">
        <v>63</v>
      </c>
      <c r="D34" s="48">
        <v>347617067.49000001</v>
      </c>
      <c r="E34" s="33">
        <f t="shared" si="13"/>
        <v>1.9353308514355802E-4</v>
      </c>
      <c r="F34" s="34">
        <v>1</v>
      </c>
      <c r="G34" s="34">
        <v>1</v>
      </c>
      <c r="H34" s="35">
        <v>292</v>
      </c>
      <c r="I34" s="54">
        <v>0.21049999999999999</v>
      </c>
      <c r="J34" s="54">
        <v>0.21049999999999999</v>
      </c>
      <c r="K34" s="48">
        <v>349817943.56</v>
      </c>
      <c r="L34" s="33">
        <f t="shared" si="12"/>
        <v>1.9475840569217574E-4</v>
      </c>
      <c r="M34" s="34">
        <v>1</v>
      </c>
      <c r="N34" s="34">
        <v>1</v>
      </c>
      <c r="O34" s="35">
        <v>296</v>
      </c>
      <c r="P34" s="54">
        <v>0.215</v>
      </c>
      <c r="Q34" s="54">
        <v>0.215</v>
      </c>
      <c r="R34" s="60">
        <f t="shared" si="14"/>
        <v>6.3313233895320922E-3</v>
      </c>
      <c r="S34" s="60">
        <f t="shared" si="15"/>
        <v>0</v>
      </c>
      <c r="T34" s="60">
        <f t="shared" si="16"/>
        <v>1.3698630136986301E-2</v>
      </c>
      <c r="U34" s="61">
        <f t="shared" si="17"/>
        <v>4.500000000000004E-3</v>
      </c>
      <c r="V34" s="62">
        <f t="shared" si="18"/>
        <v>4.500000000000004E-3</v>
      </c>
    </row>
    <row r="35" spans="1:22">
      <c r="A35" s="133">
        <v>27</v>
      </c>
      <c r="B35" s="134" t="s">
        <v>64</v>
      </c>
      <c r="C35" s="135" t="s">
        <v>65</v>
      </c>
      <c r="D35" s="48">
        <v>35245452728.190002</v>
      </c>
      <c r="E35" s="33">
        <f t="shared" si="13"/>
        <v>1.9622630307023898E-2</v>
      </c>
      <c r="F35" s="34">
        <v>100</v>
      </c>
      <c r="G35" s="34">
        <v>100</v>
      </c>
      <c r="H35" s="35">
        <v>3335</v>
      </c>
      <c r="I35" s="54">
        <v>0.22500150718335199</v>
      </c>
      <c r="J35" s="54">
        <v>0.22500150718335199</v>
      </c>
      <c r="K35" s="48">
        <v>36167175916.829994</v>
      </c>
      <c r="L35" s="33">
        <f t="shared" si="12"/>
        <v>2.0135792487563225E-2</v>
      </c>
      <c r="M35" s="34">
        <v>100</v>
      </c>
      <c r="N35" s="34">
        <v>100</v>
      </c>
      <c r="O35" s="35">
        <v>3384</v>
      </c>
      <c r="P35" s="54">
        <v>0.22675240792770199</v>
      </c>
      <c r="Q35" s="54">
        <v>0.22675240792770199</v>
      </c>
      <c r="R35" s="60">
        <f t="shared" si="14"/>
        <v>2.6151549130273465E-2</v>
      </c>
      <c r="S35" s="60">
        <f t="shared" si="15"/>
        <v>0</v>
      </c>
      <c r="T35" s="60">
        <f t="shared" si="16"/>
        <v>1.4692653673163419E-2</v>
      </c>
      <c r="U35" s="61">
        <f t="shared" si="17"/>
        <v>1.750900744349998E-3</v>
      </c>
      <c r="V35" s="62">
        <f t="shared" si="18"/>
        <v>1.750900744349998E-3</v>
      </c>
    </row>
    <row r="36" spans="1:22">
      <c r="A36" s="133">
        <v>28</v>
      </c>
      <c r="B36" s="134" t="s">
        <v>66</v>
      </c>
      <c r="C36" s="135" t="s">
        <v>67</v>
      </c>
      <c r="D36" s="48">
        <v>16994552657.860001</v>
      </c>
      <c r="E36" s="33">
        <f t="shared" si="13"/>
        <v>9.4615843527444624E-3</v>
      </c>
      <c r="F36" s="34">
        <v>100</v>
      </c>
      <c r="G36" s="34">
        <v>100</v>
      </c>
      <c r="H36" s="35">
        <v>6479</v>
      </c>
      <c r="I36" s="54">
        <v>0.22320000000000001</v>
      </c>
      <c r="J36" s="54">
        <v>0.22320000000000001</v>
      </c>
      <c r="K36" s="48">
        <v>17752735471.91</v>
      </c>
      <c r="L36" s="33">
        <f t="shared" si="12"/>
        <v>9.8836967080595303E-3</v>
      </c>
      <c r="M36" s="34">
        <v>100</v>
      </c>
      <c r="N36" s="34">
        <v>100</v>
      </c>
      <c r="O36" s="35">
        <v>6502</v>
      </c>
      <c r="P36" s="54">
        <v>0.20960000000000001</v>
      </c>
      <c r="Q36" s="54">
        <v>0.20960000000000001</v>
      </c>
      <c r="R36" s="60">
        <f t="shared" si="14"/>
        <v>4.4613284580888264E-2</v>
      </c>
      <c r="S36" s="60">
        <f t="shared" si="15"/>
        <v>0</v>
      </c>
      <c r="T36" s="60">
        <f t="shared" si="16"/>
        <v>3.549930544837166E-3</v>
      </c>
      <c r="U36" s="61">
        <f t="shared" si="17"/>
        <v>-1.3600000000000001E-2</v>
      </c>
      <c r="V36" s="62">
        <f t="shared" si="18"/>
        <v>-1.3600000000000001E-2</v>
      </c>
    </row>
    <row r="37" spans="1:22">
      <c r="A37" s="133">
        <v>29</v>
      </c>
      <c r="B37" s="134" t="s">
        <v>68</v>
      </c>
      <c r="C37" s="135" t="s">
        <v>69</v>
      </c>
      <c r="D37" s="48">
        <v>44514190.369999997</v>
      </c>
      <c r="E37" s="33">
        <f t="shared" si="13"/>
        <v>2.478292753914216E-5</v>
      </c>
      <c r="F37" s="34">
        <v>100</v>
      </c>
      <c r="G37" s="34">
        <v>100</v>
      </c>
      <c r="H37" s="35">
        <v>0</v>
      </c>
      <c r="I37" s="54">
        <v>0</v>
      </c>
      <c r="J37" s="54">
        <v>0</v>
      </c>
      <c r="K37" s="48">
        <v>44514190.369999997</v>
      </c>
      <c r="L37" s="33">
        <f t="shared" si="12"/>
        <v>2.478292753914216E-5</v>
      </c>
      <c r="M37" s="34">
        <v>100</v>
      </c>
      <c r="N37" s="34">
        <v>100</v>
      </c>
      <c r="O37" s="35">
        <v>0</v>
      </c>
      <c r="P37" s="54">
        <v>0</v>
      </c>
      <c r="Q37" s="54">
        <v>0</v>
      </c>
      <c r="R37" s="60">
        <f t="shared" si="14"/>
        <v>0</v>
      </c>
      <c r="S37" s="60">
        <f t="shared" si="15"/>
        <v>0</v>
      </c>
      <c r="T37" s="60" t="e">
        <f t="shared" si="16"/>
        <v>#DIV/0!</v>
      </c>
      <c r="U37" s="61">
        <f t="shared" si="17"/>
        <v>0</v>
      </c>
      <c r="V37" s="62">
        <f t="shared" si="18"/>
        <v>0</v>
      </c>
    </row>
    <row r="38" spans="1:22">
      <c r="A38" s="133">
        <v>30</v>
      </c>
      <c r="B38" s="134" t="s">
        <v>70</v>
      </c>
      <c r="C38" s="135" t="s">
        <v>71</v>
      </c>
      <c r="D38" s="48">
        <v>9445771889.0799999</v>
      </c>
      <c r="E38" s="33">
        <f t="shared" si="13"/>
        <v>5.258859665480997E-3</v>
      </c>
      <c r="F38" s="34">
        <v>1</v>
      </c>
      <c r="G38" s="34">
        <v>1</v>
      </c>
      <c r="H38" s="35">
        <v>3577</v>
      </c>
      <c r="I38" s="54">
        <v>0.23710000000000001</v>
      </c>
      <c r="J38" s="54">
        <v>0.23710000000000001</v>
      </c>
      <c r="K38" s="48">
        <v>11094793410.799999</v>
      </c>
      <c r="L38" s="33">
        <f t="shared" si="12"/>
        <v>6.1769395079668008E-3</v>
      </c>
      <c r="M38" s="34">
        <v>1</v>
      </c>
      <c r="N38" s="34">
        <v>1</v>
      </c>
      <c r="O38" s="35">
        <v>3678</v>
      </c>
      <c r="P38" s="54">
        <v>0.224</v>
      </c>
      <c r="Q38" s="54">
        <v>0.224</v>
      </c>
      <c r="R38" s="60">
        <f t="shared" si="14"/>
        <v>0.17457774135180928</v>
      </c>
      <c r="S38" s="60">
        <f t="shared" si="15"/>
        <v>0</v>
      </c>
      <c r="T38" s="60">
        <f t="shared" si="16"/>
        <v>2.8235951915012582E-2</v>
      </c>
      <c r="U38" s="61">
        <f t="shared" si="17"/>
        <v>-1.3100000000000001E-2</v>
      </c>
      <c r="V38" s="62">
        <f t="shared" si="18"/>
        <v>-1.3100000000000001E-2</v>
      </c>
    </row>
    <row r="39" spans="1:22">
      <c r="A39" s="133">
        <v>31</v>
      </c>
      <c r="B39" s="134" t="s">
        <v>72</v>
      </c>
      <c r="C39" s="135" t="s">
        <v>73</v>
      </c>
      <c r="D39" s="48">
        <v>30795322120.049999</v>
      </c>
      <c r="E39" s="33">
        <f t="shared" si="13"/>
        <v>1.7145054875806358E-2</v>
      </c>
      <c r="F39" s="49">
        <v>100</v>
      </c>
      <c r="G39" s="49">
        <v>100</v>
      </c>
      <c r="H39" s="35">
        <v>3003</v>
      </c>
      <c r="I39" s="54">
        <v>0.23649999999999999</v>
      </c>
      <c r="J39" s="54">
        <v>0.23649999999999999</v>
      </c>
      <c r="K39" s="48">
        <v>31209480629.830002</v>
      </c>
      <c r="L39" s="33">
        <f t="shared" si="12"/>
        <v>1.7375634388817434E-2</v>
      </c>
      <c r="M39" s="49">
        <v>100</v>
      </c>
      <c r="N39" s="49">
        <v>100</v>
      </c>
      <c r="O39" s="35">
        <v>3046</v>
      </c>
      <c r="P39" s="54">
        <v>0.246</v>
      </c>
      <c r="Q39" s="54">
        <v>0.246</v>
      </c>
      <c r="R39" s="60">
        <f t="shared" si="14"/>
        <v>1.3448747448248161E-2</v>
      </c>
      <c r="S39" s="60">
        <f t="shared" si="15"/>
        <v>0</v>
      </c>
      <c r="T39" s="60">
        <f t="shared" si="16"/>
        <v>1.431901431901432E-2</v>
      </c>
      <c r="U39" s="61">
        <f t="shared" si="17"/>
        <v>9.5000000000000084E-3</v>
      </c>
      <c r="V39" s="62">
        <f t="shared" si="18"/>
        <v>9.5000000000000084E-3</v>
      </c>
    </row>
    <row r="40" spans="1:22">
      <c r="A40" s="133">
        <v>32</v>
      </c>
      <c r="B40" s="134" t="s">
        <v>74</v>
      </c>
      <c r="C40" s="135" t="s">
        <v>73</v>
      </c>
      <c r="D40" s="48">
        <v>1795385048.1600001</v>
      </c>
      <c r="E40" s="33">
        <f t="shared" si="13"/>
        <v>9.995665917670051E-4</v>
      </c>
      <c r="F40" s="49">
        <v>1000000</v>
      </c>
      <c r="G40" s="49">
        <v>1000000</v>
      </c>
      <c r="H40" s="35">
        <v>4</v>
      </c>
      <c r="I40" s="54">
        <v>0.24640000000000001</v>
      </c>
      <c r="J40" s="54">
        <v>0.24640000000000001</v>
      </c>
      <c r="K40" s="48">
        <v>1970438076.95</v>
      </c>
      <c r="L40" s="33">
        <f t="shared" si="12"/>
        <v>1.0970259972273753E-3</v>
      </c>
      <c r="M40" s="49">
        <v>1000000</v>
      </c>
      <c r="N40" s="49">
        <v>1000000</v>
      </c>
      <c r="O40" s="35">
        <v>6</v>
      </c>
      <c r="P40" s="54">
        <v>0.25</v>
      </c>
      <c r="Q40" s="54">
        <v>0.25</v>
      </c>
      <c r="R40" s="60">
        <f t="shared" si="14"/>
        <v>9.7501663484054868E-2</v>
      </c>
      <c r="S40" s="60">
        <f t="shared" si="15"/>
        <v>0</v>
      </c>
      <c r="T40" s="60">
        <f t="shared" si="16"/>
        <v>0.5</v>
      </c>
      <c r="U40" s="61">
        <f t="shared" si="17"/>
        <v>3.5999999999999921E-3</v>
      </c>
      <c r="V40" s="62">
        <f t="shared" si="18"/>
        <v>3.5999999999999921E-3</v>
      </c>
    </row>
    <row r="41" spans="1:22">
      <c r="A41" s="133">
        <v>33</v>
      </c>
      <c r="B41" s="134" t="s">
        <v>75</v>
      </c>
      <c r="C41" s="135" t="s">
        <v>76</v>
      </c>
      <c r="D41" s="48">
        <v>3513557088.23</v>
      </c>
      <c r="E41" s="33">
        <f t="shared" si="13"/>
        <v>1.9561454448226421E-3</v>
      </c>
      <c r="F41" s="34">
        <v>1</v>
      </c>
      <c r="G41" s="34">
        <v>1</v>
      </c>
      <c r="H41" s="35">
        <v>754</v>
      </c>
      <c r="I41" s="54">
        <v>0.22509999999999999</v>
      </c>
      <c r="J41" s="54">
        <v>0.22509999999999999</v>
      </c>
      <c r="K41" s="48">
        <v>3517004608.21</v>
      </c>
      <c r="L41" s="33">
        <f t="shared" si="12"/>
        <v>1.9580648246236431E-3</v>
      </c>
      <c r="M41" s="34">
        <v>1</v>
      </c>
      <c r="N41" s="34">
        <v>1</v>
      </c>
      <c r="O41" s="35">
        <v>753</v>
      </c>
      <c r="P41" s="54">
        <v>0.22950000000000001</v>
      </c>
      <c r="Q41" s="54">
        <v>0.22950000000000001</v>
      </c>
      <c r="R41" s="60">
        <f t="shared" si="14"/>
        <v>9.8120505613778211E-4</v>
      </c>
      <c r="S41" s="60">
        <f t="shared" si="15"/>
        <v>0</v>
      </c>
      <c r="T41" s="60">
        <f t="shared" si="16"/>
        <v>-1.3262599469496021E-3</v>
      </c>
      <c r="U41" s="61">
        <f t="shared" si="17"/>
        <v>4.400000000000015E-3</v>
      </c>
      <c r="V41" s="62">
        <f t="shared" si="18"/>
        <v>4.400000000000015E-3</v>
      </c>
    </row>
    <row r="42" spans="1:22">
      <c r="A42" s="133">
        <v>34</v>
      </c>
      <c r="B42" s="134" t="s">
        <v>77</v>
      </c>
      <c r="C42" s="135" t="s">
        <v>31</v>
      </c>
      <c r="D42" s="48">
        <v>364254804804.79999</v>
      </c>
      <c r="E42" s="33">
        <f t="shared" si="13"/>
        <v>0.20279601534313452</v>
      </c>
      <c r="F42" s="34">
        <v>100</v>
      </c>
      <c r="G42" s="34">
        <v>100</v>
      </c>
      <c r="H42" s="35">
        <v>16197</v>
      </c>
      <c r="I42" s="54">
        <v>0.2248</v>
      </c>
      <c r="J42" s="54">
        <v>0.2248</v>
      </c>
      <c r="K42" s="48">
        <v>377143248073.32001</v>
      </c>
      <c r="L42" s="33">
        <f t="shared" si="12"/>
        <v>0.20997155538915413</v>
      </c>
      <c r="M42" s="34">
        <v>100</v>
      </c>
      <c r="N42" s="34">
        <v>100</v>
      </c>
      <c r="O42" s="35">
        <v>15200</v>
      </c>
      <c r="P42" s="54">
        <v>0.22559999999999999</v>
      </c>
      <c r="Q42" s="54">
        <v>0.22559999999999999</v>
      </c>
      <c r="R42" s="60">
        <f t="shared" si="14"/>
        <v>3.5383042580390364E-2</v>
      </c>
      <c r="S42" s="60">
        <f t="shared" si="15"/>
        <v>0</v>
      </c>
      <c r="T42" s="60">
        <f t="shared" si="16"/>
        <v>-6.1554608878187318E-2</v>
      </c>
      <c r="U42" s="61">
        <f t="shared" si="17"/>
        <v>7.9999999999999516E-4</v>
      </c>
      <c r="V42" s="62">
        <f t="shared" si="18"/>
        <v>7.9999999999999516E-4</v>
      </c>
    </row>
    <row r="43" spans="1:22">
      <c r="A43" s="133">
        <v>35</v>
      </c>
      <c r="B43" s="134" t="s">
        <v>78</v>
      </c>
      <c r="C43" s="135" t="s">
        <v>79</v>
      </c>
      <c r="D43" s="48">
        <v>748066409.85000002</v>
      </c>
      <c r="E43" s="33">
        <f t="shared" si="13"/>
        <v>4.1648012635254344E-4</v>
      </c>
      <c r="F43" s="34">
        <v>1</v>
      </c>
      <c r="G43" s="34">
        <v>1</v>
      </c>
      <c r="H43" s="50">
        <v>788</v>
      </c>
      <c r="I43" s="57">
        <v>0.22550000000000001</v>
      </c>
      <c r="J43" s="57">
        <v>0.22550000000000001</v>
      </c>
      <c r="K43" s="48">
        <v>752990852.25</v>
      </c>
      <c r="L43" s="33">
        <f t="shared" si="12"/>
        <v>4.1922177116637631E-4</v>
      </c>
      <c r="M43" s="34">
        <v>1</v>
      </c>
      <c r="N43" s="34">
        <v>1</v>
      </c>
      <c r="O43" s="50">
        <v>802</v>
      </c>
      <c r="P43" s="57">
        <v>0.2266</v>
      </c>
      <c r="Q43" s="57">
        <v>0.2266</v>
      </c>
      <c r="R43" s="60">
        <f t="shared" si="14"/>
        <v>6.5828946937844862E-3</v>
      </c>
      <c r="S43" s="60">
        <f t="shared" si="15"/>
        <v>0</v>
      </c>
      <c r="T43" s="60">
        <f t="shared" si="16"/>
        <v>1.7766497461928935E-2</v>
      </c>
      <c r="U43" s="61">
        <f t="shared" si="17"/>
        <v>1.0999999999999899E-3</v>
      </c>
      <c r="V43" s="62">
        <f t="shared" si="18"/>
        <v>1.0999999999999899E-3</v>
      </c>
    </row>
    <row r="44" spans="1:22">
      <c r="A44" s="133">
        <v>36</v>
      </c>
      <c r="B44" s="134" t="s">
        <v>80</v>
      </c>
      <c r="C44" s="135" t="s">
        <v>81</v>
      </c>
      <c r="D44" s="48">
        <v>760316231.23000002</v>
      </c>
      <c r="E44" s="33">
        <f t="shared" si="13"/>
        <v>4.2330011865397764E-4</v>
      </c>
      <c r="F44" s="34">
        <v>10</v>
      </c>
      <c r="G44" s="34">
        <v>10</v>
      </c>
      <c r="H44" s="35">
        <v>403</v>
      </c>
      <c r="I44" s="54">
        <v>0.191</v>
      </c>
      <c r="J44" s="54">
        <v>0.191</v>
      </c>
      <c r="K44" s="48">
        <v>785504432.64999998</v>
      </c>
      <c r="L44" s="33">
        <f t="shared" si="12"/>
        <v>4.3732345290861739E-4</v>
      </c>
      <c r="M44" s="34">
        <v>10</v>
      </c>
      <c r="N44" s="34">
        <v>10</v>
      </c>
      <c r="O44" s="35">
        <v>409</v>
      </c>
      <c r="P44" s="54">
        <v>0.18429999999999999</v>
      </c>
      <c r="Q44" s="54">
        <v>0.18429999999999999</v>
      </c>
      <c r="R44" s="60">
        <f t="shared" si="14"/>
        <v>3.312858569289228E-2</v>
      </c>
      <c r="S44" s="60">
        <f t="shared" si="15"/>
        <v>0</v>
      </c>
      <c r="T44" s="60">
        <f t="shared" si="16"/>
        <v>1.488833746898263E-2</v>
      </c>
      <c r="U44" s="61">
        <f t="shared" si="17"/>
        <v>-6.7000000000000115E-3</v>
      </c>
      <c r="V44" s="62">
        <f t="shared" si="18"/>
        <v>-6.7000000000000115E-3</v>
      </c>
    </row>
    <row r="45" spans="1:22">
      <c r="A45" s="133">
        <v>37</v>
      </c>
      <c r="B45" s="134" t="s">
        <v>82</v>
      </c>
      <c r="C45" s="135" t="s">
        <v>83</v>
      </c>
      <c r="D45" s="48">
        <v>4864991687.0500002</v>
      </c>
      <c r="E45" s="33">
        <f t="shared" si="13"/>
        <v>2.7085460941000407E-3</v>
      </c>
      <c r="F45" s="34">
        <v>100</v>
      </c>
      <c r="G45" s="34">
        <v>100</v>
      </c>
      <c r="H45" s="35">
        <v>725</v>
      </c>
      <c r="I45" s="54">
        <v>0.2056</v>
      </c>
      <c r="J45" s="54">
        <v>0.2056</v>
      </c>
      <c r="K45" s="48">
        <v>4894403790.75</v>
      </c>
      <c r="L45" s="33">
        <f t="shared" si="12"/>
        <v>2.7249210529325407E-3</v>
      </c>
      <c r="M45" s="34">
        <v>100</v>
      </c>
      <c r="N45" s="34">
        <v>100</v>
      </c>
      <c r="O45" s="35">
        <v>729</v>
      </c>
      <c r="P45" s="54">
        <v>0.2084</v>
      </c>
      <c r="Q45" s="54">
        <v>0.2084</v>
      </c>
      <c r="R45" s="60">
        <f t="shared" si="14"/>
        <v>6.0456637116752228E-3</v>
      </c>
      <c r="S45" s="60">
        <f t="shared" si="15"/>
        <v>0</v>
      </c>
      <c r="T45" s="60">
        <f t="shared" si="16"/>
        <v>5.5172413793103444E-3</v>
      </c>
      <c r="U45" s="61">
        <f t="shared" si="17"/>
        <v>2.7999999999999969E-3</v>
      </c>
      <c r="V45" s="62">
        <f t="shared" si="18"/>
        <v>2.7999999999999969E-3</v>
      </c>
    </row>
    <row r="46" spans="1:22">
      <c r="A46" s="133">
        <v>38</v>
      </c>
      <c r="B46" s="134" t="s">
        <v>84</v>
      </c>
      <c r="C46" s="134" t="s">
        <v>85</v>
      </c>
      <c r="D46" s="36">
        <v>76915106.667425096</v>
      </c>
      <c r="E46" s="33">
        <f>(D46/$D$180)</f>
        <v>1.4072792143755178E-3</v>
      </c>
      <c r="F46" s="36">
        <v>1</v>
      </c>
      <c r="G46" s="36">
        <v>1</v>
      </c>
      <c r="H46" s="35">
        <v>44</v>
      </c>
      <c r="I46" s="54">
        <v>0.167665836881884</v>
      </c>
      <c r="J46" s="54">
        <v>0.167665836881884</v>
      </c>
      <c r="K46" s="36">
        <v>77174059.422622606</v>
      </c>
      <c r="L46" s="58">
        <f>(K46/$K$180)</f>
        <v>1.3981289607619769E-3</v>
      </c>
      <c r="M46" s="36">
        <v>1</v>
      </c>
      <c r="N46" s="36">
        <v>1</v>
      </c>
      <c r="O46" s="35">
        <v>50</v>
      </c>
      <c r="P46" s="54">
        <v>0.15759635710559</v>
      </c>
      <c r="Q46" s="54">
        <v>0.15759635710559</v>
      </c>
      <c r="R46" s="61">
        <f t="shared" si="14"/>
        <v>3.3667346561346082E-3</v>
      </c>
      <c r="S46" s="61">
        <f t="shared" si="15"/>
        <v>0</v>
      </c>
      <c r="T46" s="61">
        <f t="shared" si="16"/>
        <v>0.13636363636363635</v>
      </c>
      <c r="U46" s="61">
        <f t="shared" si="17"/>
        <v>-1.0069479776293994E-2</v>
      </c>
      <c r="V46" s="62">
        <f t="shared" si="18"/>
        <v>-1.0069479776293994E-2</v>
      </c>
    </row>
    <row r="47" spans="1:22">
      <c r="A47" s="133">
        <v>39</v>
      </c>
      <c r="B47" s="134" t="s">
        <v>293</v>
      </c>
      <c r="C47" s="135" t="s">
        <v>37</v>
      </c>
      <c r="D47" s="48">
        <v>160579748.38</v>
      </c>
      <c r="E47" s="33">
        <f t="shared" ref="E47" si="21">(D47/$K$65)</f>
        <v>8.940151972386016E-5</v>
      </c>
      <c r="F47" s="34">
        <v>1</v>
      </c>
      <c r="G47" s="34">
        <v>1</v>
      </c>
      <c r="H47" s="35">
        <v>295</v>
      </c>
      <c r="I47" s="54">
        <v>0.1699</v>
      </c>
      <c r="J47" s="54">
        <v>0.1699</v>
      </c>
      <c r="K47" s="48">
        <v>162948003.91</v>
      </c>
      <c r="L47" s="33">
        <f t="shared" ref="L47" si="22">(K47/$K$65)</f>
        <v>9.0720027478495593E-5</v>
      </c>
      <c r="M47" s="34">
        <v>1</v>
      </c>
      <c r="N47" s="34">
        <v>1</v>
      </c>
      <c r="O47" s="35">
        <v>463</v>
      </c>
      <c r="P47" s="54">
        <v>0.19831572</v>
      </c>
      <c r="Q47" s="54">
        <v>0.19831572</v>
      </c>
      <c r="R47" s="60">
        <f t="shared" ref="R47" si="23">((K47-D47)/D47)</f>
        <v>1.474815818241103E-2</v>
      </c>
      <c r="S47" s="60">
        <f t="shared" ref="S47" si="24">((N47-G47)/G47)</f>
        <v>0</v>
      </c>
      <c r="T47" s="60">
        <f t="shared" ref="T47" si="25">((O47-H47)/H47)</f>
        <v>0.56949152542372883</v>
      </c>
      <c r="U47" s="61">
        <f t="shared" ref="U47" si="26">P47-I47</f>
        <v>2.8415720000000005E-2</v>
      </c>
      <c r="V47" s="62">
        <f t="shared" ref="V47" si="27">Q47-J47</f>
        <v>2.8415720000000005E-2</v>
      </c>
    </row>
    <row r="48" spans="1:22">
      <c r="A48" s="133">
        <v>40</v>
      </c>
      <c r="B48" s="134" t="s">
        <v>86</v>
      </c>
      <c r="C48" s="135" t="s">
        <v>37</v>
      </c>
      <c r="D48" s="48">
        <v>43101003997.110001</v>
      </c>
      <c r="E48" s="33">
        <f t="shared" si="13"/>
        <v>2.3996147072339841E-2</v>
      </c>
      <c r="F48" s="34">
        <v>100</v>
      </c>
      <c r="G48" s="34">
        <v>100</v>
      </c>
      <c r="H48" s="35">
        <v>12999</v>
      </c>
      <c r="I48" s="54">
        <v>0.21144666000000001</v>
      </c>
      <c r="J48" s="54">
        <v>0.21144666000000001</v>
      </c>
      <c r="K48" s="48">
        <v>44577493429.910004</v>
      </c>
      <c r="L48" s="33">
        <f t="shared" si="12"/>
        <v>2.4818171022932736E-2</v>
      </c>
      <c r="M48" s="34">
        <v>100</v>
      </c>
      <c r="N48" s="34">
        <v>100</v>
      </c>
      <c r="O48" s="35">
        <v>13088</v>
      </c>
      <c r="P48" s="54">
        <v>0.19819999999999999</v>
      </c>
      <c r="Q48" s="54">
        <v>0.19819999999999999</v>
      </c>
      <c r="R48" s="60">
        <f t="shared" si="14"/>
        <v>3.425649743330815E-2</v>
      </c>
      <c r="S48" s="60">
        <f t="shared" si="15"/>
        <v>0</v>
      </c>
      <c r="T48" s="60">
        <f t="shared" si="16"/>
        <v>6.8466805138856831E-3</v>
      </c>
      <c r="U48" s="61">
        <f t="shared" si="17"/>
        <v>-1.3246660000000021E-2</v>
      </c>
      <c r="V48" s="62">
        <f t="shared" si="18"/>
        <v>-1.3246660000000021E-2</v>
      </c>
    </row>
    <row r="49" spans="1:22">
      <c r="A49" s="133">
        <v>41</v>
      </c>
      <c r="B49" s="134" t="s">
        <v>87</v>
      </c>
      <c r="C49" s="135" t="s">
        <v>41</v>
      </c>
      <c r="D49" s="48">
        <v>8290076113.1199999</v>
      </c>
      <c r="E49" s="33">
        <f t="shared" si="13"/>
        <v>4.6154350758199868E-3</v>
      </c>
      <c r="F49" s="34">
        <v>1</v>
      </c>
      <c r="G49" s="34">
        <v>1</v>
      </c>
      <c r="H49" s="35">
        <v>1164</v>
      </c>
      <c r="I49" s="54">
        <v>0.2319</v>
      </c>
      <c r="J49" s="54">
        <v>0.2319</v>
      </c>
      <c r="K49" s="48">
        <v>8944878575.3799992</v>
      </c>
      <c r="L49" s="33">
        <f t="shared" si="12"/>
        <v>4.9799912283582139E-3</v>
      </c>
      <c r="M49" s="34">
        <v>1</v>
      </c>
      <c r="N49" s="34">
        <v>1</v>
      </c>
      <c r="O49" s="35">
        <v>1187</v>
      </c>
      <c r="P49" s="54">
        <v>0.2218</v>
      </c>
      <c r="Q49" s="54">
        <v>0.2218</v>
      </c>
      <c r="R49" s="60">
        <f t="shared" si="14"/>
        <v>7.8986302818583168E-2</v>
      </c>
      <c r="S49" s="60">
        <f t="shared" si="15"/>
        <v>0</v>
      </c>
      <c r="T49" s="60">
        <f t="shared" si="16"/>
        <v>1.9759450171821305E-2</v>
      </c>
      <c r="U49" s="61">
        <f t="shared" si="17"/>
        <v>-1.0099999999999998E-2</v>
      </c>
      <c r="V49" s="62">
        <f t="shared" si="18"/>
        <v>-1.0099999999999998E-2</v>
      </c>
    </row>
    <row r="50" spans="1:22">
      <c r="A50" s="133">
        <v>42</v>
      </c>
      <c r="B50" s="134" t="s">
        <v>88</v>
      </c>
      <c r="C50" s="135" t="s">
        <v>43</v>
      </c>
      <c r="D50" s="51">
        <v>17512053908.84</v>
      </c>
      <c r="E50" s="33">
        <f t="shared" si="13"/>
        <v>9.7496991291303806E-3</v>
      </c>
      <c r="F50" s="34">
        <v>10</v>
      </c>
      <c r="G50" s="34">
        <v>10</v>
      </c>
      <c r="H50" s="35">
        <v>3215</v>
      </c>
      <c r="I50" s="54">
        <v>0.23830000000000001</v>
      </c>
      <c r="J50" s="54">
        <v>0.23830000000000001</v>
      </c>
      <c r="K50" s="51">
        <v>18642252325.169998</v>
      </c>
      <c r="L50" s="33">
        <f t="shared" si="12"/>
        <v>1.0378928263119896E-2</v>
      </c>
      <c r="M50" s="34">
        <v>10</v>
      </c>
      <c r="N50" s="34">
        <v>10</v>
      </c>
      <c r="O50" s="35">
        <v>3287</v>
      </c>
      <c r="P50" s="54">
        <v>0.23830000000000001</v>
      </c>
      <c r="Q50" s="54">
        <v>0.23830000000000001</v>
      </c>
      <c r="R50" s="60">
        <f t="shared" si="14"/>
        <v>6.4538312993627736E-2</v>
      </c>
      <c r="S50" s="60">
        <f t="shared" si="15"/>
        <v>0</v>
      </c>
      <c r="T50" s="60">
        <f t="shared" si="16"/>
        <v>2.2395023328149299E-2</v>
      </c>
      <c r="U50" s="61">
        <f t="shared" si="17"/>
        <v>0</v>
      </c>
      <c r="V50" s="62">
        <f t="shared" si="18"/>
        <v>0</v>
      </c>
    </row>
    <row r="51" spans="1:22">
      <c r="A51" s="133">
        <v>43</v>
      </c>
      <c r="B51" s="134" t="s">
        <v>89</v>
      </c>
      <c r="C51" s="135" t="s">
        <v>90</v>
      </c>
      <c r="D51" s="48">
        <v>13166313678</v>
      </c>
      <c r="E51" s="33">
        <f t="shared" si="13"/>
        <v>7.3302422244974179E-3</v>
      </c>
      <c r="F51" s="34">
        <v>100</v>
      </c>
      <c r="G51" s="34">
        <v>100</v>
      </c>
      <c r="H51" s="35">
        <v>3237</v>
      </c>
      <c r="I51" s="54">
        <v>0.2223</v>
      </c>
      <c r="J51" s="54">
        <v>0.2223</v>
      </c>
      <c r="K51" s="48">
        <v>13019919357</v>
      </c>
      <c r="L51" s="33">
        <f t="shared" si="12"/>
        <v>7.248738330585645E-3</v>
      </c>
      <c r="M51" s="34">
        <v>100</v>
      </c>
      <c r="N51" s="34">
        <v>100</v>
      </c>
      <c r="O51" s="35">
        <v>3279</v>
      </c>
      <c r="P51" s="54">
        <v>0.22220000000000001</v>
      </c>
      <c r="Q51" s="54">
        <v>0.22220000000000001</v>
      </c>
      <c r="R51" s="60">
        <f t="shared" si="14"/>
        <v>-1.1118854113632034E-2</v>
      </c>
      <c r="S51" s="60">
        <f t="shared" si="15"/>
        <v>0</v>
      </c>
      <c r="T51" s="60">
        <f t="shared" si="16"/>
        <v>1.2974976830398516E-2</v>
      </c>
      <c r="U51" s="61">
        <f t="shared" si="17"/>
        <v>-9.9999999999988987E-5</v>
      </c>
      <c r="V51" s="62">
        <f t="shared" si="18"/>
        <v>-9.9999999999988987E-5</v>
      </c>
    </row>
    <row r="52" spans="1:22">
      <c r="A52" s="133">
        <v>44</v>
      </c>
      <c r="B52" s="134" t="s">
        <v>91</v>
      </c>
      <c r="C52" s="135" t="s">
        <v>92</v>
      </c>
      <c r="D52" s="48">
        <v>257697463.11000001</v>
      </c>
      <c r="E52" s="33">
        <f t="shared" si="13"/>
        <v>1.4347104827003711E-4</v>
      </c>
      <c r="F52" s="34">
        <v>1</v>
      </c>
      <c r="G52" s="34">
        <v>1</v>
      </c>
      <c r="H52" s="35">
        <v>87</v>
      </c>
      <c r="I52" s="54">
        <v>0.18029999999999999</v>
      </c>
      <c r="J52" s="54">
        <v>0.18029999999999999</v>
      </c>
      <c r="K52" s="48">
        <v>269347463.14999998</v>
      </c>
      <c r="L52" s="33">
        <f t="shared" si="12"/>
        <v>1.4995709472898614E-4</v>
      </c>
      <c r="M52" s="34">
        <v>1</v>
      </c>
      <c r="N52" s="34">
        <v>1</v>
      </c>
      <c r="O52" s="35">
        <v>87</v>
      </c>
      <c r="P52" s="54">
        <v>0.17230000000000001</v>
      </c>
      <c r="Q52" s="54">
        <v>0.17230000000000001</v>
      </c>
      <c r="R52" s="60">
        <f t="shared" si="14"/>
        <v>4.5208050942383844E-2</v>
      </c>
      <c r="S52" s="60">
        <f t="shared" si="15"/>
        <v>0</v>
      </c>
      <c r="T52" s="60">
        <f t="shared" si="16"/>
        <v>0</v>
      </c>
      <c r="U52" s="61">
        <f t="shared" si="17"/>
        <v>-7.9999999999999793E-3</v>
      </c>
      <c r="V52" s="62">
        <f t="shared" si="18"/>
        <v>-7.9999999999999793E-3</v>
      </c>
    </row>
    <row r="53" spans="1:22">
      <c r="A53" s="133">
        <v>45</v>
      </c>
      <c r="B53" s="134" t="s">
        <v>93</v>
      </c>
      <c r="C53" s="135" t="s">
        <v>45</v>
      </c>
      <c r="D53" s="51">
        <v>981680830.69000006</v>
      </c>
      <c r="E53" s="33">
        <f t="shared" si="13"/>
        <v>5.465431290861229E-4</v>
      </c>
      <c r="F53" s="34">
        <v>10</v>
      </c>
      <c r="G53" s="34">
        <v>10</v>
      </c>
      <c r="H53" s="35">
        <v>746</v>
      </c>
      <c r="I53" s="54">
        <v>0.16400000000000001</v>
      </c>
      <c r="J53" s="54">
        <v>0.16400000000000001</v>
      </c>
      <c r="K53" s="51">
        <v>951473751.24000001</v>
      </c>
      <c r="L53" s="33">
        <f t="shared" si="12"/>
        <v>5.2972557371881268E-4</v>
      </c>
      <c r="M53" s="34">
        <v>10</v>
      </c>
      <c r="N53" s="34">
        <v>10</v>
      </c>
      <c r="O53" s="35">
        <v>746</v>
      </c>
      <c r="P53" s="54">
        <v>0</v>
      </c>
      <c r="Q53" s="54">
        <v>0.16400000000000001</v>
      </c>
      <c r="R53" s="60">
        <f t="shared" si="14"/>
        <v>-3.0770774477452321E-2</v>
      </c>
      <c r="S53" s="60">
        <f t="shared" si="15"/>
        <v>0</v>
      </c>
      <c r="T53" s="60">
        <f t="shared" si="16"/>
        <v>0</v>
      </c>
      <c r="U53" s="61">
        <f t="shared" si="17"/>
        <v>-0.16400000000000001</v>
      </c>
      <c r="V53" s="62">
        <f t="shared" si="18"/>
        <v>0</v>
      </c>
    </row>
    <row r="54" spans="1:22">
      <c r="A54" s="133">
        <v>46</v>
      </c>
      <c r="B54" s="134" t="s">
        <v>94</v>
      </c>
      <c r="C54" s="135" t="s">
        <v>95</v>
      </c>
      <c r="D54" s="51">
        <v>716334932.46000004</v>
      </c>
      <c r="E54" s="33">
        <f t="shared" si="13"/>
        <v>3.9881387434773818E-4</v>
      </c>
      <c r="F54" s="34">
        <v>1</v>
      </c>
      <c r="G54" s="34">
        <v>1</v>
      </c>
      <c r="H54" s="35">
        <v>62</v>
      </c>
      <c r="I54" s="54">
        <v>0.21890000000000001</v>
      </c>
      <c r="J54" s="54">
        <v>0.21890000000000001</v>
      </c>
      <c r="K54" s="51">
        <v>745738104.24000001</v>
      </c>
      <c r="L54" s="33">
        <f t="shared" si="12"/>
        <v>4.1518386040359571E-4</v>
      </c>
      <c r="M54" s="34">
        <v>1</v>
      </c>
      <c r="N54" s="34">
        <v>1</v>
      </c>
      <c r="O54" s="35">
        <v>62</v>
      </c>
      <c r="P54" s="54">
        <v>0.21890000000000001</v>
      </c>
      <c r="Q54" s="54">
        <v>0.21890000000000001</v>
      </c>
      <c r="R54" s="60">
        <f t="shared" si="14"/>
        <v>4.1046681444146714E-2</v>
      </c>
      <c r="S54" s="60">
        <f t="shared" si="15"/>
        <v>0</v>
      </c>
      <c r="T54" s="60">
        <f t="shared" si="16"/>
        <v>0</v>
      </c>
      <c r="U54" s="61">
        <f t="shared" si="17"/>
        <v>0</v>
      </c>
      <c r="V54" s="62">
        <f t="shared" si="18"/>
        <v>0</v>
      </c>
    </row>
    <row r="55" spans="1:22">
      <c r="A55" s="133">
        <v>47</v>
      </c>
      <c r="B55" s="134" t="s">
        <v>96</v>
      </c>
      <c r="C55" s="135" t="s">
        <v>97</v>
      </c>
      <c r="D55" s="51">
        <v>5059089221.5411139</v>
      </c>
      <c r="E55" s="33">
        <f t="shared" si="13"/>
        <v>2.8166083792463361E-3</v>
      </c>
      <c r="F55" s="34">
        <v>100</v>
      </c>
      <c r="G55" s="34">
        <v>100</v>
      </c>
      <c r="H55" s="35">
        <v>80</v>
      </c>
      <c r="I55" s="54">
        <v>0.2271</v>
      </c>
      <c r="J55" s="54">
        <v>0.2271</v>
      </c>
      <c r="K55" s="51">
        <v>6072886093.8347998</v>
      </c>
      <c r="L55" s="33">
        <f t="shared" si="12"/>
        <v>3.3810318634572515E-3</v>
      </c>
      <c r="M55" s="34">
        <v>100</v>
      </c>
      <c r="N55" s="34">
        <v>100</v>
      </c>
      <c r="O55" s="35">
        <v>80</v>
      </c>
      <c r="P55" s="54">
        <v>0.2281</v>
      </c>
      <c r="Q55" s="54">
        <v>0.2281</v>
      </c>
      <c r="R55" s="60">
        <f t="shared" si="14"/>
        <v>0.20039118266130523</v>
      </c>
      <c r="S55" s="60">
        <f t="shared" si="15"/>
        <v>0</v>
      </c>
      <c r="T55" s="60">
        <f t="shared" si="16"/>
        <v>0</v>
      </c>
      <c r="U55" s="61">
        <f t="shared" si="17"/>
        <v>1.0000000000000009E-3</v>
      </c>
      <c r="V55" s="62">
        <f t="shared" si="18"/>
        <v>1.0000000000000009E-3</v>
      </c>
    </row>
    <row r="56" spans="1:22">
      <c r="A56" s="133">
        <v>48</v>
      </c>
      <c r="B56" s="134" t="s">
        <v>98</v>
      </c>
      <c r="C56" s="135" t="s">
        <v>99</v>
      </c>
      <c r="D56" s="51">
        <v>58281955.670000002</v>
      </c>
      <c r="E56" s="33">
        <f t="shared" si="13"/>
        <v>3.2448023252884913E-5</v>
      </c>
      <c r="F56" s="34">
        <v>1000</v>
      </c>
      <c r="G56" s="34">
        <v>1000</v>
      </c>
      <c r="H56" s="35">
        <v>21</v>
      </c>
      <c r="I56" s="54">
        <v>0.19</v>
      </c>
      <c r="J56" s="54">
        <v>0.19</v>
      </c>
      <c r="K56" s="51">
        <v>58312540.549999997</v>
      </c>
      <c r="L56" s="33">
        <f t="shared" si="12"/>
        <v>3.2465051145755323E-5</v>
      </c>
      <c r="M56" s="34">
        <v>1000</v>
      </c>
      <c r="N56" s="34">
        <v>1000</v>
      </c>
      <c r="O56" s="35">
        <v>21</v>
      </c>
      <c r="P56" s="54">
        <v>0.19</v>
      </c>
      <c r="Q56" s="54">
        <v>0.19</v>
      </c>
      <c r="R56" s="60">
        <f t="shared" si="14"/>
        <v>5.247744288673289E-4</v>
      </c>
      <c r="S56" s="60">
        <f t="shared" si="15"/>
        <v>0</v>
      </c>
      <c r="T56" s="60">
        <f t="shared" si="16"/>
        <v>0</v>
      </c>
      <c r="U56" s="61">
        <f t="shared" si="17"/>
        <v>0</v>
      </c>
      <c r="V56" s="62">
        <f t="shared" si="18"/>
        <v>0</v>
      </c>
    </row>
    <row r="57" spans="1:22">
      <c r="A57" s="133">
        <v>49</v>
      </c>
      <c r="B57" s="134" t="s">
        <v>100</v>
      </c>
      <c r="C57" s="135" t="s">
        <v>49</v>
      </c>
      <c r="D57" s="48">
        <v>790115030421.88</v>
      </c>
      <c r="E57" s="33">
        <f t="shared" si="13"/>
        <v>0.43989036717894048</v>
      </c>
      <c r="F57" s="34">
        <v>100</v>
      </c>
      <c r="G57" s="34">
        <v>100</v>
      </c>
      <c r="H57" s="35">
        <v>148196</v>
      </c>
      <c r="I57" s="54">
        <v>0.21149999999999999</v>
      </c>
      <c r="J57" s="54">
        <v>0.21149999999999999</v>
      </c>
      <c r="K57" s="48">
        <v>817835090653.02002</v>
      </c>
      <c r="L57" s="33">
        <f t="shared" si="12"/>
        <v>0.45532329403617</v>
      </c>
      <c r="M57" s="34">
        <v>100</v>
      </c>
      <c r="N57" s="34">
        <v>100</v>
      </c>
      <c r="O57" s="35">
        <v>149618</v>
      </c>
      <c r="P57" s="54">
        <v>0.21029999999999999</v>
      </c>
      <c r="Q57" s="54">
        <v>0.21029999999999999</v>
      </c>
      <c r="R57" s="60">
        <f t="shared" si="14"/>
        <v>3.5083575383117259E-2</v>
      </c>
      <c r="S57" s="60">
        <f t="shared" si="15"/>
        <v>0</v>
      </c>
      <c r="T57" s="60">
        <f t="shared" si="16"/>
        <v>9.5954006855785579E-3</v>
      </c>
      <c r="U57" s="61">
        <f t="shared" si="17"/>
        <v>-1.2000000000000066E-3</v>
      </c>
      <c r="V57" s="62">
        <f t="shared" si="18"/>
        <v>-1.2000000000000066E-3</v>
      </c>
    </row>
    <row r="58" spans="1:22">
      <c r="A58" s="133">
        <v>50</v>
      </c>
      <c r="B58" s="134" t="s">
        <v>101</v>
      </c>
      <c r="C58" s="134" t="s">
        <v>102</v>
      </c>
      <c r="D58" s="48">
        <v>1636318832.1199999</v>
      </c>
      <c r="E58" s="33">
        <f t="shared" si="13"/>
        <v>9.1100771934277201E-4</v>
      </c>
      <c r="F58" s="34">
        <v>100</v>
      </c>
      <c r="G58" s="34">
        <v>100</v>
      </c>
      <c r="H58" s="35">
        <v>346</v>
      </c>
      <c r="I58" s="54">
        <v>0.214</v>
      </c>
      <c r="J58" s="54">
        <v>0.214</v>
      </c>
      <c r="K58" s="48">
        <v>1709337155.1500001</v>
      </c>
      <c r="L58" s="33">
        <f t="shared" si="12"/>
        <v>9.5166009993513569E-4</v>
      </c>
      <c r="M58" s="34">
        <v>100</v>
      </c>
      <c r="N58" s="34">
        <v>100</v>
      </c>
      <c r="O58" s="35">
        <v>363</v>
      </c>
      <c r="P58" s="54">
        <v>0.21249999999999999</v>
      </c>
      <c r="Q58" s="54">
        <v>0.21249999999999999</v>
      </c>
      <c r="R58" s="60">
        <f t="shared" si="14"/>
        <v>4.4623530327154111E-2</v>
      </c>
      <c r="S58" s="60">
        <f t="shared" si="15"/>
        <v>0</v>
      </c>
      <c r="T58" s="60">
        <f t="shared" si="16"/>
        <v>4.9132947976878616E-2</v>
      </c>
      <c r="U58" s="61">
        <f t="shared" si="17"/>
        <v>-1.5000000000000013E-3</v>
      </c>
      <c r="V58" s="62">
        <f t="shared" si="18"/>
        <v>-1.5000000000000013E-3</v>
      </c>
    </row>
    <row r="59" spans="1:22">
      <c r="A59" s="133">
        <v>51</v>
      </c>
      <c r="B59" s="134" t="s">
        <v>103</v>
      </c>
      <c r="C59" s="135" t="s">
        <v>104</v>
      </c>
      <c r="D59" s="48">
        <v>3838974974.8400002</v>
      </c>
      <c r="E59" s="33">
        <f t="shared" si="13"/>
        <v>2.1373193095332453E-3</v>
      </c>
      <c r="F59" s="34">
        <v>1</v>
      </c>
      <c r="G59" s="34">
        <v>1</v>
      </c>
      <c r="H59" s="35">
        <v>401</v>
      </c>
      <c r="I59" s="54">
        <v>0.19934255109999999</v>
      </c>
      <c r="J59" s="54">
        <v>0.19934255109999999</v>
      </c>
      <c r="K59" s="48">
        <v>3670947802.77</v>
      </c>
      <c r="L59" s="33">
        <f t="shared" si="12"/>
        <v>2.0437714948834652E-3</v>
      </c>
      <c r="M59" s="34">
        <v>1</v>
      </c>
      <c r="N59" s="34">
        <v>1</v>
      </c>
      <c r="O59" s="35">
        <v>402</v>
      </c>
      <c r="P59" s="54">
        <v>0.20610137120000002</v>
      </c>
      <c r="Q59" s="54">
        <v>0.20610137120000002</v>
      </c>
      <c r="R59" s="60">
        <f t="shared" si="14"/>
        <v>-4.3768759413963923E-2</v>
      </c>
      <c r="S59" s="60">
        <f t="shared" si="15"/>
        <v>0</v>
      </c>
      <c r="T59" s="60">
        <f t="shared" si="16"/>
        <v>2.4937655860349127E-3</v>
      </c>
      <c r="U59" s="61">
        <f t="shared" si="17"/>
        <v>6.7588201000000347E-3</v>
      </c>
      <c r="V59" s="62">
        <f t="shared" si="18"/>
        <v>6.7588201000000347E-3</v>
      </c>
    </row>
    <row r="60" spans="1:22">
      <c r="A60" s="133">
        <v>52</v>
      </c>
      <c r="B60" s="134" t="s">
        <v>105</v>
      </c>
      <c r="C60" s="135" t="s">
        <v>52</v>
      </c>
      <c r="D60" s="48">
        <v>76037104028.080002</v>
      </c>
      <c r="E60" s="33">
        <f t="shared" si="13"/>
        <v>4.2333063316459044E-2</v>
      </c>
      <c r="F60" s="34">
        <v>1</v>
      </c>
      <c r="G60" s="34">
        <v>1</v>
      </c>
      <c r="H60" s="35">
        <v>40899</v>
      </c>
      <c r="I60" s="54">
        <v>0.21240000000000001</v>
      </c>
      <c r="J60" s="54">
        <v>0.21240000000000001</v>
      </c>
      <c r="K60" s="48">
        <v>80153213967.419998</v>
      </c>
      <c r="L60" s="33">
        <f t="shared" si="12"/>
        <v>4.4624675351226148E-2</v>
      </c>
      <c r="M60" s="34">
        <v>1</v>
      </c>
      <c r="N60" s="34">
        <v>1</v>
      </c>
      <c r="O60" s="35">
        <v>41199</v>
      </c>
      <c r="P60" s="54">
        <v>0.21479999999999999</v>
      </c>
      <c r="Q60" s="54">
        <v>0.21479999999999999</v>
      </c>
      <c r="R60" s="60">
        <f t="shared" si="14"/>
        <v>5.413291302914356E-2</v>
      </c>
      <c r="S60" s="60">
        <f t="shared" si="15"/>
        <v>0</v>
      </c>
      <c r="T60" s="60">
        <f t="shared" si="16"/>
        <v>7.3351426685249032E-3</v>
      </c>
      <c r="U60" s="61">
        <f t="shared" si="17"/>
        <v>2.3999999999999855E-3</v>
      </c>
      <c r="V60" s="62">
        <f t="shared" si="18"/>
        <v>2.3999999999999855E-3</v>
      </c>
    </row>
    <row r="61" spans="1:22">
      <c r="A61" s="133">
        <v>53</v>
      </c>
      <c r="B61" s="134" t="s">
        <v>106</v>
      </c>
      <c r="C61" s="135" t="s">
        <v>107</v>
      </c>
      <c r="D61" s="48">
        <v>1546868263.3099999</v>
      </c>
      <c r="E61" s="33">
        <f t="shared" si="13"/>
        <v>8.6120681435658802E-4</v>
      </c>
      <c r="F61" s="34">
        <v>1</v>
      </c>
      <c r="G61" s="34">
        <v>1</v>
      </c>
      <c r="H61" s="35">
        <v>137</v>
      </c>
      <c r="I61" s="54">
        <v>0.2218</v>
      </c>
      <c r="J61" s="54">
        <v>0.2218</v>
      </c>
      <c r="K61" s="48">
        <v>1579244624.3800001</v>
      </c>
      <c r="L61" s="33">
        <f t="shared" si="12"/>
        <v>8.7923210030943944E-4</v>
      </c>
      <c r="M61" s="34">
        <v>1</v>
      </c>
      <c r="N61" s="34">
        <v>1</v>
      </c>
      <c r="O61" s="35">
        <v>141</v>
      </c>
      <c r="P61" s="54">
        <v>0.21840000000000001</v>
      </c>
      <c r="Q61" s="54">
        <v>0.21840000000000001</v>
      </c>
      <c r="R61" s="60">
        <f t="shared" si="14"/>
        <v>2.0930263964897049E-2</v>
      </c>
      <c r="S61" s="60">
        <f t="shared" si="15"/>
        <v>0</v>
      </c>
      <c r="T61" s="60">
        <f t="shared" si="16"/>
        <v>2.9197080291970802E-2</v>
      </c>
      <c r="U61" s="61">
        <f t="shared" si="17"/>
        <v>-3.3999999999999864E-3</v>
      </c>
      <c r="V61" s="62">
        <f t="shared" si="18"/>
        <v>-3.3999999999999864E-3</v>
      </c>
    </row>
    <row r="62" spans="1:22">
      <c r="A62" s="133">
        <v>54</v>
      </c>
      <c r="B62" s="134" t="s">
        <v>108</v>
      </c>
      <c r="C62" s="135" t="s">
        <v>109</v>
      </c>
      <c r="D62" s="48">
        <v>3281094917.4899998</v>
      </c>
      <c r="E62" s="33">
        <f t="shared" si="13"/>
        <v>1.8267239483255662E-3</v>
      </c>
      <c r="F62" s="34">
        <v>1</v>
      </c>
      <c r="G62" s="34">
        <v>1</v>
      </c>
      <c r="H62" s="35">
        <v>328</v>
      </c>
      <c r="I62" s="54">
        <v>0.22450000000000001</v>
      </c>
      <c r="J62" s="54">
        <v>0.22450000000000001</v>
      </c>
      <c r="K62" s="48">
        <v>2748767584.3200002</v>
      </c>
      <c r="L62" s="33">
        <f t="shared" si="12"/>
        <v>1.5303548665698311E-3</v>
      </c>
      <c r="M62" s="34">
        <v>1</v>
      </c>
      <c r="N62" s="34">
        <v>1</v>
      </c>
      <c r="O62" s="35">
        <v>347</v>
      </c>
      <c r="P62" s="54">
        <v>0.20119999999999999</v>
      </c>
      <c r="Q62" s="54">
        <v>0.20119999999999999</v>
      </c>
      <c r="R62" s="60">
        <f t="shared" si="14"/>
        <v>-0.16224076003787904</v>
      </c>
      <c r="S62" s="60">
        <f t="shared" si="15"/>
        <v>0</v>
      </c>
      <c r="T62" s="60">
        <f t="shared" si="16"/>
        <v>5.7926829268292686E-2</v>
      </c>
      <c r="U62" s="61">
        <f t="shared" si="17"/>
        <v>-2.3300000000000015E-2</v>
      </c>
      <c r="V62" s="62">
        <f t="shared" si="18"/>
        <v>-2.3300000000000015E-2</v>
      </c>
    </row>
    <row r="63" spans="1:22">
      <c r="A63" s="133">
        <v>55</v>
      </c>
      <c r="B63" s="134" t="s">
        <v>110</v>
      </c>
      <c r="C63" s="135" t="s">
        <v>111</v>
      </c>
      <c r="D63" s="48">
        <v>3030347053.46</v>
      </c>
      <c r="E63" s="33">
        <f t="shared" si="13"/>
        <v>1.6871220350211246E-3</v>
      </c>
      <c r="F63" s="34">
        <v>1</v>
      </c>
      <c r="G63" s="34">
        <v>1</v>
      </c>
      <c r="H63" s="35">
        <v>1873</v>
      </c>
      <c r="I63" s="54">
        <v>0.23380000000000001</v>
      </c>
      <c r="J63" s="54">
        <v>0.23380000000000001</v>
      </c>
      <c r="K63" s="48">
        <v>3114131461.96</v>
      </c>
      <c r="L63" s="33">
        <f t="shared" si="12"/>
        <v>1.733768349544791E-3</v>
      </c>
      <c r="M63" s="34">
        <v>1</v>
      </c>
      <c r="N63" s="34">
        <v>1</v>
      </c>
      <c r="O63" s="35">
        <v>1957</v>
      </c>
      <c r="P63" s="54">
        <v>0.23100000000000001</v>
      </c>
      <c r="Q63" s="54">
        <v>0.23100000000000001</v>
      </c>
      <c r="R63" s="60">
        <f t="shared" si="14"/>
        <v>2.7648453138176484E-2</v>
      </c>
      <c r="S63" s="60">
        <f t="shared" si="15"/>
        <v>0</v>
      </c>
      <c r="T63" s="60">
        <f t="shared" si="16"/>
        <v>4.4847837693539776E-2</v>
      </c>
      <c r="U63" s="61">
        <f t="shared" si="17"/>
        <v>-2.7999999999999969E-3</v>
      </c>
      <c r="V63" s="62">
        <f t="shared" si="18"/>
        <v>-2.7999999999999969E-3</v>
      </c>
    </row>
    <row r="64" spans="1:22">
      <c r="A64" s="133">
        <v>56</v>
      </c>
      <c r="B64" s="134" t="s">
        <v>112</v>
      </c>
      <c r="C64" s="135" t="s">
        <v>113</v>
      </c>
      <c r="D64" s="48">
        <v>58000080608.230003</v>
      </c>
      <c r="E64" s="33">
        <f t="shared" si="13"/>
        <v>3.2291091515547397E-2</v>
      </c>
      <c r="F64" s="34">
        <v>1</v>
      </c>
      <c r="G64" s="34">
        <v>1</v>
      </c>
      <c r="H64" s="35">
        <v>4305</v>
      </c>
      <c r="I64" s="54">
        <v>0.2213</v>
      </c>
      <c r="J64" s="54">
        <v>0.2213</v>
      </c>
      <c r="K64" s="48">
        <v>59296750854.699997</v>
      </c>
      <c r="L64" s="33">
        <f t="shared" si="12"/>
        <v>3.301300253972464E-2</v>
      </c>
      <c r="M64" s="34">
        <v>1</v>
      </c>
      <c r="N64" s="34">
        <v>1</v>
      </c>
      <c r="O64" s="35">
        <v>4343</v>
      </c>
      <c r="P64" s="54">
        <v>0.22309999999999999</v>
      </c>
      <c r="Q64" s="54">
        <v>0.22309999999999999</v>
      </c>
      <c r="R64" s="60">
        <f t="shared" si="14"/>
        <v>2.2356352489034313E-2</v>
      </c>
      <c r="S64" s="60">
        <f t="shared" si="15"/>
        <v>0</v>
      </c>
      <c r="T64" s="60">
        <f t="shared" si="16"/>
        <v>8.826945412311266E-3</v>
      </c>
      <c r="U64" s="61">
        <f t="shared" si="17"/>
        <v>1.799999999999996E-3</v>
      </c>
      <c r="V64" s="62">
        <f t="shared" si="18"/>
        <v>1.799999999999996E-3</v>
      </c>
    </row>
    <row r="65" spans="1:22">
      <c r="A65" s="39"/>
      <c r="B65" s="40"/>
      <c r="C65" s="41" t="s">
        <v>53</v>
      </c>
      <c r="D65" s="52">
        <f>SUM(D27:D64)</f>
        <v>1731331455377.9688</v>
      </c>
      <c r="E65" s="43">
        <f>(D65/$D$211)</f>
        <v>0.44581805223821852</v>
      </c>
      <c r="F65" s="44"/>
      <c r="G65" s="49"/>
      <c r="H65" s="46">
        <f>SUM(H27:H64)</f>
        <v>355902</v>
      </c>
      <c r="I65" s="59"/>
      <c r="J65" s="59"/>
      <c r="K65" s="52">
        <f>SUM(K27:K64)</f>
        <v>1796163520217.4673</v>
      </c>
      <c r="L65" s="43">
        <f>(K65/$K$211)</f>
        <v>0.45310582550583528</v>
      </c>
      <c r="M65" s="44"/>
      <c r="N65" s="49"/>
      <c r="O65" s="46">
        <f>SUM(O27:O64)</f>
        <v>357871</v>
      </c>
      <c r="P65" s="59"/>
      <c r="Q65" s="59"/>
      <c r="R65" s="60">
        <f t="shared" si="14"/>
        <v>3.7446362242257641E-2</v>
      </c>
      <c r="S65" s="60" t="e">
        <f t="shared" si="15"/>
        <v>#DIV/0!</v>
      </c>
      <c r="T65" s="60">
        <f t="shared" si="16"/>
        <v>5.5324218464633526E-3</v>
      </c>
      <c r="U65" s="61">
        <f t="shared" si="17"/>
        <v>0</v>
      </c>
      <c r="V65" s="62">
        <f t="shared" si="18"/>
        <v>0</v>
      </c>
    </row>
    <row r="66" spans="1:22" ht="3" customHeight="1">
      <c r="A66" s="39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</row>
    <row r="67" spans="1:22" ht="15" customHeight="1">
      <c r="A67" s="184" t="s">
        <v>114</v>
      </c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</row>
    <row r="68" spans="1:22">
      <c r="A68" s="133">
        <v>57</v>
      </c>
      <c r="B68" s="134" t="s">
        <v>115</v>
      </c>
      <c r="C68" s="135" t="s">
        <v>21</v>
      </c>
      <c r="D68" s="32">
        <v>499359608.48000002</v>
      </c>
      <c r="E68" s="33">
        <f>(D68/$D$104)</f>
        <v>2.5405080684317697E-3</v>
      </c>
      <c r="F68" s="64">
        <v>1.3096000000000001</v>
      </c>
      <c r="G68" s="64">
        <v>1.3096000000000001</v>
      </c>
      <c r="H68" s="35">
        <v>466</v>
      </c>
      <c r="I68" s="54">
        <v>4.5800000000000002E-4</v>
      </c>
      <c r="J68" s="54">
        <v>2.3364851136985276E-2</v>
      </c>
      <c r="K68" s="32">
        <v>500687264.13999999</v>
      </c>
      <c r="L68" s="33">
        <f t="shared" ref="L68:L89" si="28">(K68/$K$104)</f>
        <v>2.5207764966794066E-3</v>
      </c>
      <c r="M68" s="64">
        <v>1.3101</v>
      </c>
      <c r="N68" s="64">
        <v>1.3101</v>
      </c>
      <c r="O68" s="35">
        <v>467</v>
      </c>
      <c r="P68" s="54">
        <v>-2.513E-3</v>
      </c>
      <c r="Q68" s="54">
        <v>4.8999999999999998E-3</v>
      </c>
      <c r="R68" s="60">
        <f>((K68-D68)/D68)</f>
        <v>2.6587165590769659E-3</v>
      </c>
      <c r="S68" s="60">
        <f>((N68-G68)/G68)</f>
        <v>3.8179596823453339E-4</v>
      </c>
      <c r="T68" s="60">
        <f>((O68-H68)/H68)</f>
        <v>2.1459227467811159E-3</v>
      </c>
      <c r="U68" s="61">
        <f>P68-I68</f>
        <v>-2.9710000000000001E-3</v>
      </c>
      <c r="V68" s="62">
        <f>Q68-J68</f>
        <v>-1.8464851136985275E-2</v>
      </c>
    </row>
    <row r="69" spans="1:22">
      <c r="A69" s="133">
        <v>58</v>
      </c>
      <c r="B69" s="134" t="s">
        <v>116</v>
      </c>
      <c r="C69" s="135" t="s">
        <v>23</v>
      </c>
      <c r="D69" s="32">
        <v>1264221080.8900001</v>
      </c>
      <c r="E69" s="33">
        <f>(D69/$D$104)</f>
        <v>6.4317654086177723E-3</v>
      </c>
      <c r="F69" s="64">
        <v>1.1828000000000001</v>
      </c>
      <c r="G69" s="64">
        <v>1.1828000000000001</v>
      </c>
      <c r="H69" s="35">
        <v>824</v>
      </c>
      <c r="I69" s="54">
        <v>-1.7928999999999999</v>
      </c>
      <c r="J69" s="54">
        <v>1.9300000000000001E-2</v>
      </c>
      <c r="K69" s="32">
        <v>1314464545.75</v>
      </c>
      <c r="L69" s="33">
        <f t="shared" si="28"/>
        <v>6.6178462484687327E-3</v>
      </c>
      <c r="M69" s="64">
        <v>1.1855</v>
      </c>
      <c r="N69" s="64">
        <v>1.1855</v>
      </c>
      <c r="O69" s="35">
        <v>830</v>
      </c>
      <c r="P69" s="54">
        <v>0.11899999999999999</v>
      </c>
      <c r="Q69" s="54">
        <v>0.13289999999999999</v>
      </c>
      <c r="R69" s="60">
        <f t="shared" ref="R69:R104" si="29">((K69-D69)/D69)</f>
        <v>3.9742625415349786E-2</v>
      </c>
      <c r="S69" s="60">
        <f t="shared" ref="S69:S104" si="30">((N69-G69)/G69)</f>
        <v>2.2827189719309472E-3</v>
      </c>
      <c r="T69" s="60">
        <f t="shared" ref="T69:T104" si="31">((O69-H69)/H69)</f>
        <v>7.2815533980582527E-3</v>
      </c>
      <c r="U69" s="61">
        <f t="shared" ref="U69:U104" si="32">P69-I69</f>
        <v>1.9118999999999999</v>
      </c>
      <c r="V69" s="62">
        <f t="shared" ref="V69:V104" si="33">Q69-J69</f>
        <v>0.11359999999999999</v>
      </c>
    </row>
    <row r="70" spans="1:22">
      <c r="A70" s="133">
        <v>59</v>
      </c>
      <c r="B70" s="134" t="s">
        <v>117</v>
      </c>
      <c r="C70" s="135" t="s">
        <v>23</v>
      </c>
      <c r="D70" s="32">
        <v>811545961.42999995</v>
      </c>
      <c r="E70" s="33">
        <f>(D70/$D$104)</f>
        <v>4.1287661795311337E-3</v>
      </c>
      <c r="F70" s="64">
        <v>1.0749</v>
      </c>
      <c r="G70" s="64">
        <v>1.0749</v>
      </c>
      <c r="H70" s="35">
        <v>200</v>
      </c>
      <c r="I70" s="54">
        <v>-1.9346000000000001</v>
      </c>
      <c r="J70" s="54">
        <v>4.4000000000000003E-3</v>
      </c>
      <c r="K70" s="32">
        <v>845503806.80999994</v>
      </c>
      <c r="L70" s="33">
        <f t="shared" si="28"/>
        <v>4.2568011545499615E-3</v>
      </c>
      <c r="M70" s="64">
        <v>1.0772999999999999</v>
      </c>
      <c r="N70" s="64">
        <v>1.0772999999999999</v>
      </c>
      <c r="O70" s="35">
        <v>204</v>
      </c>
      <c r="P70" s="54">
        <v>0.1164</v>
      </c>
      <c r="Q70" s="54">
        <v>0.1394</v>
      </c>
      <c r="R70" s="60">
        <f t="shared" si="29"/>
        <v>4.184340381678929E-2</v>
      </c>
      <c r="S70" s="60">
        <f t="shared" si="30"/>
        <v>2.2327658386826288E-3</v>
      </c>
      <c r="T70" s="60">
        <f t="shared" si="31"/>
        <v>0.02</v>
      </c>
      <c r="U70" s="61">
        <f t="shared" si="32"/>
        <v>2.0510000000000002</v>
      </c>
      <c r="V70" s="62">
        <f t="shared" si="33"/>
        <v>0.13500000000000001</v>
      </c>
    </row>
    <row r="71" spans="1:22">
      <c r="A71" s="133">
        <v>60</v>
      </c>
      <c r="B71" s="134" t="s">
        <v>118</v>
      </c>
      <c r="C71" s="135" t="s">
        <v>119</v>
      </c>
      <c r="D71" s="32">
        <v>279836692.74000001</v>
      </c>
      <c r="E71" s="33">
        <f>(D71/$D$104)</f>
        <v>1.4236781743586007E-3</v>
      </c>
      <c r="F71" s="38">
        <v>1111.04</v>
      </c>
      <c r="G71" s="38">
        <v>1111.04</v>
      </c>
      <c r="H71" s="35">
        <v>111</v>
      </c>
      <c r="I71" s="54">
        <v>2.0240000000000002E-3</v>
      </c>
      <c r="J71" s="54">
        <v>1.204E-3</v>
      </c>
      <c r="K71" s="32">
        <v>280462262.19</v>
      </c>
      <c r="L71" s="33">
        <f t="shared" si="28"/>
        <v>1.4120244898747933E-3</v>
      </c>
      <c r="M71" s="38">
        <v>1116.53</v>
      </c>
      <c r="N71" s="38">
        <v>1116.53</v>
      </c>
      <c r="O71" s="35">
        <v>111</v>
      </c>
      <c r="P71" s="54">
        <v>1.3270000000000001E-3</v>
      </c>
      <c r="Q71" s="54">
        <v>3.3159999999999999E-3</v>
      </c>
      <c r="R71" s="60">
        <f t="shared" si="29"/>
        <v>2.2354804292273886E-3</v>
      </c>
      <c r="S71" s="60">
        <f t="shared" si="30"/>
        <v>4.9413162442396401E-3</v>
      </c>
      <c r="T71" s="60">
        <f t="shared" si="31"/>
        <v>0</v>
      </c>
      <c r="U71" s="61">
        <f t="shared" si="32"/>
        <v>-6.9700000000000014E-4</v>
      </c>
      <c r="V71" s="62">
        <f t="shared" si="33"/>
        <v>2.1120000000000002E-3</v>
      </c>
    </row>
    <row r="72" spans="1:22" ht="15" customHeight="1">
      <c r="A72" s="133">
        <v>61</v>
      </c>
      <c r="B72" s="134" t="s">
        <v>120</v>
      </c>
      <c r="C72" s="135" t="s">
        <v>27</v>
      </c>
      <c r="D72" s="32">
        <v>1640006626.97</v>
      </c>
      <c r="E72" s="33">
        <f>(D72/$K$104)</f>
        <v>8.2568310715179106E-3</v>
      </c>
      <c r="F72" s="38">
        <v>1.1127</v>
      </c>
      <c r="G72" s="38">
        <v>1.1127</v>
      </c>
      <c r="H72" s="35">
        <v>906</v>
      </c>
      <c r="I72" s="54">
        <v>1.2999999999999999E-3</v>
      </c>
      <c r="J72" s="54">
        <v>5.0000000000000001E-4</v>
      </c>
      <c r="K72" s="32">
        <v>1671982125.3</v>
      </c>
      <c r="L72" s="33">
        <f t="shared" si="28"/>
        <v>8.4178159625522813E-3</v>
      </c>
      <c r="M72" s="38">
        <v>1.0521</v>
      </c>
      <c r="N72" s="38">
        <v>1.0521</v>
      </c>
      <c r="O72" s="35">
        <v>906</v>
      </c>
      <c r="P72" s="54">
        <v>1.2999999999999999E-3</v>
      </c>
      <c r="Q72" s="54">
        <v>1.8E-3</v>
      </c>
      <c r="R72" s="60">
        <f t="shared" si="29"/>
        <v>1.9497176294388741E-2</v>
      </c>
      <c r="S72" s="60">
        <f t="shared" si="30"/>
        <v>-5.4462119169587479E-2</v>
      </c>
      <c r="T72" s="60">
        <f t="shared" si="31"/>
        <v>0</v>
      </c>
      <c r="U72" s="61">
        <f t="shared" si="32"/>
        <v>0</v>
      </c>
      <c r="V72" s="62">
        <f t="shared" si="33"/>
        <v>1.2999999999999999E-3</v>
      </c>
    </row>
    <row r="73" spans="1:22">
      <c r="A73" s="133">
        <v>62</v>
      </c>
      <c r="B73" s="134" t="s">
        <v>121</v>
      </c>
      <c r="C73" s="135" t="s">
        <v>122</v>
      </c>
      <c r="D73" s="32">
        <v>428354361.37185782</v>
      </c>
      <c r="E73" s="33">
        <f t="shared" ref="E73:E89" si="34">(D73/$D$104)</f>
        <v>2.1792665901145428E-3</v>
      </c>
      <c r="F73" s="38">
        <v>2.4655</v>
      </c>
      <c r="G73" s="38">
        <v>2.4655</v>
      </c>
      <c r="H73" s="35">
        <v>1390</v>
      </c>
      <c r="I73" s="54">
        <v>0.1318</v>
      </c>
      <c r="J73" s="54">
        <v>0.1288</v>
      </c>
      <c r="K73" s="32">
        <v>429430425.25114107</v>
      </c>
      <c r="L73" s="33">
        <f t="shared" si="28"/>
        <v>2.1620244820715786E-3</v>
      </c>
      <c r="M73" s="38">
        <v>2.4716999999999998</v>
      </c>
      <c r="N73" s="38">
        <v>2.4716999999999998</v>
      </c>
      <c r="O73" s="35">
        <v>1390</v>
      </c>
      <c r="P73" s="54">
        <v>0.1329528897522595</v>
      </c>
      <c r="Q73" s="54">
        <v>0.13041536400178533</v>
      </c>
      <c r="R73" s="60">
        <f t="shared" si="29"/>
        <v>2.5120880661446323E-3</v>
      </c>
      <c r="S73" s="60">
        <f t="shared" si="30"/>
        <v>2.5147029000201831E-3</v>
      </c>
      <c r="T73" s="60">
        <f t="shared" si="31"/>
        <v>0</v>
      </c>
      <c r="U73" s="61">
        <f t="shared" si="32"/>
        <v>1.152889752259495E-3</v>
      </c>
      <c r="V73" s="62">
        <f t="shared" si="33"/>
        <v>1.6153640017853299E-3</v>
      </c>
    </row>
    <row r="74" spans="1:22">
      <c r="A74" s="133">
        <v>63</v>
      </c>
      <c r="B74" s="134" t="s">
        <v>123</v>
      </c>
      <c r="C74" s="135" t="s">
        <v>63</v>
      </c>
      <c r="D74" s="32">
        <v>142334653.66</v>
      </c>
      <c r="E74" s="33">
        <f t="shared" si="34"/>
        <v>7.2413212822989897E-4</v>
      </c>
      <c r="F74" s="38">
        <v>11.33</v>
      </c>
      <c r="G74" s="38">
        <v>11.35</v>
      </c>
      <c r="H74" s="35">
        <v>29</v>
      </c>
      <c r="I74" s="54">
        <v>0.73399999999999999</v>
      </c>
      <c r="J74" s="54">
        <v>1.528</v>
      </c>
      <c r="K74" s="32">
        <v>137242254.59999999</v>
      </c>
      <c r="L74" s="33">
        <f t="shared" si="28"/>
        <v>6.9096434945514437E-4</v>
      </c>
      <c r="M74" s="38">
        <v>10.57</v>
      </c>
      <c r="N74" s="38">
        <v>10.61</v>
      </c>
      <c r="O74" s="35">
        <v>29</v>
      </c>
      <c r="P74" s="54">
        <v>-0.98699999999999999</v>
      </c>
      <c r="Q74" s="54">
        <v>-0.72299999999999998</v>
      </c>
      <c r="R74" s="60">
        <f t="shared" si="29"/>
        <v>-3.577764746007956E-2</v>
      </c>
      <c r="S74" s="60">
        <f t="shared" si="30"/>
        <v>-6.519823788546257E-2</v>
      </c>
      <c r="T74" s="60">
        <f t="shared" si="31"/>
        <v>0</v>
      </c>
      <c r="U74" s="61">
        <f t="shared" si="32"/>
        <v>-1.7210000000000001</v>
      </c>
      <c r="V74" s="62">
        <f t="shared" si="33"/>
        <v>-2.2509999999999999</v>
      </c>
    </row>
    <row r="75" spans="1:22">
      <c r="A75" s="133">
        <v>64</v>
      </c>
      <c r="B75" s="134" t="s">
        <v>124</v>
      </c>
      <c r="C75" s="135" t="s">
        <v>65</v>
      </c>
      <c r="D75" s="32">
        <v>1916372051.94031</v>
      </c>
      <c r="E75" s="33">
        <f t="shared" si="34"/>
        <v>9.7496044481669274E-3</v>
      </c>
      <c r="F75" s="32">
        <v>4387.7794641321398</v>
      </c>
      <c r="G75" s="32">
        <v>4387.7794641321398</v>
      </c>
      <c r="H75" s="35">
        <v>1043</v>
      </c>
      <c r="I75" s="54">
        <v>9.6180770609636923E-2</v>
      </c>
      <c r="J75" s="54">
        <v>9.7084326553778133E-2</v>
      </c>
      <c r="K75" s="32">
        <v>1891403134.8831699</v>
      </c>
      <c r="L75" s="33">
        <f t="shared" si="28"/>
        <v>9.5225201630574959E-3</v>
      </c>
      <c r="M75" s="32">
        <v>4398.9970205807504</v>
      </c>
      <c r="N75" s="32">
        <v>4398.997020580754</v>
      </c>
      <c r="O75" s="35">
        <v>1044</v>
      </c>
      <c r="P75" s="54">
        <v>0.13330557020320036</v>
      </c>
      <c r="Q75" s="54">
        <v>0.12251365724856272</v>
      </c>
      <c r="R75" s="60">
        <f t="shared" si="29"/>
        <v>-1.3029263827897772E-2</v>
      </c>
      <c r="S75" s="60">
        <f t="shared" si="30"/>
        <v>2.5565451819791851E-3</v>
      </c>
      <c r="T75" s="60">
        <f t="shared" si="31"/>
        <v>9.5877277085330771E-4</v>
      </c>
      <c r="U75" s="61">
        <f t="shared" si="32"/>
        <v>3.7124799593563435E-2</v>
      </c>
      <c r="V75" s="62">
        <f t="shared" si="33"/>
        <v>2.5429330694784591E-2</v>
      </c>
    </row>
    <row r="76" spans="1:22">
      <c r="A76" s="133">
        <v>65</v>
      </c>
      <c r="B76" s="134" t="s">
        <v>125</v>
      </c>
      <c r="C76" s="135" t="s">
        <v>67</v>
      </c>
      <c r="D76" s="32">
        <v>359378963.06</v>
      </c>
      <c r="E76" s="33">
        <f t="shared" si="34"/>
        <v>1.8283520328319465E-3</v>
      </c>
      <c r="F76" s="64">
        <v>109.99</v>
      </c>
      <c r="G76" s="64">
        <v>109.99</v>
      </c>
      <c r="H76" s="35">
        <v>136</v>
      </c>
      <c r="I76" s="54">
        <v>2.3999999999999998E-3</v>
      </c>
      <c r="J76" s="54">
        <v>0.1308</v>
      </c>
      <c r="K76" s="32">
        <v>360332942.64999998</v>
      </c>
      <c r="L76" s="33">
        <f t="shared" si="28"/>
        <v>1.8141440333450708E-3</v>
      </c>
      <c r="M76" s="64">
        <v>110.24</v>
      </c>
      <c r="N76" s="64">
        <v>110.24</v>
      </c>
      <c r="O76" s="35">
        <v>136</v>
      </c>
      <c r="P76" s="54">
        <v>2.3E-3</v>
      </c>
      <c r="Q76" s="54">
        <v>0.1308</v>
      </c>
      <c r="R76" s="60">
        <f t="shared" si="29"/>
        <v>2.6545226294748432E-3</v>
      </c>
      <c r="S76" s="60">
        <f t="shared" si="30"/>
        <v>2.2729339030820987E-3</v>
      </c>
      <c r="T76" s="60">
        <f t="shared" si="31"/>
        <v>0</v>
      </c>
      <c r="U76" s="61">
        <f t="shared" si="32"/>
        <v>-9.9999999999999829E-5</v>
      </c>
      <c r="V76" s="62">
        <f t="shared" si="33"/>
        <v>0</v>
      </c>
    </row>
    <row r="77" spans="1:22" ht="13.5" customHeight="1">
      <c r="A77" s="133">
        <v>66</v>
      </c>
      <c r="B77" s="134" t="s">
        <v>126</v>
      </c>
      <c r="C77" s="135" t="s">
        <v>127</v>
      </c>
      <c r="D77" s="32">
        <v>354957732.88999999</v>
      </c>
      <c r="E77" s="33">
        <f t="shared" si="34"/>
        <v>1.8058588821474755E-3</v>
      </c>
      <c r="F77" s="64">
        <v>1.3405</v>
      </c>
      <c r="G77" s="64">
        <v>1.3405</v>
      </c>
      <c r="H77" s="35">
        <v>374</v>
      </c>
      <c r="I77" s="54">
        <v>-3.7129596572653689E-3</v>
      </c>
      <c r="J77" s="54">
        <v>6.3095255082151858E-2</v>
      </c>
      <c r="K77" s="32">
        <v>356523022.25</v>
      </c>
      <c r="L77" s="33">
        <f t="shared" si="28"/>
        <v>1.7949624833309408E-3</v>
      </c>
      <c r="M77" s="64">
        <v>1.3467</v>
      </c>
      <c r="N77" s="64">
        <v>1.3467</v>
      </c>
      <c r="O77" s="35">
        <v>374</v>
      </c>
      <c r="P77" s="54">
        <v>-3.7129596572653689E-3</v>
      </c>
      <c r="Q77" s="54">
        <v>6.3095255082151858E-2</v>
      </c>
      <c r="R77" s="60">
        <f t="shared" si="29"/>
        <v>4.4097908425764351E-3</v>
      </c>
      <c r="S77" s="60">
        <f t="shared" si="30"/>
        <v>4.6251398731816358E-3</v>
      </c>
      <c r="T77" s="60">
        <f t="shared" si="31"/>
        <v>0</v>
      </c>
      <c r="U77" s="61">
        <f t="shared" si="32"/>
        <v>0</v>
      </c>
      <c r="V77" s="62">
        <f t="shared" si="33"/>
        <v>0</v>
      </c>
    </row>
    <row r="78" spans="1:22">
      <c r="A78" s="133">
        <v>67</v>
      </c>
      <c r="B78" s="134" t="s">
        <v>128</v>
      </c>
      <c r="C78" s="135" t="s">
        <v>29</v>
      </c>
      <c r="D78" s="32">
        <v>116982211.2</v>
      </c>
      <c r="E78" s="33">
        <f t="shared" si="34"/>
        <v>5.9515076183518025E-4</v>
      </c>
      <c r="F78" s="64">
        <v>130.8467</v>
      </c>
      <c r="G78" s="64">
        <v>130.8467</v>
      </c>
      <c r="H78" s="35">
        <v>160</v>
      </c>
      <c r="I78" s="54">
        <v>3.6200000000000002E-4</v>
      </c>
      <c r="J78" s="54">
        <v>6.9999999999999999E-4</v>
      </c>
      <c r="K78" s="32">
        <v>121802299.40000001</v>
      </c>
      <c r="L78" s="33">
        <f t="shared" si="28"/>
        <v>6.1322984537345057E-4</v>
      </c>
      <c r="M78" s="64">
        <v>131.16759999999999</v>
      </c>
      <c r="N78" s="64">
        <v>131.16759999999999</v>
      </c>
      <c r="O78" s="35">
        <v>161</v>
      </c>
      <c r="P78" s="54">
        <v>3.4600000000000001E-4</v>
      </c>
      <c r="Q78" s="54">
        <v>3.2000000000000002E-3</v>
      </c>
      <c r="R78" s="60">
        <f t="shared" si="29"/>
        <v>4.120359968029056E-2</v>
      </c>
      <c r="S78" s="60">
        <f t="shared" si="30"/>
        <v>2.4524882935526432E-3</v>
      </c>
      <c r="T78" s="60">
        <f t="shared" si="31"/>
        <v>6.2500000000000003E-3</v>
      </c>
      <c r="U78" s="61">
        <f t="shared" si="32"/>
        <v>-1.6000000000000009E-5</v>
      </c>
      <c r="V78" s="62">
        <f t="shared" si="33"/>
        <v>2.5000000000000001E-3</v>
      </c>
    </row>
    <row r="79" spans="1:22">
      <c r="A79" s="133">
        <v>68</v>
      </c>
      <c r="B79" s="134" t="s">
        <v>129</v>
      </c>
      <c r="C79" s="135" t="s">
        <v>99</v>
      </c>
      <c r="D79" s="32">
        <v>1563085535.3800001</v>
      </c>
      <c r="E79" s="33">
        <f t="shared" si="34"/>
        <v>7.9522479328460287E-3</v>
      </c>
      <c r="F79" s="38">
        <v>1000</v>
      </c>
      <c r="G79" s="38">
        <v>1000</v>
      </c>
      <c r="H79" s="35">
        <v>333</v>
      </c>
      <c r="I79" s="54">
        <v>1.04E-2</v>
      </c>
      <c r="J79" s="54">
        <v>0.21740000000000001</v>
      </c>
      <c r="K79" s="32">
        <v>1564235797.8000002</v>
      </c>
      <c r="L79" s="33">
        <f t="shared" si="28"/>
        <v>7.875352773615292E-3</v>
      </c>
      <c r="M79" s="38">
        <v>1000</v>
      </c>
      <c r="N79" s="38">
        <v>1000</v>
      </c>
      <c r="O79" s="35">
        <v>333</v>
      </c>
      <c r="P79" s="54">
        <v>1.0500000000000001E-2</v>
      </c>
      <c r="Q79" s="54">
        <v>0.2102</v>
      </c>
      <c r="R79" s="60">
        <f t="shared" si="29"/>
        <v>7.3589217861992249E-4</v>
      </c>
      <c r="S79" s="60">
        <f t="shared" si="30"/>
        <v>0</v>
      </c>
      <c r="T79" s="60">
        <f t="shared" si="31"/>
        <v>0</v>
      </c>
      <c r="U79" s="61">
        <f t="shared" si="32"/>
        <v>1.0000000000000113E-4</v>
      </c>
      <c r="V79" s="62">
        <f t="shared" si="33"/>
        <v>-7.2000000000000119E-3</v>
      </c>
    </row>
    <row r="80" spans="1:22">
      <c r="A80" s="133">
        <v>69</v>
      </c>
      <c r="B80" s="134" t="s">
        <v>130</v>
      </c>
      <c r="C80" s="135" t="s">
        <v>73</v>
      </c>
      <c r="D80" s="32">
        <v>201641660.5</v>
      </c>
      <c r="E80" s="33">
        <f t="shared" si="34"/>
        <v>1.0258584329468185E-3</v>
      </c>
      <c r="F80" s="38">
        <v>1081.5999999999999</v>
      </c>
      <c r="G80" s="38">
        <v>1094.6600000000001</v>
      </c>
      <c r="H80" s="35">
        <v>74</v>
      </c>
      <c r="I80" s="54">
        <v>2.9999999999999997E-4</v>
      </c>
      <c r="J80" s="54">
        <v>2.9999999999999997E-4</v>
      </c>
      <c r="K80" s="32">
        <v>198845359.66</v>
      </c>
      <c r="L80" s="33">
        <f t="shared" si="28"/>
        <v>1.0011133595851471E-3</v>
      </c>
      <c r="M80" s="38">
        <v>1010.84</v>
      </c>
      <c r="N80" s="38">
        <v>1010.92</v>
      </c>
      <c r="O80" s="35">
        <v>73</v>
      </c>
      <c r="P80" s="54">
        <v>5.0000000000000001E-4</v>
      </c>
      <c r="Q80" s="54">
        <v>8.0000000000000004E-4</v>
      </c>
      <c r="R80" s="60">
        <f t="shared" si="29"/>
        <v>-1.3867674135722581E-2</v>
      </c>
      <c r="S80" s="60">
        <f t="shared" si="30"/>
        <v>-7.6498638846765318E-2</v>
      </c>
      <c r="T80" s="60">
        <f t="shared" si="31"/>
        <v>-1.3513513513513514E-2</v>
      </c>
      <c r="U80" s="61">
        <f t="shared" si="32"/>
        <v>2.0000000000000004E-4</v>
      </c>
      <c r="V80" s="62">
        <f t="shared" si="33"/>
        <v>5.0000000000000001E-4</v>
      </c>
    </row>
    <row r="81" spans="1:22">
      <c r="A81" s="133">
        <v>70</v>
      </c>
      <c r="B81" s="134" t="s">
        <v>131</v>
      </c>
      <c r="C81" s="135" t="s">
        <v>76</v>
      </c>
      <c r="D81" s="32">
        <v>681559900.15999997</v>
      </c>
      <c r="E81" s="33">
        <f t="shared" si="34"/>
        <v>3.4674579122379707E-3</v>
      </c>
      <c r="F81" s="65">
        <v>1.1462000000000001</v>
      </c>
      <c r="G81" s="65">
        <v>1.1462000000000001</v>
      </c>
      <c r="H81" s="35">
        <v>48</v>
      </c>
      <c r="I81" s="54">
        <v>1.6999999999999999E-3</v>
      </c>
      <c r="J81" s="54">
        <v>0.1603</v>
      </c>
      <c r="K81" s="32">
        <v>688050546.15999997</v>
      </c>
      <c r="L81" s="33">
        <f t="shared" si="28"/>
        <v>3.4640818121600661E-3</v>
      </c>
      <c r="M81" s="65">
        <v>1.149</v>
      </c>
      <c r="N81" s="65">
        <v>1.149</v>
      </c>
      <c r="O81" s="35">
        <v>48</v>
      </c>
      <c r="P81" s="54">
        <v>1.6999999999999999E-3</v>
      </c>
      <c r="Q81" s="54">
        <v>0.14299999999999999</v>
      </c>
      <c r="R81" s="60">
        <f t="shared" si="29"/>
        <v>9.5232216544375407E-3</v>
      </c>
      <c r="S81" s="60">
        <f t="shared" si="30"/>
        <v>2.4428546501482407E-3</v>
      </c>
      <c r="T81" s="60">
        <f t="shared" si="31"/>
        <v>0</v>
      </c>
      <c r="U81" s="61">
        <f t="shared" si="32"/>
        <v>0</v>
      </c>
      <c r="V81" s="62">
        <f t="shared" si="33"/>
        <v>-1.730000000000001E-2</v>
      </c>
    </row>
    <row r="82" spans="1:22">
      <c r="A82" s="133">
        <v>71</v>
      </c>
      <c r="B82" s="134" t="s">
        <v>132</v>
      </c>
      <c r="C82" s="135" t="s">
        <v>31</v>
      </c>
      <c r="D82" s="32">
        <v>13780723581.43</v>
      </c>
      <c r="E82" s="33">
        <f t="shared" si="34"/>
        <v>7.0109874433012059E-2</v>
      </c>
      <c r="F82" s="65">
        <v>1693.68</v>
      </c>
      <c r="G82" s="65">
        <v>1693.68</v>
      </c>
      <c r="H82" s="35">
        <v>2187</v>
      </c>
      <c r="I82" s="54">
        <v>1E-3</v>
      </c>
      <c r="J82" s="54">
        <v>4.0000000000000002E-4</v>
      </c>
      <c r="K82" s="32">
        <v>13550994995.43</v>
      </c>
      <c r="L82" s="33">
        <f t="shared" si="28"/>
        <v>6.8224283175592829E-2</v>
      </c>
      <c r="M82" s="65">
        <v>1694.7</v>
      </c>
      <c r="N82" s="65">
        <v>1694.7</v>
      </c>
      <c r="O82" s="35">
        <v>2180</v>
      </c>
      <c r="P82" s="54">
        <v>5.9999999999999995E-4</v>
      </c>
      <c r="Q82" s="54">
        <v>1E-3</v>
      </c>
      <c r="R82" s="60">
        <f t="shared" si="29"/>
        <v>-1.6670284738137205E-2</v>
      </c>
      <c r="S82" s="60">
        <f t="shared" si="30"/>
        <v>6.0223891171885E-4</v>
      </c>
      <c r="T82" s="60">
        <f t="shared" si="31"/>
        <v>-3.200731595793324E-3</v>
      </c>
      <c r="U82" s="61">
        <f t="shared" si="32"/>
        <v>-4.0000000000000007E-4</v>
      </c>
      <c r="V82" s="62">
        <f t="shared" si="33"/>
        <v>6.0000000000000006E-4</v>
      </c>
    </row>
    <row r="83" spans="1:22">
      <c r="A83" s="133">
        <v>72</v>
      </c>
      <c r="B83" s="134" t="s">
        <v>133</v>
      </c>
      <c r="C83" s="135" t="s">
        <v>81</v>
      </c>
      <c r="D83" s="32">
        <v>23442172.68</v>
      </c>
      <c r="E83" s="33">
        <f t="shared" si="34"/>
        <v>1.1926280745130802E-4</v>
      </c>
      <c r="F83" s="64">
        <v>0.71489999999999998</v>
      </c>
      <c r="G83" s="64">
        <v>0.71489999999999998</v>
      </c>
      <c r="H83" s="35">
        <v>746</v>
      </c>
      <c r="I83" s="54">
        <v>2.0999999999999999E-3</v>
      </c>
      <c r="J83" s="54">
        <v>-6.4799999999999996E-2</v>
      </c>
      <c r="K83" s="32">
        <v>23550305.59</v>
      </c>
      <c r="L83" s="33">
        <f t="shared" si="28"/>
        <v>1.1856713975510718E-4</v>
      </c>
      <c r="M83" s="64">
        <v>0.71819999999999995</v>
      </c>
      <c r="N83" s="64">
        <v>0.71819999999999995</v>
      </c>
      <c r="O83" s="35">
        <v>746</v>
      </c>
      <c r="P83" s="54">
        <v>1.1000000000000001E-3</v>
      </c>
      <c r="Q83" s="54">
        <v>2.0999999999999999E-3</v>
      </c>
      <c r="R83" s="60">
        <f t="shared" si="29"/>
        <v>4.6127511931628746E-3</v>
      </c>
      <c r="S83" s="60">
        <f t="shared" si="30"/>
        <v>4.6160302140159041E-3</v>
      </c>
      <c r="T83" s="60">
        <f t="shared" si="31"/>
        <v>0</v>
      </c>
      <c r="U83" s="61">
        <f t="shared" si="32"/>
        <v>-9.999999999999998E-4</v>
      </c>
      <c r="V83" s="62">
        <f t="shared" si="33"/>
        <v>6.6900000000000001E-2</v>
      </c>
    </row>
    <row r="84" spans="1:22">
      <c r="A84" s="133">
        <v>73</v>
      </c>
      <c r="B84" s="134" t="s">
        <v>134</v>
      </c>
      <c r="C84" s="135" t="s">
        <v>37</v>
      </c>
      <c r="D84" s="32">
        <v>10690029132.690001</v>
      </c>
      <c r="E84" s="33">
        <f t="shared" si="34"/>
        <v>5.4385867022837778E-2</v>
      </c>
      <c r="F84" s="64">
        <v>1</v>
      </c>
      <c r="G84" s="64">
        <v>1</v>
      </c>
      <c r="H84" s="35">
        <v>5250</v>
      </c>
      <c r="I84" s="54">
        <v>0.06</v>
      </c>
      <c r="J84" s="54">
        <v>0.06</v>
      </c>
      <c r="K84" s="32">
        <v>10733562496.57</v>
      </c>
      <c r="L84" s="33">
        <f t="shared" si="28"/>
        <v>5.4039545250800812E-2</v>
      </c>
      <c r="M84" s="64">
        <v>1</v>
      </c>
      <c r="N84" s="64">
        <v>1</v>
      </c>
      <c r="O84" s="35">
        <v>5250</v>
      </c>
      <c r="P84" s="54">
        <v>0.06</v>
      </c>
      <c r="Q84" s="54">
        <v>0.06</v>
      </c>
      <c r="R84" s="60">
        <f t="shared" si="29"/>
        <v>4.0723335118773973E-3</v>
      </c>
      <c r="S84" s="60">
        <f t="shared" si="30"/>
        <v>0</v>
      </c>
      <c r="T84" s="60">
        <f t="shared" si="31"/>
        <v>0</v>
      </c>
      <c r="U84" s="61">
        <f t="shared" si="32"/>
        <v>0</v>
      </c>
      <c r="V84" s="62">
        <f t="shared" si="33"/>
        <v>0</v>
      </c>
    </row>
    <row r="85" spans="1:22">
      <c r="A85" s="133">
        <v>74</v>
      </c>
      <c r="B85" s="134" t="s">
        <v>135</v>
      </c>
      <c r="C85" s="135" t="s">
        <v>136</v>
      </c>
      <c r="D85" s="32">
        <v>1396957295.9300001</v>
      </c>
      <c r="E85" s="33">
        <f t="shared" si="34"/>
        <v>7.1070651716656288E-3</v>
      </c>
      <c r="F85" s="32">
        <v>240.01</v>
      </c>
      <c r="G85" s="32">
        <v>242.48</v>
      </c>
      <c r="H85" s="35">
        <v>491</v>
      </c>
      <c r="I85" s="54">
        <v>1.4E-3</v>
      </c>
      <c r="J85" s="54">
        <v>0.17949999999999999</v>
      </c>
      <c r="K85" s="32">
        <v>1115444765.1700001</v>
      </c>
      <c r="L85" s="33">
        <f t="shared" si="28"/>
        <v>5.6158547436077708E-3</v>
      </c>
      <c r="M85" s="32">
        <v>242.29</v>
      </c>
      <c r="N85" s="32">
        <v>243.9</v>
      </c>
      <c r="O85" s="35">
        <v>491</v>
      </c>
      <c r="P85" s="54">
        <v>1.4E-3</v>
      </c>
      <c r="Q85" s="54">
        <v>0.17949999999999999</v>
      </c>
      <c r="R85" s="60">
        <f t="shared" si="29"/>
        <v>-0.20151835104779486</v>
      </c>
      <c r="S85" s="60">
        <f t="shared" si="30"/>
        <v>5.8561530847905637E-3</v>
      </c>
      <c r="T85" s="60">
        <f t="shared" si="31"/>
        <v>0</v>
      </c>
      <c r="U85" s="61">
        <f t="shared" si="32"/>
        <v>0</v>
      </c>
      <c r="V85" s="62">
        <f t="shared" si="33"/>
        <v>0</v>
      </c>
    </row>
    <row r="86" spans="1:22">
      <c r="A86" s="133">
        <v>75</v>
      </c>
      <c r="B86" s="134" t="s">
        <v>137</v>
      </c>
      <c r="C86" s="135" t="s">
        <v>41</v>
      </c>
      <c r="D86" s="32">
        <v>1087403521.75</v>
      </c>
      <c r="E86" s="33">
        <f t="shared" si="34"/>
        <v>5.5322003897270364E-3</v>
      </c>
      <c r="F86" s="64">
        <v>3.63</v>
      </c>
      <c r="G86" s="64">
        <v>3.63</v>
      </c>
      <c r="H86" s="50">
        <v>770</v>
      </c>
      <c r="I86" s="57">
        <v>1.8E-3</v>
      </c>
      <c r="J86" s="57">
        <v>9.8000000000000004E-2</v>
      </c>
      <c r="K86" s="32">
        <v>1088377327.3399999</v>
      </c>
      <c r="L86" s="33">
        <f t="shared" si="28"/>
        <v>5.4795801346971739E-3</v>
      </c>
      <c r="M86" s="64">
        <v>3.63</v>
      </c>
      <c r="N86" s="64">
        <v>3.63</v>
      </c>
      <c r="O86" s="50">
        <v>770</v>
      </c>
      <c r="P86" s="57">
        <v>8.9999999999999998E-4</v>
      </c>
      <c r="Q86" s="57">
        <v>6.2E-2</v>
      </c>
      <c r="R86" s="60">
        <f t="shared" si="29"/>
        <v>8.9553286385603357E-4</v>
      </c>
      <c r="S86" s="60">
        <f t="shared" si="30"/>
        <v>0</v>
      </c>
      <c r="T86" s="60">
        <f t="shared" si="31"/>
        <v>0</v>
      </c>
      <c r="U86" s="61">
        <f t="shared" si="32"/>
        <v>-8.9999999999999998E-4</v>
      </c>
      <c r="V86" s="62">
        <f t="shared" si="33"/>
        <v>-3.6000000000000004E-2</v>
      </c>
    </row>
    <row r="87" spans="1:22">
      <c r="A87" s="133">
        <v>76</v>
      </c>
      <c r="B87" s="134" t="s">
        <v>138</v>
      </c>
      <c r="C87" s="135" t="s">
        <v>43</v>
      </c>
      <c r="D87" s="32">
        <v>559824228.88</v>
      </c>
      <c r="E87" s="33">
        <f t="shared" si="34"/>
        <v>2.8481237693660922E-3</v>
      </c>
      <c r="F87" s="64">
        <v>111.67827</v>
      </c>
      <c r="G87" s="64">
        <v>111.67827</v>
      </c>
      <c r="H87" s="50">
        <v>59</v>
      </c>
      <c r="I87" s="57">
        <v>0.14599999999999999</v>
      </c>
      <c r="J87" s="57">
        <v>0.16980000000000001</v>
      </c>
      <c r="K87" s="32">
        <v>554310586.67999995</v>
      </c>
      <c r="L87" s="33">
        <f t="shared" si="28"/>
        <v>2.7907502324101691E-3</v>
      </c>
      <c r="M87" s="64">
        <v>111.9781</v>
      </c>
      <c r="N87" s="64">
        <v>111.67827</v>
      </c>
      <c r="O87" s="50">
        <v>59</v>
      </c>
      <c r="P87" s="57">
        <v>0.14599999999999999</v>
      </c>
      <c r="Q87" s="57">
        <v>0.16980000000000001</v>
      </c>
      <c r="R87" s="60">
        <f t="shared" si="29"/>
        <v>-9.8488809800726107E-3</v>
      </c>
      <c r="S87" s="60">
        <f t="shared" si="30"/>
        <v>0</v>
      </c>
      <c r="T87" s="60">
        <f t="shared" si="31"/>
        <v>0</v>
      </c>
      <c r="U87" s="61">
        <f t="shared" si="32"/>
        <v>0</v>
      </c>
      <c r="V87" s="62">
        <f t="shared" si="33"/>
        <v>0</v>
      </c>
    </row>
    <row r="88" spans="1:22">
      <c r="A88" s="133">
        <v>77</v>
      </c>
      <c r="B88" s="135" t="s">
        <v>139</v>
      </c>
      <c r="C88" s="174" t="s">
        <v>47</v>
      </c>
      <c r="D88" s="32">
        <v>1391741565.8399999</v>
      </c>
      <c r="E88" s="33">
        <f t="shared" si="34"/>
        <v>7.0805299770856324E-3</v>
      </c>
      <c r="F88" s="64">
        <v>101.14</v>
      </c>
      <c r="G88" s="64">
        <v>101.14</v>
      </c>
      <c r="H88" s="35">
        <v>289</v>
      </c>
      <c r="I88" s="54">
        <v>2E-3</v>
      </c>
      <c r="J88" s="54">
        <v>9.3600000000000003E-2</v>
      </c>
      <c r="K88" s="32">
        <v>1396217395.96</v>
      </c>
      <c r="L88" s="33">
        <f t="shared" si="28"/>
        <v>7.0294418254001579E-3</v>
      </c>
      <c r="M88" s="64">
        <v>97.41</v>
      </c>
      <c r="N88" s="64">
        <v>97.41</v>
      </c>
      <c r="O88" s="35">
        <v>289</v>
      </c>
      <c r="P88" s="54">
        <v>8.9999999999999998E-4</v>
      </c>
      <c r="Q88" s="54">
        <v>1.9E-3</v>
      </c>
      <c r="R88" s="60">
        <f t="shared" si="29"/>
        <v>3.2159922717395384E-3</v>
      </c>
      <c r="S88" s="60">
        <f t="shared" si="30"/>
        <v>-3.6879572869290132E-2</v>
      </c>
      <c r="T88" s="60">
        <f t="shared" si="31"/>
        <v>0</v>
      </c>
      <c r="U88" s="61">
        <f t="shared" si="32"/>
        <v>-1.1000000000000001E-3</v>
      </c>
      <c r="V88" s="62">
        <f t="shared" si="33"/>
        <v>-9.1700000000000004E-2</v>
      </c>
    </row>
    <row r="89" spans="1:22">
      <c r="A89" s="133">
        <v>78</v>
      </c>
      <c r="B89" s="134" t="s">
        <v>140</v>
      </c>
      <c r="C89" s="135" t="s">
        <v>19</v>
      </c>
      <c r="D89" s="32">
        <v>1356196559.8900001</v>
      </c>
      <c r="E89" s="33">
        <f t="shared" si="34"/>
        <v>6.8996936161246384E-3</v>
      </c>
      <c r="F89" s="64">
        <v>354.96710000000002</v>
      </c>
      <c r="G89" s="64">
        <v>354.96710000000002</v>
      </c>
      <c r="H89" s="35">
        <v>105</v>
      </c>
      <c r="I89" s="54">
        <v>2.5000000000000001E-3</v>
      </c>
      <c r="J89" s="54">
        <v>0.11849999999999999</v>
      </c>
      <c r="K89" s="32">
        <v>1313719012.1400001</v>
      </c>
      <c r="L89" s="33">
        <f t="shared" si="28"/>
        <v>6.6140927605408935E-3</v>
      </c>
      <c r="M89" s="64">
        <v>343.87849999999997</v>
      </c>
      <c r="N89" s="64">
        <v>343.87849999999997</v>
      </c>
      <c r="O89" s="35">
        <v>105</v>
      </c>
      <c r="P89" s="54">
        <v>-3.1199999999999999E-2</v>
      </c>
      <c r="Q89" s="54">
        <v>3.7000000000000002E-3</v>
      </c>
      <c r="R89" s="60">
        <f t="shared" si="29"/>
        <v>-3.1321085015468049E-2</v>
      </c>
      <c r="S89" s="60">
        <f t="shared" si="30"/>
        <v>-3.1238388008353567E-2</v>
      </c>
      <c r="T89" s="60">
        <f t="shared" si="31"/>
        <v>0</v>
      </c>
      <c r="U89" s="61">
        <f t="shared" si="32"/>
        <v>-3.3700000000000001E-2</v>
      </c>
      <c r="V89" s="62">
        <f t="shared" si="33"/>
        <v>-0.1148</v>
      </c>
    </row>
    <row r="90" spans="1:22">
      <c r="A90" s="133">
        <v>79</v>
      </c>
      <c r="B90" s="134" t="s">
        <v>141</v>
      </c>
      <c r="C90" s="135" t="s">
        <v>90</v>
      </c>
      <c r="D90" s="48">
        <v>1444687439</v>
      </c>
      <c r="E90" s="33">
        <f>(D90/$K$65)</f>
        <v>8.0431843912801828E-4</v>
      </c>
      <c r="F90" s="64">
        <v>100.86</v>
      </c>
      <c r="G90" s="64">
        <v>100.86</v>
      </c>
      <c r="H90" s="35">
        <v>383</v>
      </c>
      <c r="I90" s="54">
        <v>5.7999999999999996E-3</v>
      </c>
      <c r="J90" s="54">
        <v>0.1459</v>
      </c>
      <c r="K90" s="48">
        <v>1418003435</v>
      </c>
      <c r="L90" s="33">
        <f>(K90/$K$65)</f>
        <v>7.8946232847904507E-4</v>
      </c>
      <c r="M90" s="64">
        <v>101.15</v>
      </c>
      <c r="N90" s="64">
        <v>101.15</v>
      </c>
      <c r="O90" s="35">
        <v>383</v>
      </c>
      <c r="P90" s="54">
        <v>2.8E-3</v>
      </c>
      <c r="Q90" s="54">
        <v>0.1472</v>
      </c>
      <c r="R90" s="60">
        <f t="shared" si="29"/>
        <v>-1.847043400506786E-2</v>
      </c>
      <c r="S90" s="60">
        <f t="shared" si="30"/>
        <v>2.8752726551656382E-3</v>
      </c>
      <c r="T90" s="60">
        <f t="shared" si="31"/>
        <v>0</v>
      </c>
      <c r="U90" s="61">
        <f t="shared" si="32"/>
        <v>-2.9999999999999996E-3</v>
      </c>
      <c r="V90" s="62">
        <f t="shared" si="33"/>
        <v>1.2999999999999956E-3</v>
      </c>
    </row>
    <row r="91" spans="1:22">
      <c r="A91" s="133">
        <v>80</v>
      </c>
      <c r="B91" s="134" t="s">
        <v>142</v>
      </c>
      <c r="C91" s="135" t="s">
        <v>45</v>
      </c>
      <c r="D91" s="32">
        <v>58509771.509999998</v>
      </c>
      <c r="E91" s="33">
        <f t="shared" ref="E91:E103" si="35">(D91/$D$104)</f>
        <v>2.9767034433504381E-4</v>
      </c>
      <c r="F91" s="32">
        <v>12.161405</v>
      </c>
      <c r="G91" s="32">
        <v>12.494120000000001</v>
      </c>
      <c r="H91" s="35">
        <v>56</v>
      </c>
      <c r="I91" s="54">
        <v>0</v>
      </c>
      <c r="J91" s="54">
        <v>4.4000000000000003E-3</v>
      </c>
      <c r="K91" s="32">
        <v>58636109.469999999</v>
      </c>
      <c r="L91" s="33">
        <f t="shared" ref="L91:L103" si="36">(K91/$K$104)</f>
        <v>2.9521127696862526E-4</v>
      </c>
      <c r="M91" s="32">
        <v>12.187665000000001</v>
      </c>
      <c r="N91" s="32">
        <v>12.494018000000001</v>
      </c>
      <c r="O91" s="35">
        <v>56</v>
      </c>
      <c r="P91" s="54">
        <v>0</v>
      </c>
      <c r="Q91" s="54">
        <v>4.4000000000000003E-3</v>
      </c>
      <c r="R91" s="60">
        <f t="shared" si="29"/>
        <v>2.1592625768228862E-3</v>
      </c>
      <c r="S91" s="60">
        <f t="shared" si="30"/>
        <v>-8.1638402704669467E-6</v>
      </c>
      <c r="T91" s="60">
        <f t="shared" si="31"/>
        <v>0</v>
      </c>
      <c r="U91" s="61">
        <f t="shared" si="32"/>
        <v>0</v>
      </c>
      <c r="V91" s="62">
        <f t="shared" si="33"/>
        <v>0</v>
      </c>
    </row>
    <row r="92" spans="1:22">
      <c r="A92" s="133">
        <v>81</v>
      </c>
      <c r="B92" s="134" t="s">
        <v>143</v>
      </c>
      <c r="C92" s="135" t="s">
        <v>144</v>
      </c>
      <c r="D92" s="32">
        <v>510775802.48000002</v>
      </c>
      <c r="E92" s="33">
        <f t="shared" si="35"/>
        <v>2.5985883225717959E-3</v>
      </c>
      <c r="F92" s="32">
        <v>131.27000000000001</v>
      </c>
      <c r="G92" s="32">
        <v>131.27000000000001</v>
      </c>
      <c r="H92" s="35">
        <v>116</v>
      </c>
      <c r="I92" s="54">
        <v>0.18679999999999999</v>
      </c>
      <c r="J92" s="54">
        <v>0.18659999999999999</v>
      </c>
      <c r="K92" s="32">
        <v>514758270.38</v>
      </c>
      <c r="L92" s="33">
        <f t="shared" si="36"/>
        <v>2.5916188454963786E-3</v>
      </c>
      <c r="M92" s="32">
        <v>131.69999999999999</v>
      </c>
      <c r="N92" s="32">
        <v>131.69999999999999</v>
      </c>
      <c r="O92" s="35">
        <v>115</v>
      </c>
      <c r="P92" s="54">
        <v>0.18779999999999999</v>
      </c>
      <c r="Q92" s="54">
        <v>0.18720000000000001</v>
      </c>
      <c r="R92" s="60">
        <f t="shared" si="29"/>
        <v>7.7969000893614452E-3</v>
      </c>
      <c r="S92" s="60">
        <f t="shared" si="30"/>
        <v>3.275691323226772E-3</v>
      </c>
      <c r="T92" s="60">
        <f t="shared" si="31"/>
        <v>-8.6206896551724137E-3</v>
      </c>
      <c r="U92" s="61">
        <f t="shared" si="32"/>
        <v>1.0000000000000009E-3</v>
      </c>
      <c r="V92" s="62">
        <f t="shared" si="33"/>
        <v>6.0000000000001719E-4</v>
      </c>
    </row>
    <row r="93" spans="1:22">
      <c r="A93" s="133">
        <v>82</v>
      </c>
      <c r="B93" s="134" t="s">
        <v>145</v>
      </c>
      <c r="C93" s="135" t="s">
        <v>146</v>
      </c>
      <c r="D93" s="32">
        <v>7616119037.8713436</v>
      </c>
      <c r="E93" s="33">
        <f t="shared" si="35"/>
        <v>3.8747250553052885E-2</v>
      </c>
      <c r="F93" s="32">
        <v>1</v>
      </c>
      <c r="G93" s="32">
        <v>1</v>
      </c>
      <c r="H93" s="35">
        <v>4483</v>
      </c>
      <c r="I93" s="54">
        <v>0.20039999999999999</v>
      </c>
      <c r="J93" s="54">
        <v>0.20039999999999999</v>
      </c>
      <c r="K93" s="32">
        <v>7602847104.0036974</v>
      </c>
      <c r="L93" s="33">
        <f t="shared" si="36"/>
        <v>3.8277543009883223E-2</v>
      </c>
      <c r="M93" s="32">
        <v>1.0062825659122705</v>
      </c>
      <c r="N93" s="32">
        <v>1.0062825659122705</v>
      </c>
      <c r="O93" s="35">
        <v>4493</v>
      </c>
      <c r="P93" s="54">
        <v>0.19009999999999999</v>
      </c>
      <c r="Q93" s="54">
        <v>0.19009999999999999</v>
      </c>
      <c r="R93" s="60">
        <f t="shared" si="29"/>
        <v>-1.7426111385144051E-3</v>
      </c>
      <c r="S93" s="60">
        <f t="shared" si="30"/>
        <v>6.2825659122704991E-3</v>
      </c>
      <c r="T93" s="60">
        <f t="shared" si="31"/>
        <v>2.230649118893598E-3</v>
      </c>
      <c r="U93" s="61">
        <f t="shared" si="32"/>
        <v>-1.0300000000000004E-2</v>
      </c>
      <c r="V93" s="62">
        <f t="shared" si="33"/>
        <v>-1.0300000000000004E-2</v>
      </c>
    </row>
    <row r="94" spans="1:22" ht="14.25" customHeight="1">
      <c r="A94" s="133">
        <v>83</v>
      </c>
      <c r="B94" s="134" t="s">
        <v>147</v>
      </c>
      <c r="C94" s="135" t="s">
        <v>49</v>
      </c>
      <c r="D94" s="32">
        <v>9554388921.1399994</v>
      </c>
      <c r="E94" s="33">
        <f t="shared" si="35"/>
        <v>4.8608260922375829E-2</v>
      </c>
      <c r="F94" s="32">
        <v>5167.46</v>
      </c>
      <c r="G94" s="32">
        <v>5167.46</v>
      </c>
      <c r="H94" s="35">
        <v>289</v>
      </c>
      <c r="I94" s="54">
        <v>0</v>
      </c>
      <c r="J94" s="54">
        <v>0</v>
      </c>
      <c r="K94" s="32">
        <v>11537104239.15</v>
      </c>
      <c r="L94" s="33">
        <f t="shared" si="36"/>
        <v>5.8085082822593531E-2</v>
      </c>
      <c r="M94" s="32">
        <v>5167.6499999999996</v>
      </c>
      <c r="N94" s="32">
        <v>5167.6499999999996</v>
      </c>
      <c r="O94" s="35">
        <v>288</v>
      </c>
      <c r="P94" s="54">
        <v>0</v>
      </c>
      <c r="Q94" s="54">
        <v>1E-4</v>
      </c>
      <c r="R94" s="60">
        <f t="shared" si="29"/>
        <v>0.20751879940987675</v>
      </c>
      <c r="S94" s="60">
        <f t="shared" si="30"/>
        <v>3.6768547797099509E-5</v>
      </c>
      <c r="T94" s="60">
        <f t="shared" si="31"/>
        <v>-3.4602076124567475E-3</v>
      </c>
      <c r="U94" s="61">
        <f t="shared" si="32"/>
        <v>0</v>
      </c>
      <c r="V94" s="62">
        <f t="shared" si="33"/>
        <v>1E-4</v>
      </c>
    </row>
    <row r="95" spans="1:22" ht="13.5" customHeight="1">
      <c r="A95" s="133">
        <v>84</v>
      </c>
      <c r="B95" s="134" t="s">
        <v>148</v>
      </c>
      <c r="C95" s="135" t="s">
        <v>49</v>
      </c>
      <c r="D95" s="32">
        <v>21315639237.720001</v>
      </c>
      <c r="E95" s="33">
        <f t="shared" si="35"/>
        <v>0.10844400017062525</v>
      </c>
      <c r="F95" s="64">
        <v>258.92</v>
      </c>
      <c r="G95" s="64">
        <v>258.92</v>
      </c>
      <c r="H95" s="35">
        <v>6347</v>
      </c>
      <c r="I95" s="54">
        <v>2.9999999999999997E-4</v>
      </c>
      <c r="J95" s="54">
        <v>2.9999999999999997E-4</v>
      </c>
      <c r="K95" s="32">
        <v>21288342759.549999</v>
      </c>
      <c r="L95" s="33">
        <f t="shared" si="36"/>
        <v>0.10717898761356111</v>
      </c>
      <c r="M95" s="64">
        <v>258.95</v>
      </c>
      <c r="N95" s="64">
        <v>258.95</v>
      </c>
      <c r="O95" s="35">
        <v>6344</v>
      </c>
      <c r="P95" s="54">
        <v>1E-4</v>
      </c>
      <c r="Q95" s="54">
        <v>4.0000000000000002E-4</v>
      </c>
      <c r="R95" s="60">
        <f t="shared" si="29"/>
        <v>-1.2805845447833595E-3</v>
      </c>
      <c r="S95" s="60">
        <f t="shared" si="30"/>
        <v>1.1586590452638928E-4</v>
      </c>
      <c r="T95" s="60">
        <f t="shared" si="31"/>
        <v>-4.7266425082716245E-4</v>
      </c>
      <c r="U95" s="61">
        <f t="shared" si="32"/>
        <v>-1.9999999999999998E-4</v>
      </c>
      <c r="V95" s="62">
        <f t="shared" si="33"/>
        <v>1.0000000000000005E-4</v>
      </c>
    </row>
    <row r="96" spans="1:22" ht="13.5" customHeight="1">
      <c r="A96" s="133">
        <v>85</v>
      </c>
      <c r="B96" s="134" t="s">
        <v>149</v>
      </c>
      <c r="C96" s="135" t="s">
        <v>49</v>
      </c>
      <c r="D96" s="32">
        <v>395322063.17000002</v>
      </c>
      <c r="E96" s="33">
        <f t="shared" si="35"/>
        <v>2.0112137106353548E-3</v>
      </c>
      <c r="F96" s="38">
        <v>6837.99</v>
      </c>
      <c r="G96" s="38">
        <v>6868.24</v>
      </c>
      <c r="H96" s="35">
        <v>15</v>
      </c>
      <c r="I96" s="54">
        <v>6.6E-3</v>
      </c>
      <c r="J96" s="54">
        <v>6.6E-3</v>
      </c>
      <c r="K96" s="32">
        <v>397999177.83999997</v>
      </c>
      <c r="L96" s="33">
        <f t="shared" si="36"/>
        <v>2.0037796945365683E-3</v>
      </c>
      <c r="M96" s="38">
        <v>6884.33</v>
      </c>
      <c r="N96" s="38">
        <v>6914.72</v>
      </c>
      <c r="O96" s="35">
        <v>15</v>
      </c>
      <c r="P96" s="54">
        <v>6.7999999999999996E-3</v>
      </c>
      <c r="Q96" s="54">
        <v>1.34E-2</v>
      </c>
      <c r="R96" s="60">
        <f t="shared" si="29"/>
        <v>6.7719839579222264E-3</v>
      </c>
      <c r="S96" s="60">
        <f t="shared" si="30"/>
        <v>6.7673814543464522E-3</v>
      </c>
      <c r="T96" s="60">
        <f t="shared" si="31"/>
        <v>0</v>
      </c>
      <c r="U96" s="61">
        <f t="shared" si="32"/>
        <v>1.9999999999999966E-4</v>
      </c>
      <c r="V96" s="62">
        <f t="shared" si="33"/>
        <v>6.8000000000000005E-3</v>
      </c>
    </row>
    <row r="97" spans="1:28" ht="15" customHeight="1">
      <c r="A97" s="133">
        <v>86</v>
      </c>
      <c r="B97" s="134" t="s">
        <v>150</v>
      </c>
      <c r="C97" s="135" t="s">
        <v>49</v>
      </c>
      <c r="D97" s="32">
        <v>7910497238.3800001</v>
      </c>
      <c r="E97" s="33">
        <f t="shared" si="35"/>
        <v>4.0244909115865181E-2</v>
      </c>
      <c r="F97" s="64">
        <v>138.08000000000001</v>
      </c>
      <c r="G97" s="64">
        <v>138.08000000000001</v>
      </c>
      <c r="H97" s="35">
        <v>4459</v>
      </c>
      <c r="I97" s="54">
        <v>1.5E-3</v>
      </c>
      <c r="J97" s="54">
        <v>1.5E-3</v>
      </c>
      <c r="K97" s="32">
        <v>7812721777.8800001</v>
      </c>
      <c r="L97" s="33">
        <f t="shared" si="36"/>
        <v>3.9334184916012691E-2</v>
      </c>
      <c r="M97" s="64">
        <v>138.49</v>
      </c>
      <c r="N97" s="64">
        <v>138.49</v>
      </c>
      <c r="O97" s="35">
        <v>4461</v>
      </c>
      <c r="P97" s="54">
        <v>3.0000000000000001E-3</v>
      </c>
      <c r="Q97" s="54">
        <v>4.4000000000000003E-3</v>
      </c>
      <c r="R97" s="60">
        <f t="shared" si="29"/>
        <v>-1.236021675421551E-2</v>
      </c>
      <c r="S97" s="60">
        <f t="shared" si="30"/>
        <v>2.9692931633835207E-3</v>
      </c>
      <c r="T97" s="60">
        <f t="shared" si="31"/>
        <v>4.4853106077595876E-4</v>
      </c>
      <c r="U97" s="61">
        <f t="shared" si="32"/>
        <v>1.5E-3</v>
      </c>
      <c r="V97" s="62">
        <f t="shared" si="33"/>
        <v>2.9000000000000002E-3</v>
      </c>
    </row>
    <row r="98" spans="1:28" ht="15" customHeight="1">
      <c r="A98" s="133">
        <v>87</v>
      </c>
      <c r="B98" s="134" t="s">
        <v>151</v>
      </c>
      <c r="C98" s="135" t="s">
        <v>49</v>
      </c>
      <c r="D98" s="32">
        <v>7808092454.21</v>
      </c>
      <c r="E98" s="33">
        <f t="shared" si="35"/>
        <v>3.9723921482881008E-2</v>
      </c>
      <c r="F98" s="64">
        <v>354.73</v>
      </c>
      <c r="G98" s="64">
        <v>355.31</v>
      </c>
      <c r="H98" s="35">
        <v>10175</v>
      </c>
      <c r="I98" s="54">
        <v>3.0000000000000001E-3</v>
      </c>
      <c r="J98" s="54">
        <v>3.0000000000000001E-3</v>
      </c>
      <c r="K98" s="32">
        <v>7751542357.54</v>
      </c>
      <c r="L98" s="33">
        <f t="shared" si="36"/>
        <v>3.9026169002848943E-2</v>
      </c>
      <c r="M98" s="64">
        <v>355.16</v>
      </c>
      <c r="N98" s="64">
        <v>355.75</v>
      </c>
      <c r="O98" s="35">
        <v>10171</v>
      </c>
      <c r="P98" s="54">
        <v>1.1999999999999999E-3</v>
      </c>
      <c r="Q98" s="54">
        <v>4.1999999999999997E-3</v>
      </c>
      <c r="R98" s="60">
        <f t="shared" si="29"/>
        <v>-7.2424983440749552E-3</v>
      </c>
      <c r="S98" s="60">
        <f t="shared" si="30"/>
        <v>1.2383552390869881E-3</v>
      </c>
      <c r="T98" s="60">
        <f t="shared" si="31"/>
        <v>-3.9312039312039312E-4</v>
      </c>
      <c r="U98" s="61">
        <f t="shared" si="32"/>
        <v>-1.8000000000000002E-3</v>
      </c>
      <c r="V98" s="62">
        <f t="shared" si="33"/>
        <v>1.1999999999999997E-3</v>
      </c>
    </row>
    <row r="99" spans="1:28">
      <c r="A99" s="133">
        <v>88</v>
      </c>
      <c r="B99" s="134" t="s">
        <v>152</v>
      </c>
      <c r="C99" s="135" t="s">
        <v>52</v>
      </c>
      <c r="D99" s="32">
        <v>88072464174.899994</v>
      </c>
      <c r="E99" s="33">
        <f t="shared" si="35"/>
        <v>0.44807149405629759</v>
      </c>
      <c r="F99" s="32">
        <v>1.9648000000000001</v>
      </c>
      <c r="G99" s="32">
        <v>1.9648000000000001</v>
      </c>
      <c r="H99" s="35">
        <v>6374</v>
      </c>
      <c r="I99" s="54">
        <v>9.1600000000000001E-2</v>
      </c>
      <c r="J99" s="54">
        <v>8.3799999999999999E-2</v>
      </c>
      <c r="K99" s="32">
        <v>88171615972.570007</v>
      </c>
      <c r="L99" s="33">
        <f t="shared" si="36"/>
        <v>0.44391170524311435</v>
      </c>
      <c r="M99" s="32">
        <v>1.9674</v>
      </c>
      <c r="N99" s="32">
        <v>1.9674</v>
      </c>
      <c r="O99" s="35">
        <v>6380</v>
      </c>
      <c r="P99" s="54">
        <v>7.1400000000000005E-2</v>
      </c>
      <c r="Q99" s="54">
        <v>7.51E-2</v>
      </c>
      <c r="R99" s="60">
        <f t="shared" si="29"/>
        <v>1.1257979278643934E-3</v>
      </c>
      <c r="S99" s="60">
        <f t="shared" si="30"/>
        <v>1.3232899022800975E-3</v>
      </c>
      <c r="T99" s="60">
        <f t="shared" si="31"/>
        <v>9.4132412927518041E-4</v>
      </c>
      <c r="U99" s="61">
        <f t="shared" si="32"/>
        <v>-2.0199999999999996E-2</v>
      </c>
      <c r="V99" s="62">
        <f t="shared" si="33"/>
        <v>-8.6999999999999994E-3</v>
      </c>
    </row>
    <row r="100" spans="1:28">
      <c r="A100" s="133">
        <v>89</v>
      </c>
      <c r="B100" s="134" t="s">
        <v>153</v>
      </c>
      <c r="C100" s="135" t="s">
        <v>52</v>
      </c>
      <c r="D100" s="32">
        <v>8876072726.6900005</v>
      </c>
      <c r="E100" s="33">
        <f t="shared" si="35"/>
        <v>4.5157305467260815E-2</v>
      </c>
      <c r="F100" s="32">
        <v>108.985</v>
      </c>
      <c r="G100" s="32">
        <v>108.985</v>
      </c>
      <c r="H100" s="35">
        <v>184</v>
      </c>
      <c r="I100" s="54">
        <v>0.22259999999999999</v>
      </c>
      <c r="J100" s="54">
        <v>0.22239999999999999</v>
      </c>
      <c r="K100" s="32">
        <v>9477249146.1299992</v>
      </c>
      <c r="L100" s="33">
        <f t="shared" si="36"/>
        <v>4.7714468914590663E-2</v>
      </c>
      <c r="M100" s="32">
        <v>109.40260000000001</v>
      </c>
      <c r="N100" s="32">
        <v>109.40260000000001</v>
      </c>
      <c r="O100" s="35">
        <v>184</v>
      </c>
      <c r="P100" s="54">
        <v>0.22070000000000001</v>
      </c>
      <c r="Q100" s="54">
        <v>0.26540000000000002</v>
      </c>
      <c r="R100" s="60">
        <f t="shared" ref="R100:R102" si="37">((K100-D100)/D100)</f>
        <v>6.7730001539113668E-2</v>
      </c>
      <c r="S100" s="60">
        <f t="shared" ref="S100:S102" si="38">((N100-G100)/G100)</f>
        <v>3.8317199614626538E-3</v>
      </c>
      <c r="T100" s="60">
        <f t="shared" ref="T100:T102" si="39">((O100-H100)/H100)</f>
        <v>0</v>
      </c>
      <c r="U100" s="61">
        <f t="shared" ref="U100:U102" si="40">P100-I100</f>
        <v>-1.899999999999985E-3</v>
      </c>
      <c r="V100" s="62">
        <f t="shared" ref="V100:V102" si="41">Q100-J100</f>
        <v>4.3000000000000038E-2</v>
      </c>
    </row>
    <row r="101" spans="1:28">
      <c r="A101" s="133">
        <v>90</v>
      </c>
      <c r="B101" s="134" t="s">
        <v>154</v>
      </c>
      <c r="C101" s="134" t="s">
        <v>155</v>
      </c>
      <c r="D101" s="32">
        <v>92540969.959999993</v>
      </c>
      <c r="E101" s="33">
        <f t="shared" si="35"/>
        <v>4.7080516095305712E-4</v>
      </c>
      <c r="F101" s="32">
        <v>110.46703845068534</v>
      </c>
      <c r="G101" s="32">
        <v>110.46703845068534</v>
      </c>
      <c r="H101" s="66">
        <v>54</v>
      </c>
      <c r="I101" s="67">
        <v>1.9785959576684143E-3</v>
      </c>
      <c r="J101" s="67">
        <v>5.7641748972714346E-4</v>
      </c>
      <c r="K101" s="32">
        <v>92743762.159999996</v>
      </c>
      <c r="L101" s="68">
        <f t="shared" si="36"/>
        <v>4.6693078216821307E-4</v>
      </c>
      <c r="M101" s="32">
        <v>110.69112616144881</v>
      </c>
      <c r="N101" s="32">
        <v>110.69112616144881</v>
      </c>
      <c r="O101" s="66">
        <v>54</v>
      </c>
      <c r="P101" s="67">
        <v>2.0285481887296853E-3</v>
      </c>
      <c r="Q101" s="67">
        <v>2.606134969111551E-3</v>
      </c>
      <c r="R101" s="60">
        <f t="shared" si="37"/>
        <v>2.1913775064996413E-3</v>
      </c>
      <c r="S101" s="60">
        <f t="shared" si="38"/>
        <v>2.0285481887296853E-3</v>
      </c>
      <c r="T101" s="60">
        <f t="shared" si="39"/>
        <v>0</v>
      </c>
      <c r="U101" s="61">
        <f t="shared" si="40"/>
        <v>4.9952231061271054E-5</v>
      </c>
      <c r="V101" s="62">
        <f t="shared" si="41"/>
        <v>2.0297174793844075E-3</v>
      </c>
    </row>
    <row r="102" spans="1:28">
      <c r="A102" s="133">
        <v>91</v>
      </c>
      <c r="B102" s="134" t="s">
        <v>156</v>
      </c>
      <c r="C102" s="135" t="s">
        <v>111</v>
      </c>
      <c r="D102" s="32">
        <v>258361440.83000001</v>
      </c>
      <c r="E102" s="33">
        <f t="shared" si="35"/>
        <v>1.3144221395843246E-3</v>
      </c>
      <c r="F102" s="32">
        <v>1.0871</v>
      </c>
      <c r="G102" s="32">
        <v>1.0871</v>
      </c>
      <c r="H102" s="35">
        <v>381</v>
      </c>
      <c r="I102" s="54">
        <v>1.0765E-2</v>
      </c>
      <c r="J102" s="54">
        <v>9.8230000000000001E-3</v>
      </c>
      <c r="K102" s="32">
        <v>258630553.66999999</v>
      </c>
      <c r="L102" s="33">
        <f t="shared" si="36"/>
        <v>1.3021098552093836E-3</v>
      </c>
      <c r="M102" s="32">
        <v>1.0887</v>
      </c>
      <c r="N102" s="32">
        <v>1.0887</v>
      </c>
      <c r="O102" s="35">
        <v>384</v>
      </c>
      <c r="P102" s="54">
        <v>-5.1999999999999997E-5</v>
      </c>
      <c r="Q102" s="54">
        <v>1.1283E-2</v>
      </c>
      <c r="R102" s="60">
        <f t="shared" si="37"/>
        <v>1.0416137916534074E-3</v>
      </c>
      <c r="S102" s="60">
        <f t="shared" si="38"/>
        <v>1.471805721644785E-3</v>
      </c>
      <c r="T102" s="60">
        <f t="shared" si="39"/>
        <v>7.874015748031496E-3</v>
      </c>
      <c r="U102" s="61">
        <f t="shared" si="40"/>
        <v>-1.0817E-2</v>
      </c>
      <c r="V102" s="62">
        <f t="shared" si="41"/>
        <v>1.4599999999999995E-3</v>
      </c>
    </row>
    <row r="103" spans="1:28">
      <c r="A103" s="133">
        <v>92</v>
      </c>
      <c r="B103" s="134" t="s">
        <v>157</v>
      </c>
      <c r="C103" s="135" t="s">
        <v>113</v>
      </c>
      <c r="D103" s="32">
        <v>2099527591.0799999</v>
      </c>
      <c r="E103" s="33">
        <f t="shared" si="35"/>
        <v>1.0681414144146752E-2</v>
      </c>
      <c r="F103" s="64">
        <v>27.906500000000001</v>
      </c>
      <c r="G103" s="64">
        <v>27.906500000000001</v>
      </c>
      <c r="H103" s="35">
        <v>1296</v>
      </c>
      <c r="I103" s="54">
        <v>0.1182</v>
      </c>
      <c r="J103" s="54">
        <v>0.1182</v>
      </c>
      <c r="K103" s="32">
        <v>2104882144.3299999</v>
      </c>
      <c r="L103" s="33">
        <f t="shared" si="36"/>
        <v>1.0597308575086086E-2</v>
      </c>
      <c r="M103" s="64">
        <v>28.1724</v>
      </c>
      <c r="N103" s="64">
        <v>28.1724</v>
      </c>
      <c r="O103" s="35">
        <v>1298</v>
      </c>
      <c r="P103" s="54">
        <v>0.1268</v>
      </c>
      <c r="Q103" s="54">
        <v>0.1268</v>
      </c>
      <c r="R103" s="60">
        <f t="shared" si="29"/>
        <v>2.5503609825130282E-3</v>
      </c>
      <c r="S103" s="60">
        <f t="shared" si="30"/>
        <v>9.5282461075376149E-3</v>
      </c>
      <c r="T103" s="60">
        <f t="shared" si="31"/>
        <v>1.5432098765432098E-3</v>
      </c>
      <c r="U103" s="61">
        <f t="shared" si="32"/>
        <v>8.5999999999999965E-3</v>
      </c>
      <c r="V103" s="62">
        <f t="shared" si="33"/>
        <v>8.5999999999999965E-3</v>
      </c>
    </row>
    <row r="104" spans="1:28">
      <c r="A104" s="39"/>
      <c r="B104" s="40"/>
      <c r="C104" s="41" t="s">
        <v>53</v>
      </c>
      <c r="D104" s="52">
        <f>SUM(D68:D103)</f>
        <v>196558953968.70349</v>
      </c>
      <c r="E104" s="43">
        <f>(D104/$D$211)</f>
        <v>5.061395363441748E-2</v>
      </c>
      <c r="F104" s="44"/>
      <c r="G104" s="49"/>
      <c r="H104" s="46">
        <f>SUM(H68:H103)</f>
        <v>50603</v>
      </c>
      <c r="I104" s="57"/>
      <c r="J104" s="57"/>
      <c r="K104" s="52">
        <f>SUM(K68:K103)</f>
        <v>198624219481.39801</v>
      </c>
      <c r="L104" s="43">
        <f>(K104/$K$211)</f>
        <v>5.0105566626069062E-2</v>
      </c>
      <c r="M104" s="44"/>
      <c r="N104" s="49"/>
      <c r="O104" s="46">
        <f>SUM(O68:O103)</f>
        <v>50622</v>
      </c>
      <c r="P104" s="57"/>
      <c r="Q104" s="57"/>
      <c r="R104" s="60">
        <f t="shared" si="29"/>
        <v>1.0507104718431472E-2</v>
      </c>
      <c r="S104" s="60" t="e">
        <f t="shared" si="30"/>
        <v>#DIV/0!</v>
      </c>
      <c r="T104" s="60">
        <f t="shared" si="31"/>
        <v>3.7547180997174083E-4</v>
      </c>
      <c r="U104" s="61">
        <f t="shared" si="32"/>
        <v>0</v>
      </c>
      <c r="V104" s="62">
        <f t="shared" si="33"/>
        <v>0</v>
      </c>
    </row>
    <row r="105" spans="1:28" ht="3.75" customHeight="1">
      <c r="A105" s="39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</row>
    <row r="106" spans="1:28" ht="15" customHeight="1">
      <c r="A106" s="184" t="s">
        <v>158</v>
      </c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</row>
    <row r="107" spans="1:28">
      <c r="A107" s="183" t="s">
        <v>159</v>
      </c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Z107" s="69"/>
      <c r="AB107" s="72"/>
    </row>
    <row r="108" spans="1:28" ht="16.5" customHeight="1">
      <c r="A108" s="133">
        <v>93</v>
      </c>
      <c r="B108" s="134" t="s">
        <v>160</v>
      </c>
      <c r="C108" s="135" t="s">
        <v>19</v>
      </c>
      <c r="D108" s="32">
        <f>1851773.43*1534.5585</f>
        <v>2841654657.0806551</v>
      </c>
      <c r="E108" s="33">
        <f>(D108/$D$140)</f>
        <v>1.6617481460935103E-3</v>
      </c>
      <c r="F108" s="32">
        <f>112.1169*1534.5585</f>
        <v>172049.94188865001</v>
      </c>
      <c r="G108" s="32">
        <f>112.1169*1534.5585</f>
        <v>172049.94188865001</v>
      </c>
      <c r="H108" s="35">
        <v>251</v>
      </c>
      <c r="I108" s="54">
        <v>8.9999999999999998E-4</v>
      </c>
      <c r="J108" s="54">
        <v>5.8000000000000003E-2</v>
      </c>
      <c r="K108" s="32">
        <f>1814202.06*1542.0256</f>
        <v>2797546020.0927358</v>
      </c>
      <c r="L108" s="33">
        <f t="shared" ref="L108:L123" si="42">(K108/$K$140)</f>
        <v>1.6252766032388401E-3</v>
      </c>
      <c r="M108" s="32">
        <f>109.8422*1542.0256</f>
        <v>169379.48436032</v>
      </c>
      <c r="N108" s="32">
        <f>109.8422*1542.0256</f>
        <v>169379.48436032</v>
      </c>
      <c r="O108" s="35">
        <v>251</v>
      </c>
      <c r="P108" s="54">
        <v>-2.0299999999999999E-2</v>
      </c>
      <c r="Q108" s="54">
        <v>-2E-3</v>
      </c>
      <c r="R108" s="61">
        <f>((K108-D108)/D108)</f>
        <v>-1.5522166593330482E-2</v>
      </c>
      <c r="S108" s="61">
        <f>((N108-G108)/G108)</f>
        <v>-1.5521409068875572E-2</v>
      </c>
      <c r="T108" s="61">
        <f>((O108-H108)/H108)</f>
        <v>0</v>
      </c>
      <c r="U108" s="61">
        <f>P108-I108</f>
        <v>-2.12E-2</v>
      </c>
      <c r="V108" s="62">
        <f>Q108-J108</f>
        <v>-6.0000000000000005E-2</v>
      </c>
      <c r="X108" s="69"/>
      <c r="Y108" s="73"/>
      <c r="Z108" s="69"/>
      <c r="AA108" s="74"/>
    </row>
    <row r="109" spans="1:28" ht="16.5" customHeight="1">
      <c r="A109" s="133">
        <v>94</v>
      </c>
      <c r="B109" s="134" t="s">
        <v>161</v>
      </c>
      <c r="C109" s="135" t="s">
        <v>57</v>
      </c>
      <c r="D109" s="32">
        <f>1509325.41*1534.5585</f>
        <v>2316148137.1814852</v>
      </c>
      <c r="E109" s="33">
        <f>(D109/$D$140)</f>
        <v>1.3544414566523549E-3</v>
      </c>
      <c r="F109" s="32">
        <f>100*1534.5585</f>
        <v>153455.85</v>
      </c>
      <c r="G109" s="32">
        <f>100*1534.5585</f>
        <v>153455.85</v>
      </c>
      <c r="H109" s="35">
        <v>35</v>
      </c>
      <c r="I109" s="54">
        <v>-4.2620000000000002E-3</v>
      </c>
      <c r="J109" s="54">
        <v>6.9206000000000004E-2</v>
      </c>
      <c r="K109" s="32">
        <f>1514341.09*1542.0256</f>
        <v>2335152727.9119039</v>
      </c>
      <c r="L109" s="33">
        <f t="shared" si="42"/>
        <v>1.3566422380207211E-3</v>
      </c>
      <c r="M109" s="32">
        <f>100*1542.0256</f>
        <v>154202.56</v>
      </c>
      <c r="N109" s="32">
        <f>100*1542.0256</f>
        <v>154202.56</v>
      </c>
      <c r="O109" s="35">
        <v>35</v>
      </c>
      <c r="P109" s="54">
        <v>4.1599999999999997E-4</v>
      </c>
      <c r="Q109" s="54">
        <v>6.9622000000000003E-2</v>
      </c>
      <c r="R109" s="61">
        <f>((K109-D109)/D109)</f>
        <v>8.2052570063784087E-3</v>
      </c>
      <c r="S109" s="61">
        <f>((N109-G109)/G109)</f>
        <v>4.8659598184102584E-3</v>
      </c>
      <c r="T109" s="61">
        <f>((O109-H109)/H109)</f>
        <v>0</v>
      </c>
      <c r="U109" s="61">
        <f>P109-I109</f>
        <v>4.6779999999999999E-3</v>
      </c>
      <c r="V109" s="62">
        <f>Q109-J109</f>
        <v>4.159999999999997E-4</v>
      </c>
      <c r="X109" s="69"/>
      <c r="Y109" s="73"/>
      <c r="Z109" s="69"/>
      <c r="AA109" s="74"/>
    </row>
    <row r="110" spans="1:28">
      <c r="A110" s="133">
        <v>95</v>
      </c>
      <c r="B110" s="134" t="s">
        <v>162</v>
      </c>
      <c r="C110" s="135" t="s">
        <v>23</v>
      </c>
      <c r="D110" s="32">
        <f>9771636.92*1542.2</f>
        <v>15069818458.024</v>
      </c>
      <c r="E110" s="33">
        <f>(D110/$D$140)</f>
        <v>8.8125567342211934E-3</v>
      </c>
      <c r="F110" s="32">
        <f>1.1369*1542.2</f>
        <v>1753.32718</v>
      </c>
      <c r="G110" s="32">
        <f>1.1369*1542.2</f>
        <v>1753.32718</v>
      </c>
      <c r="H110" s="35">
        <v>306</v>
      </c>
      <c r="I110" s="54">
        <v>-1.2524</v>
      </c>
      <c r="J110" s="54">
        <v>-3.2899999999999999E-2</v>
      </c>
      <c r="K110" s="32">
        <f>10151207.97*1551.47</f>
        <v>15749294629.2159</v>
      </c>
      <c r="L110" s="33">
        <f t="shared" si="42"/>
        <v>9.1497905287474812E-3</v>
      </c>
      <c r="M110" s="32">
        <f>1.1383*1551.47</f>
        <v>1766.0383010000003</v>
      </c>
      <c r="N110" s="32">
        <f>1.1383*1551.47</f>
        <v>1766.0383010000003</v>
      </c>
      <c r="O110" s="35">
        <v>308</v>
      </c>
      <c r="P110" s="54">
        <v>6.4199999999999993E-2</v>
      </c>
      <c r="Q110" s="54">
        <v>7.7100000000000002E-2</v>
      </c>
      <c r="R110" s="61">
        <f t="shared" ref="R110:R121" si="43">((K110-D110)/D110)</f>
        <v>4.5088543905458252E-2</v>
      </c>
      <c r="S110" s="61">
        <f t="shared" ref="S110:S121" si="44">((N110-G110)/G110)</f>
        <v>7.2497142261835441E-3</v>
      </c>
      <c r="T110" s="61">
        <f t="shared" ref="T110:T121" si="45">((O110-H110)/H110)</f>
        <v>6.5359477124183009E-3</v>
      </c>
      <c r="U110" s="61">
        <f t="shared" ref="U110:U121" si="46">P110-I110</f>
        <v>1.3166</v>
      </c>
      <c r="V110" s="62">
        <f t="shared" ref="V110:V121" si="47">Q110-J110</f>
        <v>0.11</v>
      </c>
    </row>
    <row r="111" spans="1:28">
      <c r="A111" s="133">
        <v>96</v>
      </c>
      <c r="B111" s="134" t="s">
        <v>305</v>
      </c>
      <c r="C111" s="135" t="s">
        <v>23</v>
      </c>
      <c r="D111" s="32">
        <v>0</v>
      </c>
      <c r="E111" s="33"/>
      <c r="F111" s="32">
        <v>0</v>
      </c>
      <c r="G111" s="32">
        <v>0</v>
      </c>
      <c r="H111" s="35">
        <v>0</v>
      </c>
      <c r="I111" s="54">
        <v>0</v>
      </c>
      <c r="J111" s="54">
        <v>0</v>
      </c>
      <c r="K111" s="32">
        <f>562129.39*1551.47</f>
        <v>872126884.7033</v>
      </c>
      <c r="L111" s="33">
        <f t="shared" si="42"/>
        <v>5.0667528275973235E-4</v>
      </c>
      <c r="M111" s="32">
        <f>1.0002*1551.47</f>
        <v>1551.7802939999999</v>
      </c>
      <c r="N111" s="32">
        <f>1.0002*1551.47</f>
        <v>1551.7802939999999</v>
      </c>
      <c r="O111" s="35">
        <v>5</v>
      </c>
      <c r="P111" s="54">
        <v>1.04E-2</v>
      </c>
      <c r="Q111" s="54">
        <v>7.3000000000000001E-3</v>
      </c>
      <c r="R111" s="61"/>
      <c r="S111" s="61"/>
      <c r="T111" s="61"/>
      <c r="U111" s="61"/>
      <c r="V111" s="62"/>
    </row>
    <row r="112" spans="1:28">
      <c r="A112" s="133">
        <v>97</v>
      </c>
      <c r="B112" s="134" t="s">
        <v>163</v>
      </c>
      <c r="C112" s="135" t="s">
        <v>27</v>
      </c>
      <c r="D112" s="32">
        <f>3197450.05*1534.5585</f>
        <v>4906674152.5529251</v>
      </c>
      <c r="E112" s="33">
        <f>(D112/$D$140)</f>
        <v>2.8693341241072361E-3</v>
      </c>
      <c r="F112" s="32">
        <f xml:space="preserve"> 1.0759*1534.5585</f>
        <v>1651.0314901500003</v>
      </c>
      <c r="G112" s="32">
        <f xml:space="preserve"> 1.0759*1534.5585</f>
        <v>1651.0314901500003</v>
      </c>
      <c r="H112" s="35">
        <v>291</v>
      </c>
      <c r="I112" s="54">
        <v>4.3E-3</v>
      </c>
      <c r="J112" s="54">
        <v>6.9999999999999999E-4</v>
      </c>
      <c r="K112" s="32">
        <f>3319321.26*1542.0256</f>
        <v>5118478357.5442553</v>
      </c>
      <c r="L112" s="33">
        <f t="shared" si="42"/>
        <v>2.9736572906941061E-3</v>
      </c>
      <c r="M112" s="32">
        <f>1.0775*1542.0256</f>
        <v>1661.5325839999998</v>
      </c>
      <c r="N112" s="32">
        <f>1.0775*1542.0256</f>
        <v>1661.5325839999998</v>
      </c>
      <c r="O112" s="35">
        <v>291</v>
      </c>
      <c r="P112" s="54">
        <v>5.7999999999999996E-3</v>
      </c>
      <c r="Q112" s="54">
        <v>6.4999999999999997E-3</v>
      </c>
      <c r="R112" s="61">
        <f t="shared" si="43"/>
        <v>4.3166552007764605E-2</v>
      </c>
      <c r="S112" s="61">
        <f t="shared" ref="S112:T115" si="48">((N112-G112)/G112)</f>
        <v>6.3603231753292938E-3</v>
      </c>
      <c r="T112" s="61">
        <f t="shared" si="48"/>
        <v>0</v>
      </c>
      <c r="U112" s="61">
        <f t="shared" si="46"/>
        <v>1.4999999999999996E-3</v>
      </c>
      <c r="V112" s="62">
        <f t="shared" si="47"/>
        <v>5.7999999999999996E-3</v>
      </c>
    </row>
    <row r="113" spans="1:24">
      <c r="A113" s="133">
        <v>98</v>
      </c>
      <c r="B113" s="134" t="s">
        <v>164</v>
      </c>
      <c r="C113" s="135" t="s">
        <v>63</v>
      </c>
      <c r="D113" s="32">
        <f>426812.46*1534.5585</f>
        <v>654968688.39891005</v>
      </c>
      <c r="E113" s="33">
        <f>(D113/$D$140)</f>
        <v>3.8301381942531197E-4</v>
      </c>
      <c r="F113" s="32">
        <f>1.07*1534.5585</f>
        <v>1641.9775950000003</v>
      </c>
      <c r="G113" s="32">
        <f>1.08*1534.5585</f>
        <v>1657.3231800000003</v>
      </c>
      <c r="H113" s="35">
        <v>18</v>
      </c>
      <c r="I113" s="54">
        <v>0.36699999999999999</v>
      </c>
      <c r="J113" s="54">
        <v>0.96</v>
      </c>
      <c r="K113" s="32">
        <f>426237.39*1542.0256</f>
        <v>657268967.05718398</v>
      </c>
      <c r="L113" s="33">
        <f t="shared" si="42"/>
        <v>3.8185033115472749E-4</v>
      </c>
      <c r="M113" s="32">
        <f>1.07*1542.0256</f>
        <v>1649.967392</v>
      </c>
      <c r="N113" s="32">
        <f>1.08*1542.0256</f>
        <v>1665.3876480000001</v>
      </c>
      <c r="O113" s="35">
        <v>18</v>
      </c>
      <c r="P113" s="54">
        <v>-5.8999999999999997E-2</v>
      </c>
      <c r="Q113" s="54">
        <v>0.253</v>
      </c>
      <c r="R113" s="61">
        <f t="shared" si="43"/>
        <v>3.5120437037945021E-3</v>
      </c>
      <c r="S113" s="61">
        <f t="shared" si="48"/>
        <v>4.8659598184101933E-3</v>
      </c>
      <c r="T113" s="61">
        <f t="shared" si="48"/>
        <v>0</v>
      </c>
      <c r="U113" s="61">
        <f t="shared" si="46"/>
        <v>-0.42599999999999999</v>
      </c>
      <c r="V113" s="62">
        <f t="shared" si="47"/>
        <v>-0.70699999999999996</v>
      </c>
    </row>
    <row r="114" spans="1:24">
      <c r="A114" s="133">
        <v>99</v>
      </c>
      <c r="B114" s="134" t="s">
        <v>165</v>
      </c>
      <c r="C114" s="135" t="s">
        <v>29</v>
      </c>
      <c r="D114" s="32">
        <f>224547.71*1534.5585</f>
        <v>344581597.036035</v>
      </c>
      <c r="E114" s="33">
        <v>0</v>
      </c>
      <c r="F114" s="32">
        <f>1.2022*1534.5585</f>
        <v>1844.8462287</v>
      </c>
      <c r="G114" s="32">
        <f>1.2022*1534.5585</f>
        <v>1844.8462287</v>
      </c>
      <c r="H114" s="35">
        <v>38</v>
      </c>
      <c r="I114" s="54">
        <v>4.1599999999999997E-4</v>
      </c>
      <c r="J114" s="54">
        <v>8.0000000000000004E-4</v>
      </c>
      <c r="K114" s="32">
        <f>226215.93*1542.0256</f>
        <v>348830755.18780798</v>
      </c>
      <c r="L114" s="33">
        <f t="shared" si="42"/>
        <v>2.0265849456091743E-4</v>
      </c>
      <c r="M114" s="32">
        <f>1.2058*1542.0256</f>
        <v>1859.3744684799999</v>
      </c>
      <c r="N114" s="32">
        <f>1.2058*1542.0256</f>
        <v>1859.3744684799999</v>
      </c>
      <c r="O114" s="35">
        <v>38</v>
      </c>
      <c r="P114" s="54">
        <v>4.15E-4</v>
      </c>
      <c r="Q114" s="54">
        <v>3.8E-3</v>
      </c>
      <c r="R114" s="61">
        <f t="shared" si="43"/>
        <v>1.2331355441853778E-2</v>
      </c>
      <c r="S114" s="61">
        <f t="shared" si="48"/>
        <v>7.8750410489428577E-3</v>
      </c>
      <c r="T114" s="61">
        <f t="shared" si="48"/>
        <v>0</v>
      </c>
      <c r="U114" s="61">
        <f t="shared" si="46"/>
        <v>-9.999999999999701E-7</v>
      </c>
      <c r="V114" s="62">
        <f t="shared" si="47"/>
        <v>3.0000000000000001E-3</v>
      </c>
    </row>
    <row r="115" spans="1:24">
      <c r="A115" s="133">
        <v>100</v>
      </c>
      <c r="B115" s="134" t="s">
        <v>166</v>
      </c>
      <c r="C115" s="135" t="s">
        <v>73</v>
      </c>
      <c r="D115" s="32">
        <f>430881.765*1534.5585</f>
        <v>661213274.97575259</v>
      </c>
      <c r="E115" s="33">
        <f t="shared" ref="E115:E123" si="49">(D115/$D$140)</f>
        <v>3.8666554048907034E-4</v>
      </c>
      <c r="F115" s="32">
        <f>107.08*1534.5585</f>
        <v>164320.52418000001</v>
      </c>
      <c r="G115" s="32">
        <f>108.92*1534.5585</f>
        <v>167144.11182000002</v>
      </c>
      <c r="H115" s="35">
        <v>45</v>
      </c>
      <c r="I115" s="54">
        <v>8.6999999999999994E-3</v>
      </c>
      <c r="J115" s="54">
        <v>8.6999999999999994E-3</v>
      </c>
      <c r="K115" s="32">
        <f>423116.65*1542.0256</f>
        <v>652456706.08624005</v>
      </c>
      <c r="L115" s="33">
        <f t="shared" si="42"/>
        <v>3.7905457547865272E-4</v>
      </c>
      <c r="M115" s="32">
        <f>102.87*1542.0256</f>
        <v>158628.17347199999</v>
      </c>
      <c r="N115" s="32">
        <f>102.97*1542.0256</f>
        <v>158782.376032</v>
      </c>
      <c r="O115" s="35">
        <v>44</v>
      </c>
      <c r="P115" s="54">
        <v>4.0000000000000002E-4</v>
      </c>
      <c r="Q115" s="54">
        <v>9.1000000000000004E-3</v>
      </c>
      <c r="R115" s="61">
        <f t="shared" si="43"/>
        <v>-1.3243183736493571E-2</v>
      </c>
      <c r="S115" s="61">
        <f t="shared" si="48"/>
        <v>-5.0027103539279312E-2</v>
      </c>
      <c r="T115" s="61">
        <f t="shared" si="48"/>
        <v>-2.2222222222222223E-2</v>
      </c>
      <c r="U115" s="61">
        <f t="shared" si="46"/>
        <v>-8.3000000000000001E-3</v>
      </c>
      <c r="V115" s="62">
        <f t="shared" si="47"/>
        <v>4.0000000000000105E-4</v>
      </c>
    </row>
    <row r="116" spans="1:24">
      <c r="A116" s="133">
        <v>101</v>
      </c>
      <c r="B116" s="134" t="s">
        <v>167</v>
      </c>
      <c r="C116" s="135" t="s">
        <v>76</v>
      </c>
      <c r="D116" s="32">
        <v>4974964167.9024</v>
      </c>
      <c r="E116" s="33">
        <f t="shared" si="49"/>
        <v>2.9092688875102845E-3</v>
      </c>
      <c r="F116" s="32">
        <v>170774.12342399999</v>
      </c>
      <c r="G116" s="32">
        <v>170774.12342399999</v>
      </c>
      <c r="H116" s="35">
        <v>56</v>
      </c>
      <c r="I116" s="54">
        <v>4.4000000000000002E-4</v>
      </c>
      <c r="J116" s="54">
        <v>0.1195</v>
      </c>
      <c r="K116" s="32">
        <v>5020732393.1982002</v>
      </c>
      <c r="L116" s="33">
        <f t="shared" si="42"/>
        <v>2.9168702967459618E-3</v>
      </c>
      <c r="M116" s="32">
        <v>171815.912457</v>
      </c>
      <c r="N116" s="32">
        <v>171815.912457</v>
      </c>
      <c r="O116" s="35">
        <v>57</v>
      </c>
      <c r="P116" s="54" t="s">
        <v>301</v>
      </c>
      <c r="Q116" s="54">
        <v>7.6499999999999999E-2</v>
      </c>
      <c r="R116" s="61">
        <f t="shared" si="43"/>
        <v>9.1997095358171237E-3</v>
      </c>
      <c r="S116" s="61">
        <f t="shared" si="44"/>
        <v>6.100391629084473E-3</v>
      </c>
      <c r="T116" s="61">
        <f t="shared" si="45"/>
        <v>1.7857142857142856E-2</v>
      </c>
      <c r="U116" s="61">
        <f t="shared" si="46"/>
        <v>4.5999999999999996E-4</v>
      </c>
      <c r="V116" s="62">
        <f t="shared" si="47"/>
        <v>-4.2999999999999997E-2</v>
      </c>
      <c r="X116" s="70"/>
    </row>
    <row r="117" spans="1:24">
      <c r="A117" s="133">
        <v>102</v>
      </c>
      <c r="B117" s="134" t="s">
        <v>168</v>
      </c>
      <c r="C117" s="135" t="s">
        <v>31</v>
      </c>
      <c r="D117" s="32">
        <v>49820911834.580002</v>
      </c>
      <c r="E117" s="33">
        <f t="shared" si="49"/>
        <v>2.9134366370491625E-2</v>
      </c>
      <c r="F117" s="32">
        <v>194300.54</v>
      </c>
      <c r="G117" s="32">
        <v>194300.54</v>
      </c>
      <c r="H117" s="35">
        <v>2266</v>
      </c>
      <c r="I117" s="54">
        <v>2.1299999999999999E-3</v>
      </c>
      <c r="J117" s="54">
        <v>5.0000000000000001E-4</v>
      </c>
      <c r="K117" s="32">
        <v>50190620168.18</v>
      </c>
      <c r="L117" s="33">
        <f t="shared" si="42"/>
        <v>2.9158998663652486E-2</v>
      </c>
      <c r="M117" s="32">
        <v>195409.32</v>
      </c>
      <c r="N117" s="32">
        <v>195409.32</v>
      </c>
      <c r="O117" s="35" t="s">
        <v>300</v>
      </c>
      <c r="P117" s="54">
        <v>1.5E-3</v>
      </c>
      <c r="Q117" s="54">
        <v>2E-3</v>
      </c>
      <c r="R117" s="61">
        <f t="shared" si="43"/>
        <v>7.4207460278434539E-3</v>
      </c>
      <c r="S117" s="61">
        <f t="shared" si="44"/>
        <v>5.7065204244928953E-3</v>
      </c>
      <c r="T117" s="61" t="e">
        <f t="shared" si="45"/>
        <v>#VALUE!</v>
      </c>
      <c r="U117" s="61">
        <f t="shared" si="46"/>
        <v>-6.2999999999999992E-4</v>
      </c>
      <c r="V117" s="62">
        <f t="shared" si="47"/>
        <v>1.5E-3</v>
      </c>
    </row>
    <row r="118" spans="1:24">
      <c r="A118" s="133">
        <v>103</v>
      </c>
      <c r="B118" s="175" t="s">
        <v>169</v>
      </c>
      <c r="C118" s="175" t="s">
        <v>31</v>
      </c>
      <c r="D118" s="32">
        <v>106798383354.14</v>
      </c>
      <c r="E118" s="33">
        <f t="shared" si="49"/>
        <v>6.2453759151314403E-2</v>
      </c>
      <c r="F118" s="32">
        <v>182530.34</v>
      </c>
      <c r="G118" s="32">
        <v>182530.34</v>
      </c>
      <c r="H118" s="35">
        <v>637</v>
      </c>
      <c r="I118" s="54">
        <v>1.2999999999999999E-3</v>
      </c>
      <c r="J118" s="54">
        <v>5.0000000000000001E-4</v>
      </c>
      <c r="K118" s="32">
        <v>109104783082.89999</v>
      </c>
      <c r="L118" s="33">
        <f t="shared" si="42"/>
        <v>6.3386071211156705E-2</v>
      </c>
      <c r="M118" s="32">
        <v>183605.14</v>
      </c>
      <c r="N118" s="32">
        <v>183605.14</v>
      </c>
      <c r="O118" s="35">
        <v>651</v>
      </c>
      <c r="P118" s="54">
        <v>1.6999999999999999E-3</v>
      </c>
      <c r="Q118" s="54">
        <v>2.2000000000000001E-3</v>
      </c>
      <c r="R118" s="61">
        <f t="shared" si="43"/>
        <v>2.1595829977238957E-2</v>
      </c>
      <c r="S118" s="61">
        <f t="shared" si="44"/>
        <v>5.8883361527733826E-3</v>
      </c>
      <c r="T118" s="61">
        <f t="shared" si="45"/>
        <v>2.197802197802198E-2</v>
      </c>
      <c r="U118" s="61">
        <f t="shared" si="46"/>
        <v>3.9999999999999996E-4</v>
      </c>
      <c r="V118" s="62">
        <f t="shared" si="47"/>
        <v>1.7000000000000001E-3</v>
      </c>
    </row>
    <row r="119" spans="1:24">
      <c r="A119" s="133">
        <v>104</v>
      </c>
      <c r="B119" s="134" t="s">
        <v>170</v>
      </c>
      <c r="C119" s="135" t="s">
        <v>35</v>
      </c>
      <c r="D119" s="32">
        <f>126618.86*1534.5585</f>
        <v>194304047.87331</v>
      </c>
      <c r="E119" s="33">
        <f t="shared" si="49"/>
        <v>1.1362548595671001E-4</v>
      </c>
      <c r="F119" s="32">
        <f>112.97*1534.5585</f>
        <v>173359.073745</v>
      </c>
      <c r="G119" s="32">
        <f>112.97*1534.5585</f>
        <v>173359.073745</v>
      </c>
      <c r="H119" s="35">
        <v>7</v>
      </c>
      <c r="I119" s="54">
        <f>-0.88%</f>
        <v>-8.8000000000000005E-3</v>
      </c>
      <c r="J119" s="54">
        <v>-1.4200000000000001E-2</v>
      </c>
      <c r="K119" s="32">
        <f>137649.58*1542.0256</f>
        <v>212259176.18924797</v>
      </c>
      <c r="L119" s="33">
        <f t="shared" si="42"/>
        <v>1.2331517351471476E-4</v>
      </c>
      <c r="M119" s="32">
        <f>114.01*1542.0256</f>
        <v>175806.33865600001</v>
      </c>
      <c r="N119" s="32">
        <f>114.01*1542.0256</f>
        <v>175806.33865600001</v>
      </c>
      <c r="O119" s="35">
        <v>7</v>
      </c>
      <c r="P119" s="54">
        <v>2.2000000000000001E-3</v>
      </c>
      <c r="Q119" s="54">
        <v>4.4000000000000003E-3</v>
      </c>
      <c r="R119" s="61">
        <f t="shared" si="43"/>
        <v>9.2407381691013757E-2</v>
      </c>
      <c r="S119" s="61">
        <f t="shared" si="44"/>
        <v>1.4116739655633915E-2</v>
      </c>
      <c r="T119" s="61">
        <f t="shared" si="45"/>
        <v>0</v>
      </c>
      <c r="U119" s="61">
        <f t="shared" si="46"/>
        <v>1.1000000000000001E-2</v>
      </c>
      <c r="V119" s="62">
        <f t="shared" si="47"/>
        <v>1.8600000000000002E-2</v>
      </c>
    </row>
    <row r="120" spans="1:24">
      <c r="A120" s="133">
        <v>105</v>
      </c>
      <c r="B120" s="134" t="s">
        <v>171</v>
      </c>
      <c r="C120" s="135" t="s">
        <v>41</v>
      </c>
      <c r="D120" s="32">
        <f>10113390.75*1534.5585</f>
        <v>15519589739.233875</v>
      </c>
      <c r="E120" s="33">
        <f t="shared" si="49"/>
        <v>9.0755748285748731E-3</v>
      </c>
      <c r="F120" s="32">
        <f>1.39*1534.5585</f>
        <v>2133.0363149999998</v>
      </c>
      <c r="G120" s="32">
        <f>1.39*1534.5585</f>
        <v>2133.0363149999998</v>
      </c>
      <c r="H120" s="50">
        <v>112</v>
      </c>
      <c r="I120" s="57">
        <v>6.9999999999999999E-4</v>
      </c>
      <c r="J120" s="57">
        <v>4.0000000000000002E-4</v>
      </c>
      <c r="K120" s="32">
        <f>10176318.25*1542.0256</f>
        <v>15692143255.2472</v>
      </c>
      <c r="L120" s="33">
        <f t="shared" si="42"/>
        <v>9.1165875750562307E-3</v>
      </c>
      <c r="M120" s="32">
        <f>1.39*1542.0256</f>
        <v>2143.4155839999999</v>
      </c>
      <c r="N120" s="32">
        <f>1.39*1542.0256</f>
        <v>2143.4155839999999</v>
      </c>
      <c r="O120" s="50">
        <v>112</v>
      </c>
      <c r="P120" s="57">
        <v>8.9999999999999998E-4</v>
      </c>
      <c r="Q120" s="57">
        <v>4.9099999999999998E-2</v>
      </c>
      <c r="R120" s="61">
        <f t="shared" si="43"/>
        <v>1.1118432826681336E-2</v>
      </c>
      <c r="S120" s="61">
        <f t="shared" si="44"/>
        <v>4.8659598184103226E-3</v>
      </c>
      <c r="T120" s="61">
        <f t="shared" si="45"/>
        <v>0</v>
      </c>
      <c r="U120" s="61">
        <f t="shared" si="46"/>
        <v>1.9999999999999998E-4</v>
      </c>
      <c r="V120" s="62">
        <f t="shared" si="47"/>
        <v>4.87E-2</v>
      </c>
    </row>
    <row r="121" spans="1:24">
      <c r="A121" s="133">
        <v>106</v>
      </c>
      <c r="B121" s="134" t="s">
        <v>172</v>
      </c>
      <c r="C121" s="135" t="s">
        <v>90</v>
      </c>
      <c r="D121" s="32">
        <f>19711771*1534.5585</f>
        <v>30248865738.1035</v>
      </c>
      <c r="E121" s="33">
        <f t="shared" si="49"/>
        <v>1.7688988504101076E-2</v>
      </c>
      <c r="F121" s="32">
        <f>103.24*1534.5585</f>
        <v>158427.81954</v>
      </c>
      <c r="G121" s="32">
        <f>103.24*1534.5585</f>
        <v>158427.81954</v>
      </c>
      <c r="H121" s="35">
        <v>484</v>
      </c>
      <c r="I121" s="57">
        <v>4.5999999999999999E-3</v>
      </c>
      <c r="J121" s="54">
        <v>0.13569999999999999</v>
      </c>
      <c r="K121" s="32">
        <f>19924520*1542.0256</f>
        <v>30724119907.711998</v>
      </c>
      <c r="L121" s="33">
        <f t="shared" si="42"/>
        <v>1.7849641393728952E-2</v>
      </c>
      <c r="M121" s="32">
        <f>103.41*1542.0256</f>
        <v>159460.86729599998</v>
      </c>
      <c r="N121" s="32">
        <f>103.41*1542.0256</f>
        <v>159460.86729599998</v>
      </c>
      <c r="O121" s="35">
        <v>494</v>
      </c>
      <c r="P121" s="57">
        <v>1.6000000000000001E-3</v>
      </c>
      <c r="Q121" s="54">
        <v>9.6500000000000002E-2</v>
      </c>
      <c r="R121" s="61">
        <f t="shared" si="43"/>
        <v>1.5711470761359345E-2</v>
      </c>
      <c r="S121" s="61">
        <f t="shared" si="44"/>
        <v>6.5206209300833085E-3</v>
      </c>
      <c r="T121" s="61">
        <f t="shared" si="45"/>
        <v>2.0661157024793389E-2</v>
      </c>
      <c r="U121" s="61">
        <f t="shared" si="46"/>
        <v>-3.0000000000000001E-3</v>
      </c>
      <c r="V121" s="62">
        <f t="shared" si="47"/>
        <v>-3.9199999999999985E-2</v>
      </c>
    </row>
    <row r="122" spans="1:24">
      <c r="A122" s="133">
        <v>107</v>
      </c>
      <c r="B122" s="134" t="s">
        <v>173</v>
      </c>
      <c r="C122" s="135" t="s">
        <v>45</v>
      </c>
      <c r="D122" s="32">
        <f>1709744.51*1534.5585</f>
        <v>2623702970.6488352</v>
      </c>
      <c r="E122" s="33">
        <f t="shared" si="49"/>
        <v>1.5342939496577922E-3</v>
      </c>
      <c r="F122" s="32">
        <f>137.456507*1534.5585</f>
        <v>210935.05119715948</v>
      </c>
      <c r="G122" s="32">
        <f>141.717791*1534.5585</f>
        <v>217474.24078027351</v>
      </c>
      <c r="H122" s="35">
        <v>47</v>
      </c>
      <c r="I122" s="54">
        <v>-0.18260000000000001</v>
      </c>
      <c r="J122" s="54">
        <v>4.5400000000000003E-2</v>
      </c>
      <c r="K122" s="32">
        <f>1701670.89*1542.0256</f>
        <v>2624020075.1547837</v>
      </c>
      <c r="L122" s="33">
        <f t="shared" si="42"/>
        <v>1.5244640852902645E-3</v>
      </c>
      <c r="M122" s="32">
        <f>136.80742*1542.0256</f>
        <v>210960.54390995202</v>
      </c>
      <c r="N122" s="32">
        <f>140.732873*1542.0256</f>
        <v>217013.69292754881</v>
      </c>
      <c r="O122" s="35">
        <v>48</v>
      </c>
      <c r="P122" s="54">
        <v>-6.6E-3</v>
      </c>
      <c r="Q122" s="54">
        <v>3.9300000000000002E-2</v>
      </c>
      <c r="R122" s="61">
        <f t="shared" ref="R122:R123" si="50">((K122-D122)/D122)</f>
        <v>1.2086143496271013E-4</v>
      </c>
      <c r="S122" s="61">
        <f t="shared" ref="S122:S123" si="51">((N122-G122)/G122)</f>
        <v>-2.1177121992577534E-3</v>
      </c>
      <c r="T122" s="61">
        <f t="shared" ref="T122:T123" si="52">((O122-H122)/H122)</f>
        <v>2.1276595744680851E-2</v>
      </c>
      <c r="U122" s="61">
        <f t="shared" ref="U122:U123" si="53">P122-I122</f>
        <v>0.17600000000000002</v>
      </c>
      <c r="V122" s="62">
        <f t="shared" ref="V122:V123" si="54">Q122-J122</f>
        <v>-6.1000000000000013E-3</v>
      </c>
    </row>
    <row r="123" spans="1:24">
      <c r="A123" s="133">
        <v>108</v>
      </c>
      <c r="B123" s="134" t="s">
        <v>174</v>
      </c>
      <c r="C123" s="135" t="s">
        <v>52</v>
      </c>
      <c r="D123" s="36">
        <f>130388590.57*1534.05</f>
        <v>200022617363.90848</v>
      </c>
      <c r="E123" s="33">
        <f t="shared" si="49"/>
        <v>0.11696960176108138</v>
      </c>
      <c r="F123" s="32">
        <f>124.6119*1534.05</f>
        <v>191160.88519500001</v>
      </c>
      <c r="G123" s="32">
        <f>124.6119*1534.05</f>
        <v>191160.88519500001</v>
      </c>
      <c r="H123" s="35">
        <v>3432</v>
      </c>
      <c r="I123" s="54">
        <v>0.20730000000000001</v>
      </c>
      <c r="J123" s="54">
        <v>6.8900000000000003E-2</v>
      </c>
      <c r="K123" s="36">
        <f>124287716.11*1543.03</f>
        <v>191779674589.21329</v>
      </c>
      <c r="L123" s="33">
        <f t="shared" si="42"/>
        <v>0.11141729782027832</v>
      </c>
      <c r="M123" s="32">
        <f>124.7422*1543.03</f>
        <v>192480.95686599999</v>
      </c>
      <c r="N123" s="32">
        <f>124.7422*1543.03</f>
        <v>192480.95686599999</v>
      </c>
      <c r="O123" s="35">
        <v>3450</v>
      </c>
      <c r="P123" s="54">
        <v>5.6000000000000001E-2</v>
      </c>
      <c r="Q123" s="54">
        <v>5.9799999999999999E-2</v>
      </c>
      <c r="R123" s="61">
        <f t="shared" si="50"/>
        <v>-4.1210053559585728E-2</v>
      </c>
      <c r="S123" s="61">
        <f t="shared" si="51"/>
        <v>6.9055532446054557E-3</v>
      </c>
      <c r="T123" s="61">
        <f t="shared" si="52"/>
        <v>5.244755244755245E-3</v>
      </c>
      <c r="U123" s="61">
        <f t="shared" si="53"/>
        <v>-0.15130000000000002</v>
      </c>
      <c r="V123" s="62">
        <f t="shared" si="54"/>
        <v>-9.1000000000000039E-3</v>
      </c>
    </row>
    <row r="124" spans="1:24" ht="6" customHeight="1">
      <c r="A124" s="39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</row>
    <row r="125" spans="1:24">
      <c r="A125" s="183" t="s">
        <v>175</v>
      </c>
      <c r="B125" s="183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</row>
    <row r="126" spans="1:24">
      <c r="A126" s="133">
        <v>109</v>
      </c>
      <c r="B126" s="134" t="s">
        <v>176</v>
      </c>
      <c r="C126" s="135" t="s">
        <v>119</v>
      </c>
      <c r="D126" s="36">
        <f>1186207.21*1534.5585</f>
        <v>1820304356.866785</v>
      </c>
      <c r="E126" s="33">
        <f t="shared" ref="E126:E137" si="55">(D126/$D$140)</f>
        <v>1.0644809997626195E-3</v>
      </c>
      <c r="F126" s="32">
        <f>109.38*1534.5585</f>
        <v>167850.00873</v>
      </c>
      <c r="G126" s="32">
        <f>109.38*1534.5585</f>
        <v>167850.00873</v>
      </c>
      <c r="H126" s="35">
        <v>22</v>
      </c>
      <c r="I126" s="54">
        <v>7.8320000000000004E-3</v>
      </c>
      <c r="J126" s="54">
        <v>6.8999999999999999E-3</v>
      </c>
      <c r="K126" s="36">
        <f>1184540.05*1542.0256</f>
        <v>1826591081.32528</v>
      </c>
      <c r="L126" s="33">
        <f t="shared" ref="L126:L139" si="56">(K126/$K$140)</f>
        <v>1.0611856701697087E-3</v>
      </c>
      <c r="M126" s="32">
        <f>109.07*1542.0256</f>
        <v>168188.732192</v>
      </c>
      <c r="N126" s="32">
        <f>109.07*1542.0256</f>
        <v>168188.732192</v>
      </c>
      <c r="O126" s="35">
        <v>22</v>
      </c>
      <c r="P126" s="54">
        <v>-6.4000000000000005E-4</v>
      </c>
      <c r="Q126" s="54">
        <v>6.6E-3</v>
      </c>
      <c r="R126" s="61">
        <f>((K126-D126)/D126)</f>
        <v>3.4536666545785682E-3</v>
      </c>
      <c r="S126" s="61">
        <f>((N126-G126)/G126)</f>
        <v>2.0180127755897704E-3</v>
      </c>
      <c r="T126" s="61">
        <f>((O126-H126)/H126)</f>
        <v>0</v>
      </c>
      <c r="U126" s="61">
        <f>P126-I126</f>
        <v>-8.4720000000000004E-3</v>
      </c>
      <c r="V126" s="62">
        <f>Q126-J126</f>
        <v>-2.9999999999999992E-4</v>
      </c>
    </row>
    <row r="127" spans="1:24">
      <c r="A127" s="133">
        <v>110</v>
      </c>
      <c r="B127" s="135" t="s">
        <v>177</v>
      </c>
      <c r="C127" s="135" t="s">
        <v>25</v>
      </c>
      <c r="D127" s="32">
        <f>10905559.86*1534.5585</f>
        <v>16735219580.42181</v>
      </c>
      <c r="E127" s="33">
        <f t="shared" si="55"/>
        <v>9.7864531296719178E-3</v>
      </c>
      <c r="F127" s="36">
        <f>133.79*1534.5585</f>
        <v>205308.58171500001</v>
      </c>
      <c r="G127" s="36">
        <f>133.79*1534.5585</f>
        <v>205308.58171500001</v>
      </c>
      <c r="H127" s="35">
        <v>508</v>
      </c>
      <c r="I127" s="54">
        <v>5.0000000000000001E-4</v>
      </c>
      <c r="J127" s="54">
        <v>5.0000000000000001E-4</v>
      </c>
      <c r="K127" s="32">
        <f>10926436.82*1542.0256</f>
        <v>16848845293.222591</v>
      </c>
      <c r="L127" s="33">
        <f t="shared" si="56"/>
        <v>9.7885910901861686E-3</v>
      </c>
      <c r="M127" s="36">
        <f>133.94*1542.0256</f>
        <v>206538.908864</v>
      </c>
      <c r="N127" s="36">
        <f>133.94*1542.0256</f>
        <v>206538.908864</v>
      </c>
      <c r="O127" s="35">
        <v>509</v>
      </c>
      <c r="P127" s="54">
        <v>5.0000000000000001E-4</v>
      </c>
      <c r="Q127" s="54">
        <v>1.4E-3</v>
      </c>
      <c r="R127" s="61">
        <f t="shared" ref="R127:R140" si="57">((K127-D127)/D127)</f>
        <v>6.7896158908909467E-3</v>
      </c>
      <c r="S127" s="61">
        <f t="shared" ref="S127:S140" si="58">((N127-G127)/G127)</f>
        <v>5.992575364959043E-3</v>
      </c>
      <c r="T127" s="61">
        <f t="shared" ref="T127:T140" si="59">((O127-H127)/H127)</f>
        <v>1.968503937007874E-3</v>
      </c>
      <c r="U127" s="61">
        <f t="shared" ref="U127:U140" si="60">P127-I127</f>
        <v>0</v>
      </c>
      <c r="V127" s="62">
        <f t="shared" ref="V127:V140" si="61">Q127-J127</f>
        <v>8.9999999999999998E-4</v>
      </c>
    </row>
    <row r="128" spans="1:24">
      <c r="A128" s="133">
        <v>111</v>
      </c>
      <c r="B128" s="134" t="s">
        <v>178</v>
      </c>
      <c r="C128" s="135" t="s">
        <v>67</v>
      </c>
      <c r="D128" s="36">
        <v>15928019450.870001</v>
      </c>
      <c r="E128" s="33">
        <f t="shared" si="55"/>
        <v>9.3144171222468656E-3</v>
      </c>
      <c r="F128" s="36">
        <v>180489.48</v>
      </c>
      <c r="G128" s="36">
        <v>180489.48</v>
      </c>
      <c r="H128" s="35">
        <v>647</v>
      </c>
      <c r="I128" s="54">
        <v>1.1999999999999999E-3</v>
      </c>
      <c r="J128" s="54">
        <v>6.4899999999999999E-2</v>
      </c>
      <c r="K128" s="36">
        <v>16018212116.370001</v>
      </c>
      <c r="L128" s="33">
        <f t="shared" si="56"/>
        <v>9.3060222035561239E-3</v>
      </c>
      <c r="M128" s="36" t="s">
        <v>307</v>
      </c>
      <c r="N128" s="36" t="s">
        <v>308</v>
      </c>
      <c r="O128" s="35">
        <v>650</v>
      </c>
      <c r="P128" s="54">
        <v>1.2999999999999999E-3</v>
      </c>
      <c r="Q128" s="54">
        <v>6.4699999999999994E-2</v>
      </c>
      <c r="R128" s="61">
        <f t="shared" si="57"/>
        <v>5.6625160320904555E-3</v>
      </c>
      <c r="S128" s="61" t="e">
        <f t="shared" si="58"/>
        <v>#VALUE!</v>
      </c>
      <c r="T128" s="61">
        <f t="shared" si="59"/>
        <v>4.6367851622874804E-3</v>
      </c>
      <c r="U128" s="61">
        <f t="shared" si="60"/>
        <v>1.0000000000000005E-4</v>
      </c>
      <c r="V128" s="62">
        <f t="shared" si="61"/>
        <v>-2.0000000000000573E-4</v>
      </c>
    </row>
    <row r="129" spans="1:24">
      <c r="A129" s="133">
        <v>112</v>
      </c>
      <c r="B129" s="134" t="s">
        <v>179</v>
      </c>
      <c r="C129" s="135" t="s">
        <v>65</v>
      </c>
      <c r="D129" s="36">
        <v>6408342443.1840935</v>
      </c>
      <c r="E129" s="33">
        <f t="shared" si="55"/>
        <v>3.7474825267591518E-3</v>
      </c>
      <c r="F129" s="36">
        <v>1948.0467218810031</v>
      </c>
      <c r="G129" s="36">
        <v>1948.0467218810031</v>
      </c>
      <c r="H129" s="35">
        <v>222</v>
      </c>
      <c r="I129" s="54">
        <v>4.7647768464298954E-2</v>
      </c>
      <c r="J129" s="54">
        <v>5.7034931791228864E-2</v>
      </c>
      <c r="K129" s="36">
        <v>6505003520.1904087</v>
      </c>
      <c r="L129" s="33">
        <f t="shared" si="56"/>
        <v>3.7791800204242214E-3</v>
      </c>
      <c r="M129" s="36">
        <v>1960.495222518507</v>
      </c>
      <c r="N129" s="36">
        <v>1960.495222518507</v>
      </c>
      <c r="O129" s="35">
        <v>225</v>
      </c>
      <c r="P129" s="54">
        <v>5.6903819247432132E-2</v>
      </c>
      <c r="Q129" s="54">
        <v>5.6961825781649329E-2</v>
      </c>
      <c r="R129" s="61">
        <f t="shared" si="57"/>
        <v>1.508363166658234E-2</v>
      </c>
      <c r="S129" s="61">
        <f t="shared" si="58"/>
        <v>6.3902474708018488E-3</v>
      </c>
      <c r="T129" s="61">
        <f t="shared" si="59"/>
        <v>1.3513513513513514E-2</v>
      </c>
      <c r="U129" s="61">
        <f t="shared" si="60"/>
        <v>9.2560507831331781E-3</v>
      </c>
      <c r="V129" s="62">
        <f t="shared" si="61"/>
        <v>-7.3106009579534947E-5</v>
      </c>
    </row>
    <row r="130" spans="1:24">
      <c r="A130" s="133">
        <v>113</v>
      </c>
      <c r="B130" s="134" t="s">
        <v>180</v>
      </c>
      <c r="C130" s="135" t="s">
        <v>37</v>
      </c>
      <c r="D130" s="36">
        <v>73735270913.850006</v>
      </c>
      <c r="E130" s="33">
        <f t="shared" si="55"/>
        <v>4.3119050176446266E-2</v>
      </c>
      <c r="F130" s="36">
        <f>100*1535</f>
        <v>153500</v>
      </c>
      <c r="G130" s="36">
        <f>100*1535</f>
        <v>153500</v>
      </c>
      <c r="H130" s="35">
        <v>1840</v>
      </c>
      <c r="I130" s="54">
        <v>3.0200000000000001E-2</v>
      </c>
      <c r="J130" s="54">
        <v>3.3700000000000001E-2</v>
      </c>
      <c r="K130" s="36">
        <v>74712613319.099991</v>
      </c>
      <c r="L130" s="33">
        <f t="shared" si="56"/>
        <v>4.3405420866084093E-2</v>
      </c>
      <c r="M130" s="36">
        <f>100*1535</f>
        <v>153500</v>
      </c>
      <c r="N130" s="36">
        <f>100*1535</f>
        <v>153500</v>
      </c>
      <c r="O130" s="35">
        <v>1863</v>
      </c>
      <c r="P130" s="54">
        <v>4.87E-2</v>
      </c>
      <c r="Q130" s="54">
        <v>4.4180900000000002E-2</v>
      </c>
      <c r="R130" s="61">
        <f t="shared" si="57"/>
        <v>1.3254747600939599E-2</v>
      </c>
      <c r="S130" s="61">
        <f t="shared" si="58"/>
        <v>0</v>
      </c>
      <c r="T130" s="61">
        <f t="shared" si="59"/>
        <v>1.2500000000000001E-2</v>
      </c>
      <c r="U130" s="61">
        <f t="shared" si="60"/>
        <v>1.8499999999999999E-2</v>
      </c>
      <c r="V130" s="62">
        <f t="shared" si="61"/>
        <v>1.0480900000000001E-2</v>
      </c>
    </row>
    <row r="131" spans="1:24" ht="15.6">
      <c r="A131" s="133">
        <v>114</v>
      </c>
      <c r="B131" s="134" t="s">
        <v>181</v>
      </c>
      <c r="C131" s="135" t="s">
        <v>136</v>
      </c>
      <c r="D131" s="36">
        <f>1041370.34*1534.5585</f>
        <v>1598043706.8948901</v>
      </c>
      <c r="E131" s="33">
        <f t="shared" si="55"/>
        <v>9.3450699953707007E-4</v>
      </c>
      <c r="F131" s="36">
        <f>1.1*1534.5585</f>
        <v>1688.0143500000001</v>
      </c>
      <c r="G131" s="36">
        <f>1.13*1534.5585</f>
        <v>1734.051105</v>
      </c>
      <c r="H131" s="35">
        <v>38</v>
      </c>
      <c r="I131" s="54">
        <v>1.8E-3</v>
      </c>
      <c r="J131" s="54">
        <v>0.1028</v>
      </c>
      <c r="K131" s="36">
        <f>1047966.96*1542.0256</f>
        <v>1615991880.2741759</v>
      </c>
      <c r="L131" s="33">
        <f t="shared" si="56"/>
        <v>9.388348842770763E-4</v>
      </c>
      <c r="M131" s="36">
        <f>1.1*1542.0256</f>
        <v>1696.2281600000001</v>
      </c>
      <c r="N131" s="36">
        <f>1.1*1542.0256</f>
        <v>1696.2281600000001</v>
      </c>
      <c r="O131" s="35">
        <v>38</v>
      </c>
      <c r="P131" s="54">
        <v>1.8E-3</v>
      </c>
      <c r="Q131" s="54">
        <v>0.1028</v>
      </c>
      <c r="R131" s="61">
        <f t="shared" si="57"/>
        <v>1.1231340733577531E-2</v>
      </c>
      <c r="S131" s="61">
        <f t="shared" si="58"/>
        <v>-2.1811897521901404E-2</v>
      </c>
      <c r="T131" s="61">
        <f t="shared" si="59"/>
        <v>0</v>
      </c>
      <c r="U131" s="61">
        <f t="shared" si="60"/>
        <v>0</v>
      </c>
      <c r="V131" s="62">
        <f t="shared" si="61"/>
        <v>0</v>
      </c>
      <c r="X131" s="71"/>
    </row>
    <row r="132" spans="1:24" ht="15.6">
      <c r="A132" s="133">
        <v>115</v>
      </c>
      <c r="B132" s="134" t="s">
        <v>182</v>
      </c>
      <c r="C132" s="135" t="s">
        <v>43</v>
      </c>
      <c r="D132" s="32">
        <f>2594269.38*1534.5585</f>
        <v>3981058128.3687301</v>
      </c>
      <c r="E132" s="33">
        <f t="shared" si="55"/>
        <v>2.3280506474715758E-3</v>
      </c>
      <c r="F132" s="36">
        <f>10.63713*1534.5585</f>
        <v>16323.298257105002</v>
      </c>
      <c r="G132" s="36">
        <f>10.63713*1534.5585</f>
        <v>16323.298257105002</v>
      </c>
      <c r="H132" s="35">
        <v>68</v>
      </c>
      <c r="I132" s="54">
        <v>7.5600000000000001E-2</v>
      </c>
      <c r="J132" s="54">
        <v>9.5600000000000004E-2</v>
      </c>
      <c r="K132" s="32">
        <f>2638856.19*1542.0256</f>
        <v>4069183799.6984639</v>
      </c>
      <c r="L132" s="33">
        <f t="shared" si="56"/>
        <v>2.3640537729953783E-3</v>
      </c>
      <c r="M132" s="36">
        <f>10.64755*1542.0256</f>
        <v>16418.794677279999</v>
      </c>
      <c r="N132" s="36">
        <f>10.63713*1542.0256</f>
        <v>16402.726770527999</v>
      </c>
      <c r="O132" s="35">
        <v>68</v>
      </c>
      <c r="P132" s="54">
        <v>7.7399999999999997E-2</v>
      </c>
      <c r="Q132" s="54">
        <v>9.5600000000000004E-2</v>
      </c>
      <c r="R132" s="61">
        <f t="shared" si="57"/>
        <v>2.2136243302190627E-2</v>
      </c>
      <c r="S132" s="61">
        <f t="shared" si="58"/>
        <v>4.8659598184101665E-3</v>
      </c>
      <c r="T132" s="61">
        <f t="shared" si="59"/>
        <v>0</v>
      </c>
      <c r="U132" s="61">
        <f t="shared" si="60"/>
        <v>1.799999999999996E-3</v>
      </c>
      <c r="V132" s="62">
        <f t="shared" si="61"/>
        <v>0</v>
      </c>
      <c r="X132" s="71"/>
    </row>
    <row r="133" spans="1:24" ht="15.6">
      <c r="A133" s="133">
        <v>116</v>
      </c>
      <c r="B133" s="135" t="s">
        <v>183</v>
      </c>
      <c r="C133" s="174" t="s">
        <v>47</v>
      </c>
      <c r="D133" s="36">
        <v>24189796471.959999</v>
      </c>
      <c r="E133" s="33">
        <f t="shared" si="55"/>
        <v>1.4145754601635937E-2</v>
      </c>
      <c r="F133" s="36">
        <f>1.0737*1534.5585</f>
        <v>1647.6554614500003</v>
      </c>
      <c r="G133" s="36">
        <f>1.0737*1534.5585</f>
        <v>1647.6554614500003</v>
      </c>
      <c r="H133" s="35">
        <v>460</v>
      </c>
      <c r="I133" s="54">
        <v>1.5900000000000001E-2</v>
      </c>
      <c r="J133" s="54">
        <v>0.1079</v>
      </c>
      <c r="K133" s="36">
        <v>24505445231.849998</v>
      </c>
      <c r="L133" s="33">
        <f t="shared" si="56"/>
        <v>1.4236808438974789E-2</v>
      </c>
      <c r="M133" s="36">
        <f>1.049*1542.0256</f>
        <v>1617.5848543999998</v>
      </c>
      <c r="N133" s="36">
        <f>1.049*1542.0256</f>
        <v>1617.5848543999998</v>
      </c>
      <c r="O133" s="35">
        <v>460</v>
      </c>
      <c r="P133" s="54">
        <v>6.4000000000000003E-3</v>
      </c>
      <c r="Q133" s="54">
        <v>7.1000000000000004E-3</v>
      </c>
      <c r="R133" s="61">
        <f t="shared" si="57"/>
        <v>1.3048839011766339E-2</v>
      </c>
      <c r="S133" s="61">
        <f t="shared" si="58"/>
        <v>-1.8250543122369282E-2</v>
      </c>
      <c r="T133" s="61">
        <f t="shared" si="59"/>
        <v>0</v>
      </c>
      <c r="U133" s="61">
        <f t="shared" si="60"/>
        <v>-9.5000000000000015E-3</v>
      </c>
      <c r="V133" s="62">
        <f t="shared" si="61"/>
        <v>-0.1008</v>
      </c>
      <c r="X133" s="71"/>
    </row>
    <row r="134" spans="1:24">
      <c r="A134" s="133">
        <v>117</v>
      </c>
      <c r="B134" s="134" t="s">
        <v>184</v>
      </c>
      <c r="C134" s="135" t="s">
        <v>92</v>
      </c>
      <c r="D134" s="32">
        <f>337963.17*1543.5</f>
        <v>521646152.89499998</v>
      </c>
      <c r="E134" s="33">
        <f t="shared" si="55"/>
        <v>3.0504921677591249E-4</v>
      </c>
      <c r="F134" s="36">
        <f>1.11*1543.5</f>
        <v>1713.2850000000001</v>
      </c>
      <c r="G134" s="36">
        <f>1.11*1543.5</f>
        <v>1713.2850000000001</v>
      </c>
      <c r="H134" s="35">
        <v>3</v>
      </c>
      <c r="I134" s="54">
        <v>2.4949999999999998E-3</v>
      </c>
      <c r="J134" s="54">
        <v>2.0569999999999998E-3</v>
      </c>
      <c r="K134" s="32">
        <f>340186.3*1551.67</f>
        <v>527856876.12099999</v>
      </c>
      <c r="L134" s="33">
        <f t="shared" si="56"/>
        <v>3.0666642280642988E-4</v>
      </c>
      <c r="M134" s="36">
        <f>1.12*1551.67</f>
        <v>1737.8704000000002</v>
      </c>
      <c r="N134" s="36">
        <f>1.12*1551.67</f>
        <v>1737.8704000000002</v>
      </c>
      <c r="O134" s="35">
        <v>3</v>
      </c>
      <c r="P134" s="54">
        <v>6.5779999999999996E-3</v>
      </c>
      <c r="Q134" s="54">
        <v>8.6479999999999994E-3</v>
      </c>
      <c r="R134" s="61">
        <f t="shared" si="57"/>
        <v>1.1906007916539053E-2</v>
      </c>
      <c r="S134" s="61">
        <f t="shared" si="58"/>
        <v>1.4349860064145873E-2</v>
      </c>
      <c r="T134" s="61">
        <f t="shared" si="59"/>
        <v>0</v>
      </c>
      <c r="U134" s="61">
        <f t="shared" si="60"/>
        <v>4.0829999999999998E-3</v>
      </c>
      <c r="V134" s="62">
        <f t="shared" si="61"/>
        <v>6.5909999999999996E-3</v>
      </c>
    </row>
    <row r="135" spans="1:24">
      <c r="A135" s="133">
        <v>118</v>
      </c>
      <c r="B135" s="134" t="s">
        <v>185</v>
      </c>
      <c r="C135" s="135" t="s">
        <v>49</v>
      </c>
      <c r="D135" s="32">
        <v>970591113420.70996</v>
      </c>
      <c r="E135" s="33">
        <f t="shared" si="55"/>
        <v>0.56758409376833796</v>
      </c>
      <c r="F135" s="36">
        <v>2431.7800000000002</v>
      </c>
      <c r="G135" s="36">
        <v>2431.7800000000002</v>
      </c>
      <c r="H135" s="35">
        <v>9345</v>
      </c>
      <c r="I135" s="54">
        <v>5.9999999999999995E-4</v>
      </c>
      <c r="J135" s="54">
        <v>5.9999999999999995E-4</v>
      </c>
      <c r="K135" s="32">
        <v>980564540874.93005</v>
      </c>
      <c r="L135" s="33">
        <f t="shared" si="56"/>
        <v>0.56967377651818929</v>
      </c>
      <c r="M135" s="36">
        <v>2447.91</v>
      </c>
      <c r="N135" s="36">
        <v>2447.91</v>
      </c>
      <c r="O135" s="35">
        <v>9403</v>
      </c>
      <c r="P135" s="54">
        <v>1.2999999999999999E-3</v>
      </c>
      <c r="Q135" s="54">
        <v>1.9E-3</v>
      </c>
      <c r="R135" s="61">
        <f t="shared" si="57"/>
        <v>1.0275622057851087E-2</v>
      </c>
      <c r="S135" s="61">
        <f t="shared" si="58"/>
        <v>6.6330013405816535E-3</v>
      </c>
      <c r="T135" s="61">
        <f t="shared" si="59"/>
        <v>6.2065275548421617E-3</v>
      </c>
      <c r="U135" s="61">
        <f t="shared" si="60"/>
        <v>6.9999999999999999E-4</v>
      </c>
      <c r="V135" s="62">
        <f t="shared" si="61"/>
        <v>1.2999999999999999E-3</v>
      </c>
    </row>
    <row r="136" spans="1:24">
      <c r="A136" s="133">
        <v>119</v>
      </c>
      <c r="B136" s="134" t="s">
        <v>304</v>
      </c>
      <c r="C136" s="134" t="s">
        <v>102</v>
      </c>
      <c r="D136" s="32">
        <v>0</v>
      </c>
      <c r="E136" s="33">
        <f t="shared" si="55"/>
        <v>0</v>
      </c>
      <c r="F136" s="36">
        <v>0</v>
      </c>
      <c r="G136" s="36">
        <v>0</v>
      </c>
      <c r="H136" s="35">
        <v>0</v>
      </c>
      <c r="I136" s="54">
        <v>0</v>
      </c>
      <c r="J136" s="54">
        <v>0</v>
      </c>
      <c r="K136" s="32">
        <f>202933.76*1542.0256</f>
        <v>312929053.02425599</v>
      </c>
      <c r="L136" s="33">
        <f t="shared" si="56"/>
        <v>1.8180085857431229E-4</v>
      </c>
      <c r="M136" s="36">
        <f>100.11*1542.0256</f>
        <v>154372.18281599999</v>
      </c>
      <c r="N136" s="36">
        <f>100.11*1542.0256</f>
        <v>154372.18281599999</v>
      </c>
      <c r="O136" s="35">
        <v>2</v>
      </c>
      <c r="P136" s="54">
        <v>0</v>
      </c>
      <c r="Q136" s="54">
        <v>8.4000000000000005E-2</v>
      </c>
      <c r="R136" s="61" t="e">
        <f t="shared" ref="R136" si="62">((K136-D136)/D136)</f>
        <v>#DIV/0!</v>
      </c>
      <c r="S136" s="61" t="e">
        <f t="shared" ref="S136" si="63">((N136-G136)/G136)</f>
        <v>#DIV/0!</v>
      </c>
      <c r="T136" s="61" t="e">
        <f t="shared" ref="T136" si="64">((O136-H136)/H136)</f>
        <v>#DIV/0!</v>
      </c>
      <c r="U136" s="61">
        <f t="shared" ref="U136" si="65">P136-I136</f>
        <v>0</v>
      </c>
      <c r="V136" s="62">
        <f t="shared" ref="V136" si="66">Q136-J136</f>
        <v>8.4000000000000005E-2</v>
      </c>
    </row>
    <row r="137" spans="1:24" ht="16.5" customHeight="1">
      <c r="A137" s="133">
        <v>120</v>
      </c>
      <c r="B137" s="134" t="s">
        <v>186</v>
      </c>
      <c r="C137" s="135" t="s">
        <v>52</v>
      </c>
      <c r="D137" s="32">
        <f>101126918.66*1534.05</f>
        <v>155133749570.37299</v>
      </c>
      <c r="E137" s="33">
        <f t="shared" si="55"/>
        <v>9.0719405365725703E-2</v>
      </c>
      <c r="F137" s="36">
        <f>1.1696*1534.05</f>
        <v>1794.22488</v>
      </c>
      <c r="G137" s="36">
        <f>1.1696*1534.05</f>
        <v>1794.22488</v>
      </c>
      <c r="H137" s="35">
        <v>502</v>
      </c>
      <c r="I137" s="54">
        <v>9.8199999999999996E-2</v>
      </c>
      <c r="J137" s="54">
        <v>9.8199999999999996E-2</v>
      </c>
      <c r="K137" s="32">
        <f>102046898.14*1543.03</f>
        <v>157461425236.9642</v>
      </c>
      <c r="L137" s="33">
        <f t="shared" si="56"/>
        <v>9.1479592654492348E-2</v>
      </c>
      <c r="M137" s="36">
        <f>1.1717*1543.03</f>
        <v>1807.968251</v>
      </c>
      <c r="N137" s="36">
        <f>1.1717*1543.03</f>
        <v>1807.968251</v>
      </c>
      <c r="O137" s="35">
        <v>513</v>
      </c>
      <c r="P137" s="54">
        <v>9.8000000000000004E-2</v>
      </c>
      <c r="Q137" s="54">
        <v>9.8100000000000007E-2</v>
      </c>
      <c r="R137" s="61">
        <f t="shared" si="57"/>
        <v>1.5004315134762591E-2</v>
      </c>
      <c r="S137" s="61">
        <f t="shared" si="58"/>
        <v>7.6597817548935253E-3</v>
      </c>
      <c r="T137" s="61">
        <f t="shared" si="59"/>
        <v>2.1912350597609563E-2</v>
      </c>
      <c r="U137" s="61">
        <f t="shared" si="60"/>
        <v>-1.9999999999999185E-4</v>
      </c>
      <c r="V137" s="62">
        <f t="shared" si="61"/>
        <v>-9.9999999999988987E-5</v>
      </c>
    </row>
    <row r="138" spans="1:24" ht="16.5" customHeight="1">
      <c r="A138" s="133">
        <v>121</v>
      </c>
      <c r="B138" s="134" t="s">
        <v>187</v>
      </c>
      <c r="C138" s="135" t="s">
        <v>97</v>
      </c>
      <c r="D138" s="36">
        <v>706846855.58346391</v>
      </c>
      <c r="E138" s="33">
        <v>0</v>
      </c>
      <c r="F138" s="36">
        <v>159057.67499999999</v>
      </c>
      <c r="G138" s="36">
        <v>159057.67499999999</v>
      </c>
      <c r="H138" s="35">
        <v>21</v>
      </c>
      <c r="I138" s="54">
        <v>6.9999999999999999E-4</v>
      </c>
      <c r="J138" s="54">
        <v>7.1300000000000002E-2</v>
      </c>
      <c r="K138" s="36">
        <v>711203233.78292584</v>
      </c>
      <c r="L138" s="33">
        <f t="shared" si="56"/>
        <v>4.1318425781495291E-4</v>
      </c>
      <c r="M138" s="36">
        <v>160054.7605</v>
      </c>
      <c r="N138" s="36">
        <v>160054.7605</v>
      </c>
      <c r="O138" s="35">
        <v>21</v>
      </c>
      <c r="P138" s="54">
        <v>1E-3</v>
      </c>
      <c r="Q138" s="54">
        <v>7.1300000000000002E-2</v>
      </c>
      <c r="R138" s="61">
        <f t="shared" si="57"/>
        <v>6.1631146337433754E-3</v>
      </c>
      <c r="S138" s="61">
        <f t="shared" si="58"/>
        <v>6.268704103715936E-3</v>
      </c>
      <c r="T138" s="61">
        <f t="shared" si="59"/>
        <v>0</v>
      </c>
      <c r="U138" s="61">
        <f t="shared" si="60"/>
        <v>3.0000000000000003E-4</v>
      </c>
      <c r="V138" s="62">
        <f t="shared" si="61"/>
        <v>0</v>
      </c>
    </row>
    <row r="139" spans="1:24">
      <c r="A139" s="133">
        <v>122</v>
      </c>
      <c r="B139" s="134" t="s">
        <v>188</v>
      </c>
      <c r="C139" s="135" t="s">
        <v>111</v>
      </c>
      <c r="D139" s="36">
        <f>1102273.48*1534.5585</f>
        <v>1691503138.0585802</v>
      </c>
      <c r="E139" s="33">
        <f>(D139/$D$140)</f>
        <v>9.8916038118013281E-4</v>
      </c>
      <c r="F139" s="36">
        <f>1.2479*1534.5585</f>
        <v>1914.9755521500001</v>
      </c>
      <c r="G139" s="36">
        <f>1.2479*1534.5585</f>
        <v>1914.9755521500001</v>
      </c>
      <c r="H139" s="35">
        <v>69</v>
      </c>
      <c r="I139" s="54">
        <v>2.5300000000000001E-3</v>
      </c>
      <c r="J139" s="54">
        <v>3.473E-3</v>
      </c>
      <c r="K139" s="36">
        <f>1111811.42*1542.0256</f>
        <v>1714441672.0123518</v>
      </c>
      <c r="L139" s="33">
        <f t="shared" si="56"/>
        <v>9.9603077737644681E-4</v>
      </c>
      <c r="M139" s="36">
        <f>1.2587*1542.0256</f>
        <v>1940.9476227199998</v>
      </c>
      <c r="N139" s="36">
        <f>1.2587*1542.0256</f>
        <v>1940.9476227199998</v>
      </c>
      <c r="O139" s="35">
        <v>70</v>
      </c>
      <c r="P139" s="54">
        <v>8.0920000000000002E-3</v>
      </c>
      <c r="Q139" s="54">
        <v>1.2161E-2</v>
      </c>
      <c r="R139" s="61">
        <f t="shared" si="57"/>
        <v>1.3561035411438405E-2</v>
      </c>
      <c r="S139" s="61">
        <f t="shared" si="58"/>
        <v>1.3562612087052532E-2</v>
      </c>
      <c r="T139" s="61">
        <f t="shared" si="59"/>
        <v>1.4492753623188406E-2</v>
      </c>
      <c r="U139" s="61">
        <f t="shared" si="60"/>
        <v>5.5620000000000001E-3</v>
      </c>
      <c r="V139" s="62">
        <f t="shared" si="61"/>
        <v>8.6879999999999995E-3</v>
      </c>
    </row>
    <row r="140" spans="1:24">
      <c r="A140" s="39"/>
      <c r="B140" s="40"/>
      <c r="C140" s="75" t="s">
        <v>53</v>
      </c>
      <c r="D140" s="52">
        <f>SUM(D108:D139)</f>
        <v>1710039312371.6768</v>
      </c>
      <c r="E140" s="43">
        <f>(D140/$D$211)</f>
        <v>0.4403353229239923</v>
      </c>
      <c r="F140" s="44"/>
      <c r="G140" s="49"/>
      <c r="H140" s="46">
        <f>SUM(H108:H139)</f>
        <v>21770</v>
      </c>
      <c r="I140" s="84"/>
      <c r="J140" s="84"/>
      <c r="K140" s="52">
        <f>SUM(K108:K139)</f>
        <v>1721273790884.4595</v>
      </c>
      <c r="L140" s="43">
        <f>(K140/$K$211)</f>
        <v>0.43421390823360789</v>
      </c>
      <c r="M140" s="44"/>
      <c r="N140" s="49"/>
      <c r="O140" s="46">
        <f>SUM(O108:O139)</f>
        <v>19656</v>
      </c>
      <c r="P140" s="84"/>
      <c r="Q140" s="84"/>
      <c r="R140" s="61">
        <f t="shared" si="57"/>
        <v>6.5697194394914024E-3</v>
      </c>
      <c r="S140" s="61" t="e">
        <f t="shared" si="58"/>
        <v>#DIV/0!</v>
      </c>
      <c r="T140" s="61">
        <f t="shared" si="59"/>
        <v>-9.7106109324758841E-2</v>
      </c>
      <c r="U140" s="61">
        <f t="shared" si="60"/>
        <v>0</v>
      </c>
      <c r="V140" s="62">
        <f t="shared" si="61"/>
        <v>0</v>
      </c>
    </row>
    <row r="141" spans="1:24" ht="6" customHeight="1">
      <c r="A141" s="39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</row>
    <row r="142" spans="1:24">
      <c r="A142" s="182" t="s">
        <v>189</v>
      </c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</row>
    <row r="143" spans="1:24">
      <c r="A143" s="133">
        <v>123</v>
      </c>
      <c r="B143" s="134" t="s">
        <v>190</v>
      </c>
      <c r="C143" s="135" t="s">
        <v>191</v>
      </c>
      <c r="D143" s="76">
        <v>2248623995.8278456</v>
      </c>
      <c r="E143" s="33">
        <f>(D143/$D$148)</f>
        <v>2.244904719809198E-2</v>
      </c>
      <c r="F143" s="64">
        <v>105.54502047548944</v>
      </c>
      <c r="G143" s="64">
        <v>105.54502047548944</v>
      </c>
      <c r="H143" s="35">
        <v>7</v>
      </c>
      <c r="I143" s="54">
        <v>4.0000000000000001E-3</v>
      </c>
      <c r="J143" s="54">
        <v>2.0999999999999999E-3</v>
      </c>
      <c r="K143" s="76">
        <v>2247123303.6224866</v>
      </c>
      <c r="L143" s="33">
        <f>(K143/$K$148)</f>
        <v>2.2289677827863504E-2</v>
      </c>
      <c r="M143" s="64">
        <v>105.89647990680898</v>
      </c>
      <c r="N143" s="64">
        <v>105.89647990680898</v>
      </c>
      <c r="O143" s="35">
        <v>7</v>
      </c>
      <c r="P143" s="54">
        <v>3.4520152677553801E-3</v>
      </c>
      <c r="Q143" s="54">
        <v>4.88857070512436E-3</v>
      </c>
      <c r="R143" s="61">
        <f t="shared" ref="R143:R148" si="67">((K143-D143)/D143)</f>
        <v>-6.6738245617915879E-4</v>
      </c>
      <c r="S143" s="61">
        <f t="shared" ref="S143:T148" si="68">((N143-G143)/G143)</f>
        <v>3.3299480139961615E-3</v>
      </c>
      <c r="T143" s="61">
        <f t="shared" si="68"/>
        <v>0</v>
      </c>
      <c r="U143" s="61">
        <f t="shared" ref="U143:V148" si="69">P143-I143</f>
        <v>-5.4798473224462003E-4</v>
      </c>
      <c r="V143" s="62">
        <f t="shared" si="69"/>
        <v>2.7885707051243601E-3</v>
      </c>
    </row>
    <row r="144" spans="1:24">
      <c r="A144" s="133">
        <v>124</v>
      </c>
      <c r="B144" s="134" t="s">
        <v>192</v>
      </c>
      <c r="C144" s="135" t="s">
        <v>47</v>
      </c>
      <c r="D144" s="32">
        <v>54160728474</v>
      </c>
      <c r="E144" s="33">
        <f>(D144/$D$148)</f>
        <v>0.5407114537832034</v>
      </c>
      <c r="F144" s="64">
        <v>102.07</v>
      </c>
      <c r="G144" s="64">
        <v>102.07</v>
      </c>
      <c r="H144" s="35">
        <v>645</v>
      </c>
      <c r="I144" s="54">
        <v>8.3900000000000002E-2</v>
      </c>
      <c r="J144" s="54">
        <v>8.3900000000000002E-2</v>
      </c>
      <c r="K144" s="32">
        <v>54160728474</v>
      </c>
      <c r="L144" s="33">
        <f>(K144/$K$148)</f>
        <v>0.53723139565227229</v>
      </c>
      <c r="M144" s="64">
        <v>102.07</v>
      </c>
      <c r="N144" s="64">
        <v>102.07</v>
      </c>
      <c r="O144" s="35">
        <v>645</v>
      </c>
      <c r="P144" s="54">
        <v>8.3900000000000002E-2</v>
      </c>
      <c r="Q144" s="54">
        <v>8.3900000000000002E-2</v>
      </c>
      <c r="R144" s="61">
        <f t="shared" si="67"/>
        <v>0</v>
      </c>
      <c r="S144" s="61">
        <f t="shared" si="68"/>
        <v>0</v>
      </c>
      <c r="T144" s="61">
        <f t="shared" si="68"/>
        <v>0</v>
      </c>
      <c r="U144" s="61">
        <f t="shared" si="69"/>
        <v>0</v>
      </c>
      <c r="V144" s="62">
        <f t="shared" si="69"/>
        <v>0</v>
      </c>
    </row>
    <row r="145" spans="1:22" ht="15.75" customHeight="1">
      <c r="A145" s="133">
        <v>125</v>
      </c>
      <c r="B145" s="134" t="s">
        <v>193</v>
      </c>
      <c r="C145" s="135" t="s">
        <v>146</v>
      </c>
      <c r="D145" s="32">
        <v>2785479688.4400001</v>
      </c>
      <c r="E145" s="33">
        <f>(D145/$D$148)</f>
        <v>2.7808724407076681E-2</v>
      </c>
      <c r="F145" s="64">
        <v>179.45</v>
      </c>
      <c r="G145" s="64">
        <v>179.45</v>
      </c>
      <c r="H145" s="35">
        <v>2834</v>
      </c>
      <c r="I145" s="54">
        <v>3.8101686425943672E-2</v>
      </c>
      <c r="J145" s="54">
        <v>3.5290780586580278E-2</v>
      </c>
      <c r="K145" s="32">
        <v>2789979688.4400001</v>
      </c>
      <c r="L145" s="33">
        <f>(K145/$K$148)</f>
        <v>2.7674381864742588E-2</v>
      </c>
      <c r="M145" s="64">
        <v>179.45</v>
      </c>
      <c r="N145" s="64">
        <v>179.45</v>
      </c>
      <c r="O145" s="35">
        <v>3040</v>
      </c>
      <c r="P145" s="54">
        <v>0.1113224715113169</v>
      </c>
      <c r="Q145" s="54">
        <v>4.1621064354287723E-2</v>
      </c>
      <c r="R145" s="61">
        <f t="shared" si="67"/>
        <v>1.6155206654980896E-3</v>
      </c>
      <c r="S145" s="61">
        <f t="shared" si="68"/>
        <v>0</v>
      </c>
      <c r="T145" s="61">
        <f t="shared" si="68"/>
        <v>7.2688779110797463E-2</v>
      </c>
      <c r="U145" s="61">
        <f t="shared" si="69"/>
        <v>7.3220785085373219E-2</v>
      </c>
      <c r="V145" s="62">
        <f t="shared" si="69"/>
        <v>6.3302837677074453E-3</v>
      </c>
    </row>
    <row r="146" spans="1:22">
      <c r="A146" s="133">
        <v>126</v>
      </c>
      <c r="B146" s="134" t="s">
        <v>194</v>
      </c>
      <c r="C146" s="135" t="s">
        <v>146</v>
      </c>
      <c r="D146" s="32">
        <v>10738757282.68</v>
      </c>
      <c r="E146" s="33">
        <f>(D146/$D$148)</f>
        <v>0.1072099513013442</v>
      </c>
      <c r="F146" s="64">
        <v>36.6</v>
      </c>
      <c r="G146" s="64">
        <v>36.6</v>
      </c>
      <c r="H146" s="35">
        <v>5260</v>
      </c>
      <c r="I146" s="54">
        <v>2.4966711051930268E-3</v>
      </c>
      <c r="J146" s="54">
        <v>2.4966711051930268E-3</v>
      </c>
      <c r="K146" s="32">
        <v>10752276206.129999</v>
      </c>
      <c r="L146" s="33">
        <f>(K146/$K$148)</f>
        <v>0.10665403725932054</v>
      </c>
      <c r="M146" s="64">
        <v>36.6</v>
      </c>
      <c r="N146" s="64">
        <v>36.6</v>
      </c>
      <c r="O146" s="35">
        <v>5260</v>
      </c>
      <c r="P146" s="54">
        <v>6.0601029387348744E-2</v>
      </c>
      <c r="Q146" s="54">
        <v>0.13365512649800382</v>
      </c>
      <c r="R146" s="61">
        <f t="shared" si="67"/>
        <v>1.2588908655010618E-3</v>
      </c>
      <c r="S146" s="61">
        <f t="shared" si="68"/>
        <v>0</v>
      </c>
      <c r="T146" s="61">
        <f t="shared" si="68"/>
        <v>0</v>
      </c>
      <c r="U146" s="61">
        <f t="shared" si="69"/>
        <v>5.8104358282155717E-2</v>
      </c>
      <c r="V146" s="62">
        <f t="shared" si="69"/>
        <v>0.13115845539281079</v>
      </c>
    </row>
    <row r="147" spans="1:22">
      <c r="A147" s="133">
        <v>127</v>
      </c>
      <c r="B147" s="134" t="s">
        <v>195</v>
      </c>
      <c r="C147" s="135" t="s">
        <v>49</v>
      </c>
      <c r="D147" s="32">
        <v>30232086900.939999</v>
      </c>
      <c r="E147" s="33">
        <f>(D147/$D$148)</f>
        <v>0.3018208233102837</v>
      </c>
      <c r="F147" s="64">
        <v>5.4</v>
      </c>
      <c r="G147" s="64">
        <v>5.4</v>
      </c>
      <c r="H147" s="35">
        <v>208098</v>
      </c>
      <c r="I147" s="54">
        <v>0.08</v>
      </c>
      <c r="J147" s="54">
        <v>0.08</v>
      </c>
      <c r="K147" s="32">
        <v>30864418270.099998</v>
      </c>
      <c r="L147" s="33">
        <f>(K147/$K$148)</f>
        <v>0.30615050739580113</v>
      </c>
      <c r="M147" s="64">
        <v>5.6</v>
      </c>
      <c r="N147" s="64">
        <v>5.6</v>
      </c>
      <c r="O147" s="35">
        <v>208048</v>
      </c>
      <c r="P147" s="54">
        <v>3.6999999999999998E-2</v>
      </c>
      <c r="Q147" s="54">
        <v>0.12</v>
      </c>
      <c r="R147" s="61">
        <f t="shared" si="67"/>
        <v>2.0915902075563923E-2</v>
      </c>
      <c r="S147" s="61">
        <f t="shared" si="68"/>
        <v>3.7037037037036903E-2</v>
      </c>
      <c r="T147" s="61">
        <f t="shared" si="68"/>
        <v>-2.4027141058539727E-4</v>
      </c>
      <c r="U147" s="61">
        <f t="shared" si="69"/>
        <v>-4.3000000000000003E-2</v>
      </c>
      <c r="V147" s="62">
        <f t="shared" si="69"/>
        <v>3.9999999999999994E-2</v>
      </c>
    </row>
    <row r="148" spans="1:22">
      <c r="A148" s="39"/>
      <c r="B148" s="77"/>
      <c r="C148" s="41" t="s">
        <v>53</v>
      </c>
      <c r="D148" s="42">
        <f>SUM(D143:D147)</f>
        <v>100165676341.88785</v>
      </c>
      <c r="E148" s="43">
        <f>(D148/$D$211)</f>
        <v>2.5792673372364405E-2</v>
      </c>
      <c r="F148" s="44"/>
      <c r="G148" s="78"/>
      <c r="H148" s="46">
        <f>SUM(H143:H147)</f>
        <v>216844</v>
      </c>
      <c r="I148" s="85"/>
      <c r="J148" s="85"/>
      <c r="K148" s="42">
        <f>SUM(K143:K147)</f>
        <v>100814525942.29248</v>
      </c>
      <c r="L148" s="43">
        <f>(K148/$K$211)</f>
        <v>2.5431787521512126E-2</v>
      </c>
      <c r="M148" s="44"/>
      <c r="N148" s="78"/>
      <c r="O148" s="46">
        <f>SUM(O143:O147)</f>
        <v>217000</v>
      </c>
      <c r="P148" s="85"/>
      <c r="Q148" s="85"/>
      <c r="R148" s="61">
        <f t="shared" si="67"/>
        <v>6.4777638818108094E-3</v>
      </c>
      <c r="S148" s="61" t="e">
        <f t="shared" si="68"/>
        <v>#DIV/0!</v>
      </c>
      <c r="T148" s="61">
        <f t="shared" si="68"/>
        <v>7.1941118961096461E-4</v>
      </c>
      <c r="U148" s="61">
        <f t="shared" si="69"/>
        <v>0</v>
      </c>
      <c r="V148" s="62">
        <f t="shared" si="69"/>
        <v>0</v>
      </c>
    </row>
    <row r="149" spans="1:22" ht="5.25" customHeight="1">
      <c r="A149" s="39"/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</row>
    <row r="150" spans="1:22" ht="15" customHeight="1">
      <c r="A150" s="182" t="s">
        <v>196</v>
      </c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</row>
    <row r="151" spans="1:22">
      <c r="A151" s="133">
        <v>128</v>
      </c>
      <c r="B151" s="134" t="s">
        <v>197</v>
      </c>
      <c r="C151" s="135" t="s">
        <v>57</v>
      </c>
      <c r="D151" s="36">
        <v>258113883.66999999</v>
      </c>
      <c r="E151" s="33">
        <f t="shared" ref="E151:E179" si="70">(D151/$D$180)</f>
        <v>4.7225872675590941E-3</v>
      </c>
      <c r="F151" s="36">
        <v>5.77</v>
      </c>
      <c r="G151" s="36">
        <v>5.86</v>
      </c>
      <c r="H151" s="37">
        <v>11835</v>
      </c>
      <c r="I151" s="55">
        <v>-0.14727399999999999</v>
      </c>
      <c r="J151" s="55">
        <v>6.7999999999999996E-3</v>
      </c>
      <c r="K151" s="36">
        <v>259653778.31999999</v>
      </c>
      <c r="L151" s="58">
        <f t="shared" ref="L151:L179" si="71">(K151/$K$180)</f>
        <v>4.7040348785131391E-3</v>
      </c>
      <c r="M151" s="36" t="s">
        <v>302</v>
      </c>
      <c r="N151" s="36" t="s">
        <v>303</v>
      </c>
      <c r="O151" s="37">
        <v>11835</v>
      </c>
      <c r="P151" s="55">
        <v>9.5969999999999996E-3</v>
      </c>
      <c r="Q151" s="55">
        <v>1.6400000000000001E-2</v>
      </c>
      <c r="R151" s="61">
        <f>((K151-D151)/D151)</f>
        <v>5.9659504870678316E-3</v>
      </c>
      <c r="S151" s="61" t="e">
        <f>((N151-G151)/G151)</f>
        <v>#VALUE!</v>
      </c>
      <c r="T151" s="61">
        <f>((O151-H151)/H151)</f>
        <v>0</v>
      </c>
      <c r="U151" s="61">
        <f>P151-I151</f>
        <v>0.15687099999999998</v>
      </c>
      <c r="V151" s="62">
        <f>Q151-J151</f>
        <v>9.6000000000000009E-3</v>
      </c>
    </row>
    <row r="152" spans="1:22">
      <c r="A152" s="176">
        <v>129</v>
      </c>
      <c r="B152" s="134" t="s">
        <v>198</v>
      </c>
      <c r="C152" s="134" t="s">
        <v>199</v>
      </c>
      <c r="D152" s="36">
        <v>660392619.51090646</v>
      </c>
      <c r="E152" s="33">
        <f t="shared" si="70"/>
        <v>1.2082890436376365E-2</v>
      </c>
      <c r="F152" s="36">
        <v>1546.461060090918</v>
      </c>
      <c r="G152" s="36">
        <v>1565.2269248671516</v>
      </c>
      <c r="H152" s="37">
        <v>177</v>
      </c>
      <c r="I152" s="55">
        <v>2.735041235032909E-2</v>
      </c>
      <c r="J152" s="55">
        <v>0.38264709614562631</v>
      </c>
      <c r="K152" s="36">
        <v>653030828.15890348</v>
      </c>
      <c r="L152" s="58">
        <f t="shared" si="71"/>
        <v>1.1830676265446005E-2</v>
      </c>
      <c r="M152" s="36">
        <v>1528.2573027012729</v>
      </c>
      <c r="N152" s="36">
        <v>1547.2662517588878</v>
      </c>
      <c r="O152" s="37">
        <v>175</v>
      </c>
      <c r="P152" s="55">
        <v>-1.1591034713407432E-2</v>
      </c>
      <c r="Q152" s="55">
        <v>0.36662078565781037</v>
      </c>
      <c r="R152" s="61">
        <f>((K152-D152)/D152)</f>
        <v>-1.1147597859974868E-2</v>
      </c>
      <c r="S152" s="61">
        <f>((N152-G152)/G152)</f>
        <v>-1.1474804594093089E-2</v>
      </c>
      <c r="T152" s="61">
        <f>((O152-H152)/H152)</f>
        <v>-1.1299435028248588E-2</v>
      </c>
      <c r="U152" s="61">
        <f>P152-I152</f>
        <v>-3.894144706373652E-2</v>
      </c>
      <c r="V152" s="62">
        <f>Q152-J152</f>
        <v>-1.6026310487815942E-2</v>
      </c>
    </row>
    <row r="153" spans="1:22">
      <c r="A153" s="133">
        <v>130</v>
      </c>
      <c r="B153" s="134" t="s">
        <v>200</v>
      </c>
      <c r="C153" s="135" t="s">
        <v>23</v>
      </c>
      <c r="D153" s="36">
        <v>6831261820.8900003</v>
      </c>
      <c r="E153" s="33">
        <f t="shared" si="70"/>
        <v>0.12498835644944939</v>
      </c>
      <c r="F153" s="36">
        <v>799.57010000000002</v>
      </c>
      <c r="G153" s="36">
        <v>823.67769999999996</v>
      </c>
      <c r="H153" s="37">
        <v>21352</v>
      </c>
      <c r="I153" s="55">
        <v>0.25480000000000003</v>
      </c>
      <c r="J153" s="55">
        <v>0.20530000000000001</v>
      </c>
      <c r="K153" s="36">
        <v>6889314357.1899996</v>
      </c>
      <c r="L153" s="58">
        <f t="shared" si="71"/>
        <v>0.12481072000933358</v>
      </c>
      <c r="M153" s="36">
        <v>805.71090000000004</v>
      </c>
      <c r="N153" s="36">
        <v>830.00369999999998</v>
      </c>
      <c r="O153" s="37">
        <v>21355</v>
      </c>
      <c r="P153" s="55">
        <v>0.40050000000000002</v>
      </c>
      <c r="Q153" s="55">
        <v>0.49719999999999998</v>
      </c>
      <c r="R153" s="61">
        <f t="shared" ref="R153:R179" si="72">((K153-D153)/D153)</f>
        <v>8.4980692911629536E-3</v>
      </c>
      <c r="S153" s="61">
        <f t="shared" ref="S153:T179" si="73">((N153-G153)/G153)</f>
        <v>7.6801885009148869E-3</v>
      </c>
      <c r="T153" s="61">
        <f t="shared" si="73"/>
        <v>1.4050206069689023E-4</v>
      </c>
      <c r="U153" s="61">
        <f t="shared" ref="U153:V179" si="74">P153-I153</f>
        <v>0.1457</v>
      </c>
      <c r="V153" s="62">
        <f t="shared" si="74"/>
        <v>0.29189999999999994</v>
      </c>
    </row>
    <row r="154" spans="1:22">
      <c r="A154" s="176">
        <v>131</v>
      </c>
      <c r="B154" s="134" t="s">
        <v>201</v>
      </c>
      <c r="C154" s="135" t="s">
        <v>113</v>
      </c>
      <c r="D154" s="36">
        <v>3638260344.0799999</v>
      </c>
      <c r="E154" s="33">
        <f t="shared" si="70"/>
        <v>6.6567523345565788E-2</v>
      </c>
      <c r="F154" s="36">
        <v>21.396899999999999</v>
      </c>
      <c r="G154" s="36">
        <v>21.6448</v>
      </c>
      <c r="H154" s="35">
        <v>6169</v>
      </c>
      <c r="I154" s="54">
        <v>1.4999999999999999E-2</v>
      </c>
      <c r="J154" s="54">
        <v>5.8999999999999999E-3</v>
      </c>
      <c r="K154" s="36">
        <v>3710948683.0599999</v>
      </c>
      <c r="L154" s="58">
        <f t="shared" si="71"/>
        <v>6.7229647688673941E-2</v>
      </c>
      <c r="M154" s="36">
        <v>21.909800000000001</v>
      </c>
      <c r="N154" s="36">
        <v>22.168299999999999</v>
      </c>
      <c r="O154" s="35">
        <v>6170</v>
      </c>
      <c r="P154" s="54">
        <v>2.58E-2</v>
      </c>
      <c r="Q154" s="54">
        <v>3.0099999999999998E-2</v>
      </c>
      <c r="R154" s="61">
        <f t="shared" si="72"/>
        <v>1.9978872347130118E-2</v>
      </c>
      <c r="S154" s="61">
        <f t="shared" si="73"/>
        <v>2.4185947664104011E-2</v>
      </c>
      <c r="T154" s="61">
        <f t="shared" si="73"/>
        <v>1.6210082671421625E-4</v>
      </c>
      <c r="U154" s="61">
        <f t="shared" si="74"/>
        <v>1.0800000000000001E-2</v>
      </c>
      <c r="V154" s="62">
        <f t="shared" si="74"/>
        <v>2.4199999999999999E-2</v>
      </c>
    </row>
    <row r="155" spans="1:22">
      <c r="A155" s="133">
        <v>132</v>
      </c>
      <c r="B155" s="134" t="s">
        <v>202</v>
      </c>
      <c r="C155" s="135" t="s">
        <v>122</v>
      </c>
      <c r="D155" s="32">
        <v>1953375798.5996001</v>
      </c>
      <c r="E155" s="33">
        <f t="shared" si="70"/>
        <v>3.5739990209200628E-2</v>
      </c>
      <c r="F155" s="36">
        <v>4.5978000000000003</v>
      </c>
      <c r="G155" s="36">
        <v>4.6989000000000001</v>
      </c>
      <c r="H155" s="35">
        <v>2744</v>
      </c>
      <c r="I155" s="54">
        <v>0.79530000000000001</v>
      </c>
      <c r="J155" s="54">
        <v>0.89180000000000004</v>
      </c>
      <c r="K155" s="32">
        <v>1964546803.2913284</v>
      </c>
      <c r="L155" s="58">
        <f t="shared" si="71"/>
        <v>3.559084232452351E-2</v>
      </c>
      <c r="M155" s="36">
        <v>4.6238999999999999</v>
      </c>
      <c r="N155" s="36">
        <v>4.7259000000000002</v>
      </c>
      <c r="O155" s="35">
        <v>2743</v>
      </c>
      <c r="P155" s="54">
        <v>-3.8612897765719967E-2</v>
      </c>
      <c r="Q155" s="54">
        <v>0.478080517921459</v>
      </c>
      <c r="R155" s="61">
        <f t="shared" si="72"/>
        <v>5.7188200548696205E-3</v>
      </c>
      <c r="S155" s="61">
        <f t="shared" si="73"/>
        <v>5.7460256655813349E-3</v>
      </c>
      <c r="T155" s="61">
        <f t="shared" si="73"/>
        <v>-3.6443148688046647E-4</v>
      </c>
      <c r="U155" s="61">
        <f t="shared" si="74"/>
        <v>-0.83391289776571997</v>
      </c>
      <c r="V155" s="62">
        <f t="shared" si="74"/>
        <v>-0.41371948207854103</v>
      </c>
    </row>
    <row r="156" spans="1:22">
      <c r="A156" s="176">
        <v>133</v>
      </c>
      <c r="B156" s="134" t="s">
        <v>203</v>
      </c>
      <c r="C156" s="135" t="s">
        <v>65</v>
      </c>
      <c r="D156" s="36">
        <v>3486532606.5721202</v>
      </c>
      <c r="E156" s="33">
        <f t="shared" si="70"/>
        <v>6.379143291950265E-2</v>
      </c>
      <c r="F156" s="36">
        <v>7684.5972233571802</v>
      </c>
      <c r="G156" s="36">
        <v>7745.1296150346197</v>
      </c>
      <c r="H156" s="35">
        <v>941</v>
      </c>
      <c r="I156" s="54">
        <v>0.4646504581403364</v>
      </c>
      <c r="J156" s="54">
        <v>0.68667651701704191</v>
      </c>
      <c r="K156" s="36">
        <v>3563291840.14891</v>
      </c>
      <c r="L156" s="58">
        <f t="shared" si="71"/>
        <v>6.4554612710947201E-2</v>
      </c>
      <c r="M156" s="36">
        <v>7805.2413634594304</v>
      </c>
      <c r="N156" s="36">
        <v>7867.2711859604497</v>
      </c>
      <c r="O156" s="35">
        <v>952</v>
      </c>
      <c r="P156" s="54">
        <v>0.81861546931229245</v>
      </c>
      <c r="Q156" s="54">
        <v>0.78226792181662608</v>
      </c>
      <c r="R156" s="61">
        <f t="shared" si="72"/>
        <v>2.2015923049765421E-2</v>
      </c>
      <c r="S156" s="61">
        <f t="shared" si="73"/>
        <v>1.5770113219116727E-2</v>
      </c>
      <c r="T156" s="61">
        <f t="shared" si="73"/>
        <v>1.1689691817215728E-2</v>
      </c>
      <c r="U156" s="61">
        <f t="shared" si="74"/>
        <v>0.35396501117195606</v>
      </c>
      <c r="V156" s="62">
        <f t="shared" si="74"/>
        <v>9.5591404799584168E-2</v>
      </c>
    </row>
    <row r="157" spans="1:22">
      <c r="A157" s="133">
        <v>134</v>
      </c>
      <c r="B157" s="134" t="s">
        <v>204</v>
      </c>
      <c r="C157" s="135" t="s">
        <v>67</v>
      </c>
      <c r="D157" s="36">
        <v>823397381.44000006</v>
      </c>
      <c r="E157" s="33">
        <f t="shared" si="70"/>
        <v>1.5065311227898132E-2</v>
      </c>
      <c r="F157" s="36">
        <v>204.61</v>
      </c>
      <c r="G157" s="36">
        <v>206.42339999999999</v>
      </c>
      <c r="H157" s="35">
        <v>681</v>
      </c>
      <c r="I157" s="54">
        <v>3.5000000000000001E-3</v>
      </c>
      <c r="J157" s="54">
        <v>2.0000000000000001E-4</v>
      </c>
      <c r="K157" s="36">
        <v>836607118.14999998</v>
      </c>
      <c r="L157" s="58">
        <f t="shared" si="71"/>
        <v>1.5156448286070767E-2</v>
      </c>
      <c r="M157" s="36">
        <v>208.04</v>
      </c>
      <c r="N157" s="36">
        <v>209.85339999999999</v>
      </c>
      <c r="O157" s="35">
        <v>681</v>
      </c>
      <c r="P157" s="54">
        <v>1.67E-2</v>
      </c>
      <c r="Q157" s="54">
        <v>1.8700000000000001E-2</v>
      </c>
      <c r="R157" s="61">
        <f t="shared" si="72"/>
        <v>1.6042966625541177E-2</v>
      </c>
      <c r="S157" s="61">
        <f t="shared" si="73"/>
        <v>1.6616333225787421E-2</v>
      </c>
      <c r="T157" s="61">
        <f t="shared" si="73"/>
        <v>0</v>
      </c>
      <c r="U157" s="61">
        <f t="shared" si="74"/>
        <v>1.32E-2</v>
      </c>
      <c r="V157" s="62">
        <f t="shared" si="74"/>
        <v>1.8500000000000003E-2</v>
      </c>
    </row>
    <row r="158" spans="1:22">
      <c r="A158" s="176">
        <v>135</v>
      </c>
      <c r="B158" s="134" t="s">
        <v>205</v>
      </c>
      <c r="C158" s="135" t="s">
        <v>69</v>
      </c>
      <c r="D158" s="36">
        <v>3734808.11</v>
      </c>
      <c r="E158" s="33">
        <f t="shared" si="70"/>
        <v>6.8334012011584273E-5</v>
      </c>
      <c r="F158" s="36">
        <v>102.747</v>
      </c>
      <c r="G158" s="36">
        <v>102.99</v>
      </c>
      <c r="H158" s="35">
        <v>0</v>
      </c>
      <c r="I158" s="54">
        <v>0</v>
      </c>
      <c r="J158" s="54">
        <v>0</v>
      </c>
      <c r="K158" s="36">
        <v>3734808.11</v>
      </c>
      <c r="L158" s="58">
        <f t="shared" si="71"/>
        <v>6.7661898577658789E-5</v>
      </c>
      <c r="M158" s="36">
        <v>102.747</v>
      </c>
      <c r="N158" s="36">
        <v>102.99</v>
      </c>
      <c r="O158" s="35">
        <v>0</v>
      </c>
      <c r="P158" s="54">
        <v>0</v>
      </c>
      <c r="Q158" s="54">
        <v>0</v>
      </c>
      <c r="R158" s="61">
        <f t="shared" si="72"/>
        <v>0</v>
      </c>
      <c r="S158" s="61">
        <f t="shared" si="73"/>
        <v>0</v>
      </c>
      <c r="T158" s="61" t="e">
        <f t="shared" si="73"/>
        <v>#DIV/0!</v>
      </c>
      <c r="U158" s="61">
        <f t="shared" si="74"/>
        <v>0</v>
      </c>
      <c r="V158" s="62">
        <f t="shared" si="74"/>
        <v>0</v>
      </c>
    </row>
    <row r="159" spans="1:22">
      <c r="A159" s="133">
        <v>136</v>
      </c>
      <c r="B159" s="134" t="s">
        <v>206</v>
      </c>
      <c r="C159" s="135" t="s">
        <v>127</v>
      </c>
      <c r="D159" s="36">
        <v>211742916.72</v>
      </c>
      <c r="E159" s="33">
        <f t="shared" si="70"/>
        <v>3.8741596859476588E-3</v>
      </c>
      <c r="F159" s="36">
        <v>1.6556</v>
      </c>
      <c r="G159" s="36">
        <v>1.6709000000000001</v>
      </c>
      <c r="H159" s="35">
        <v>359</v>
      </c>
      <c r="I159" s="54">
        <v>1.1464174454828724E-2</v>
      </c>
      <c r="J159" s="54">
        <v>0.1089555297492999</v>
      </c>
      <c r="K159" s="36">
        <v>214323407.09999999</v>
      </c>
      <c r="L159" s="58">
        <f t="shared" si="71"/>
        <v>3.8828042049042447E-3</v>
      </c>
      <c r="M159" s="36">
        <v>1.6749000000000001</v>
      </c>
      <c r="N159" s="36">
        <v>1.6904999999999999</v>
      </c>
      <c r="O159" s="35">
        <v>362</v>
      </c>
      <c r="P159" s="54">
        <v>1.1464174454828724E-2</v>
      </c>
      <c r="Q159" s="54">
        <v>0.1089555297492999</v>
      </c>
      <c r="R159" s="61">
        <f t="shared" si="72"/>
        <v>1.2186902966923461E-2</v>
      </c>
      <c r="S159" s="61">
        <f t="shared" si="73"/>
        <v>1.173020527859228E-2</v>
      </c>
      <c r="T159" s="61">
        <f t="shared" si="73"/>
        <v>8.356545961002786E-3</v>
      </c>
      <c r="U159" s="61">
        <f t="shared" si="74"/>
        <v>0</v>
      </c>
      <c r="V159" s="62">
        <f t="shared" si="74"/>
        <v>0</v>
      </c>
    </row>
    <row r="160" spans="1:22">
      <c r="A160" s="176">
        <v>137</v>
      </c>
      <c r="B160" s="134" t="s">
        <v>207</v>
      </c>
      <c r="C160" s="135" t="s">
        <v>29</v>
      </c>
      <c r="D160" s="48">
        <v>135718547.66999999</v>
      </c>
      <c r="E160" s="33">
        <f t="shared" si="70"/>
        <v>2.4831778751483306E-3</v>
      </c>
      <c r="F160" s="36">
        <v>160.36330000000001</v>
      </c>
      <c r="G160" s="36">
        <v>161.09030000000001</v>
      </c>
      <c r="H160" s="35">
        <v>97</v>
      </c>
      <c r="I160" s="54">
        <v>7.5199999999999996E-4</v>
      </c>
      <c r="J160" s="54">
        <v>3.3E-3</v>
      </c>
      <c r="K160" s="48">
        <v>136352595.31999999</v>
      </c>
      <c r="L160" s="58">
        <f t="shared" si="71"/>
        <v>2.4702408272703445E-3</v>
      </c>
      <c r="M160" s="36">
        <v>161.1001</v>
      </c>
      <c r="N160" s="36">
        <v>161.83189999999999</v>
      </c>
      <c r="O160" s="35">
        <v>98</v>
      </c>
      <c r="P160" s="54">
        <v>8.1099999999999998E-4</v>
      </c>
      <c r="Q160" s="54">
        <v>7.9000000000000008E-3</v>
      </c>
      <c r="R160" s="61">
        <f t="shared" si="72"/>
        <v>4.6717833404885415E-3</v>
      </c>
      <c r="S160" s="61">
        <f t="shared" si="73"/>
        <v>4.6036291446472999E-3</v>
      </c>
      <c r="T160" s="61">
        <f t="shared" si="73"/>
        <v>1.0309278350515464E-2</v>
      </c>
      <c r="U160" s="61">
        <f t="shared" si="74"/>
        <v>5.9000000000000025E-5</v>
      </c>
      <c r="V160" s="62">
        <f t="shared" si="74"/>
        <v>4.6000000000000008E-3</v>
      </c>
    </row>
    <row r="161" spans="1:22">
      <c r="A161" s="133">
        <v>138</v>
      </c>
      <c r="B161" s="134" t="s">
        <v>208</v>
      </c>
      <c r="C161" s="135" t="s">
        <v>73</v>
      </c>
      <c r="D161" s="48">
        <v>234858259.72999999</v>
      </c>
      <c r="E161" s="33">
        <f t="shared" si="70"/>
        <v>4.2970901499433658E-3</v>
      </c>
      <c r="F161" s="36">
        <v>123.84</v>
      </c>
      <c r="G161" s="36">
        <v>125.25</v>
      </c>
      <c r="H161" s="35">
        <v>40</v>
      </c>
      <c r="I161" s="54">
        <v>6.1999999999999998E-3</v>
      </c>
      <c r="J161" s="54">
        <v>6.1999999999999998E-3</v>
      </c>
      <c r="K161" s="48">
        <v>230691571.27000001</v>
      </c>
      <c r="L161" s="58">
        <f t="shared" si="71"/>
        <v>4.1793391355764951E-3</v>
      </c>
      <c r="M161" s="36">
        <v>118.91</v>
      </c>
      <c r="N161" s="36">
        <v>119.81</v>
      </c>
      <c r="O161" s="35">
        <v>36</v>
      </c>
      <c r="P161" s="54">
        <v>8.9999999999999998E-4</v>
      </c>
      <c r="Q161" s="54">
        <v>7.1000000000000004E-3</v>
      </c>
      <c r="R161" s="61">
        <f t="shared" si="72"/>
        <v>-1.7741289851973385E-2</v>
      </c>
      <c r="S161" s="61">
        <f t="shared" si="73"/>
        <v>-4.3433133732534913E-2</v>
      </c>
      <c r="T161" s="61">
        <f t="shared" si="73"/>
        <v>-0.1</v>
      </c>
      <c r="U161" s="61">
        <f t="shared" si="74"/>
        <v>-5.3E-3</v>
      </c>
      <c r="V161" s="62">
        <f t="shared" si="74"/>
        <v>9.0000000000000063E-4</v>
      </c>
    </row>
    <row r="162" spans="1:22" ht="15.75" customHeight="1">
      <c r="A162" s="176">
        <v>139</v>
      </c>
      <c r="B162" s="134" t="s">
        <v>209</v>
      </c>
      <c r="C162" s="135" t="s">
        <v>76</v>
      </c>
      <c r="D162" s="32">
        <v>318648432.31999999</v>
      </c>
      <c r="E162" s="33">
        <f t="shared" si="70"/>
        <v>5.8301591836340365E-3</v>
      </c>
      <c r="F162" s="36">
        <v>1.2758</v>
      </c>
      <c r="G162" s="36">
        <v>1.2882</v>
      </c>
      <c r="H162" s="35">
        <v>100</v>
      </c>
      <c r="I162" s="54">
        <v>5.7000000000000002E-3</v>
      </c>
      <c r="J162" s="54">
        <v>0.1321</v>
      </c>
      <c r="K162" s="32">
        <v>328348051.41000003</v>
      </c>
      <c r="L162" s="58">
        <f t="shared" si="71"/>
        <v>5.9485392283448041E-3</v>
      </c>
      <c r="M162" s="36">
        <v>1.3159000000000001</v>
      </c>
      <c r="N162" s="36">
        <v>1.3290999999999999</v>
      </c>
      <c r="O162" s="35">
        <v>100</v>
      </c>
      <c r="P162" s="54">
        <v>3.09E-2</v>
      </c>
      <c r="Q162" s="54">
        <v>3.2500000000000001E-2</v>
      </c>
      <c r="R162" s="61">
        <f t="shared" si="72"/>
        <v>3.0439877012353456E-2</v>
      </c>
      <c r="S162" s="61">
        <f t="shared" si="73"/>
        <v>3.1749728303058479E-2</v>
      </c>
      <c r="T162" s="61">
        <f t="shared" si="73"/>
        <v>0</v>
      </c>
      <c r="U162" s="61">
        <f t="shared" si="74"/>
        <v>2.52E-2</v>
      </c>
      <c r="V162" s="62">
        <f t="shared" si="74"/>
        <v>-9.9599999999999994E-2</v>
      </c>
    </row>
    <row r="163" spans="1:22">
      <c r="A163" s="133">
        <v>140</v>
      </c>
      <c r="B163" s="134" t="s">
        <v>210</v>
      </c>
      <c r="C163" s="135" t="s">
        <v>31</v>
      </c>
      <c r="D163" s="36">
        <v>9799803435.5100002</v>
      </c>
      <c r="E163" s="33">
        <f t="shared" si="70"/>
        <v>0.17930235394966657</v>
      </c>
      <c r="F163" s="36">
        <v>325.70999999999998</v>
      </c>
      <c r="G163" s="36">
        <v>328.05</v>
      </c>
      <c r="H163" s="35">
        <v>5466</v>
      </c>
      <c r="I163" s="54">
        <v>1.37E-2</v>
      </c>
      <c r="J163" s="54">
        <v>4.8999999999999998E-3</v>
      </c>
      <c r="K163" s="36">
        <v>9889145611.7800007</v>
      </c>
      <c r="L163" s="58">
        <f t="shared" si="71"/>
        <v>0.17915736168944912</v>
      </c>
      <c r="M163" s="36">
        <v>328.23</v>
      </c>
      <c r="N163" s="36">
        <v>330.61</v>
      </c>
      <c r="O163" s="35">
        <v>5469</v>
      </c>
      <c r="P163" s="54">
        <v>7.7999999999999996E-3</v>
      </c>
      <c r="Q163" s="54">
        <v>1.2699999999999999E-2</v>
      </c>
      <c r="R163" s="61">
        <f t="shared" si="72"/>
        <v>9.1167314587418478E-3</v>
      </c>
      <c r="S163" s="61">
        <f t="shared" si="73"/>
        <v>7.8036884621246827E-3</v>
      </c>
      <c r="T163" s="61">
        <f t="shared" si="73"/>
        <v>5.4884742041712406E-4</v>
      </c>
      <c r="U163" s="61">
        <f t="shared" si="74"/>
        <v>-5.9000000000000007E-3</v>
      </c>
      <c r="V163" s="62">
        <f t="shared" si="74"/>
        <v>7.7999999999999996E-3</v>
      </c>
    </row>
    <row r="164" spans="1:22">
      <c r="A164" s="176">
        <v>141</v>
      </c>
      <c r="B164" s="134" t="s">
        <v>211</v>
      </c>
      <c r="C164" s="135" t="s">
        <v>81</v>
      </c>
      <c r="D164" s="36">
        <v>3301327834.23</v>
      </c>
      <c r="E164" s="33">
        <f t="shared" si="70"/>
        <v>6.0402829070233095E-2</v>
      </c>
      <c r="F164" s="36">
        <v>2.3130999999999999</v>
      </c>
      <c r="G164" s="36">
        <v>2.3544999999999998</v>
      </c>
      <c r="H164" s="35">
        <v>10308</v>
      </c>
      <c r="I164" s="54">
        <v>1.3599999999999999E-2</v>
      </c>
      <c r="J164" s="54">
        <v>0.32669999999999999</v>
      </c>
      <c r="K164" s="36">
        <v>3320663847.2600002</v>
      </c>
      <c r="L164" s="58">
        <f t="shared" si="71"/>
        <v>6.0159026602254105E-2</v>
      </c>
      <c r="M164" s="36">
        <v>2.3273999999999999</v>
      </c>
      <c r="N164" s="36">
        <v>2.3691</v>
      </c>
      <c r="O164" s="35">
        <v>10306</v>
      </c>
      <c r="P164" s="54">
        <v>4.0000000000000002E-4</v>
      </c>
      <c r="Q164" s="54">
        <v>4.0000000000000001E-3</v>
      </c>
      <c r="R164" s="61">
        <f t="shared" si="72"/>
        <v>5.8570411667431786E-3</v>
      </c>
      <c r="S164" s="61">
        <f t="shared" si="73"/>
        <v>6.2008919091102862E-3</v>
      </c>
      <c r="T164" s="61">
        <f t="shared" si="73"/>
        <v>-1.9402405898331392E-4</v>
      </c>
      <c r="U164" s="61">
        <f t="shared" si="74"/>
        <v>-1.32E-2</v>
      </c>
      <c r="V164" s="62">
        <f t="shared" si="74"/>
        <v>-0.32269999999999999</v>
      </c>
    </row>
    <row r="165" spans="1:22">
      <c r="A165" s="133">
        <v>142</v>
      </c>
      <c r="B165" s="134" t="s">
        <v>212</v>
      </c>
      <c r="C165" s="135" t="s">
        <v>83</v>
      </c>
      <c r="D165" s="36">
        <v>258857637.27948779</v>
      </c>
      <c r="E165" s="33">
        <f t="shared" si="70"/>
        <v>4.7361953744785145E-3</v>
      </c>
      <c r="F165" s="36">
        <v>336.81</v>
      </c>
      <c r="G165" s="36">
        <v>339.99</v>
      </c>
      <c r="H165" s="35">
        <v>40</v>
      </c>
      <c r="I165" s="54">
        <v>5.0429696825018411E-3</v>
      </c>
      <c r="J165" s="54">
        <v>0.37912537875685848</v>
      </c>
      <c r="K165" s="36">
        <v>261294080.80559501</v>
      </c>
      <c r="L165" s="58">
        <f t="shared" si="71"/>
        <v>4.7337515271730383E-3</v>
      </c>
      <c r="M165" s="36">
        <v>339.99</v>
      </c>
      <c r="N165" s="36">
        <v>342.1</v>
      </c>
      <c r="O165" s="35">
        <v>40</v>
      </c>
      <c r="P165" s="54">
        <v>9.4415248953416686E-3</v>
      </c>
      <c r="Q165" s="54">
        <v>6.4543270158761157E-3</v>
      </c>
      <c r="R165" s="61">
        <f t="shared" si="72"/>
        <v>9.4122914499007084E-3</v>
      </c>
      <c r="S165" s="61">
        <f t="shared" si="73"/>
        <v>6.206064884261342E-3</v>
      </c>
      <c r="T165" s="61">
        <f t="shared" si="73"/>
        <v>0</v>
      </c>
      <c r="U165" s="61">
        <f t="shared" si="74"/>
        <v>4.3985552128398275E-3</v>
      </c>
      <c r="V165" s="62">
        <f t="shared" si="74"/>
        <v>-0.37267105174098236</v>
      </c>
    </row>
    <row r="166" spans="1:22">
      <c r="A166" s="176">
        <v>143</v>
      </c>
      <c r="B166" s="134" t="s">
        <v>213</v>
      </c>
      <c r="C166" s="134" t="s">
        <v>85</v>
      </c>
      <c r="D166" s="36">
        <v>61172823.909999996</v>
      </c>
      <c r="E166" s="33">
        <f t="shared" si="70"/>
        <v>1.1192501356779129E-3</v>
      </c>
      <c r="F166" s="36">
        <v>1.19</v>
      </c>
      <c r="G166" s="36">
        <v>1.204</v>
      </c>
      <c r="H166" s="35">
        <v>28</v>
      </c>
      <c r="I166" s="54">
        <v>3.0000000000000001E-3</v>
      </c>
      <c r="J166" s="54">
        <v>2E-3</v>
      </c>
      <c r="K166" s="36">
        <v>61238948.657911599</v>
      </c>
      <c r="L166" s="58">
        <f t="shared" si="71"/>
        <v>1.1094394707989613E-3</v>
      </c>
      <c r="M166" s="36">
        <v>1.1905256456817099</v>
      </c>
      <c r="N166" s="36">
        <v>1.2045620422341099</v>
      </c>
      <c r="O166" s="35">
        <v>29</v>
      </c>
      <c r="P166" s="54">
        <v>7.6517096510095002E-4</v>
      </c>
      <c r="Q166" s="54">
        <v>2.2661541189542599E-3</v>
      </c>
      <c r="R166" s="61">
        <f t="shared" si="72"/>
        <v>1.0809497369107521E-3</v>
      </c>
      <c r="S166" s="61">
        <f t="shared" si="73"/>
        <v>4.6681248680227448E-4</v>
      </c>
      <c r="T166" s="61">
        <f t="shared" si="73"/>
        <v>3.5714285714285712E-2</v>
      </c>
      <c r="U166" s="61">
        <f t="shared" si="74"/>
        <v>-2.23482903489905E-3</v>
      </c>
      <c r="V166" s="62">
        <f t="shared" si="74"/>
        <v>2.6615411895425985E-4</v>
      </c>
    </row>
    <row r="167" spans="1:22" ht="13.5" customHeight="1">
      <c r="A167" s="133">
        <v>144</v>
      </c>
      <c r="B167" s="134" t="s">
        <v>214</v>
      </c>
      <c r="C167" s="135" t="s">
        <v>37</v>
      </c>
      <c r="D167" s="32">
        <v>3024968897.5700002</v>
      </c>
      <c r="E167" s="33">
        <f t="shared" si="70"/>
        <v>5.5346420724468555E-2</v>
      </c>
      <c r="F167" s="36">
        <v>4.2716029999999998</v>
      </c>
      <c r="G167" s="36">
        <v>4.4086340000000002</v>
      </c>
      <c r="H167" s="35">
        <v>2362</v>
      </c>
      <c r="I167" s="54">
        <v>8.5829603527722842E-3</v>
      </c>
      <c r="J167" s="54">
        <v>-9.5157533603529298E-4</v>
      </c>
      <c r="K167" s="32">
        <v>3088722806.6500001</v>
      </c>
      <c r="L167" s="58">
        <f t="shared" si="71"/>
        <v>5.5957051372594858E-2</v>
      </c>
      <c r="M167" s="36">
        <v>4.3641649999999998</v>
      </c>
      <c r="N167" s="36">
        <v>4.4956120000000004</v>
      </c>
      <c r="O167" s="35">
        <v>2361</v>
      </c>
      <c r="P167" s="54">
        <v>2.1669148560856444E-2</v>
      </c>
      <c r="Q167" s="54">
        <v>2.9457554880703896E-2</v>
      </c>
      <c r="R167" s="61">
        <f t="shared" si="72"/>
        <v>2.1075889121112728E-2</v>
      </c>
      <c r="S167" s="61">
        <f t="shared" si="73"/>
        <v>1.9729013567467885E-2</v>
      </c>
      <c r="T167" s="61">
        <f t="shared" si="73"/>
        <v>-4.2337002540220151E-4</v>
      </c>
      <c r="U167" s="61">
        <f t="shared" si="74"/>
        <v>1.308618820808416E-2</v>
      </c>
      <c r="V167" s="62">
        <f t="shared" si="74"/>
        <v>3.0409130216739189E-2</v>
      </c>
    </row>
    <row r="168" spans="1:22" ht="13.5" customHeight="1">
      <c r="A168" s="176">
        <v>145</v>
      </c>
      <c r="B168" s="134" t="s">
        <v>215</v>
      </c>
      <c r="C168" s="135" t="s">
        <v>216</v>
      </c>
      <c r="D168" s="32">
        <v>68213547.629999995</v>
      </c>
      <c r="E168" s="33">
        <f t="shared" si="70"/>
        <v>1.2480709171163269E-3</v>
      </c>
      <c r="F168" s="36">
        <v>2.1276000000000002</v>
      </c>
      <c r="G168" s="36">
        <v>2.1383000000000001</v>
      </c>
      <c r="H168" s="35">
        <v>78</v>
      </c>
      <c r="I168" s="54">
        <v>3.0000000000000001E-3</v>
      </c>
      <c r="J168" s="54">
        <v>5.7999999999999996E-3</v>
      </c>
      <c r="K168" s="32">
        <v>69466290.959999993</v>
      </c>
      <c r="L168" s="58">
        <f t="shared" si="71"/>
        <v>1.2584906627242103E-3</v>
      </c>
      <c r="M168" s="36">
        <v>2.1509</v>
      </c>
      <c r="N168" s="36">
        <v>2.1616</v>
      </c>
      <c r="O168" s="35">
        <v>78</v>
      </c>
      <c r="P168" s="54">
        <v>1.09E-2</v>
      </c>
      <c r="Q168" s="54">
        <v>1.9E-2</v>
      </c>
      <c r="R168" s="61">
        <f t="shared" si="72"/>
        <v>1.8365022396944614E-2</v>
      </c>
      <c r="S168" s="61">
        <f t="shared" si="73"/>
        <v>1.0896506570640171E-2</v>
      </c>
      <c r="T168" s="61">
        <f t="shared" si="73"/>
        <v>0</v>
      </c>
      <c r="U168" s="61">
        <f t="shared" si="74"/>
        <v>7.9000000000000008E-3</v>
      </c>
      <c r="V168" s="62">
        <f t="shared" si="74"/>
        <v>1.32E-2</v>
      </c>
    </row>
    <row r="169" spans="1:22">
      <c r="A169" s="133">
        <v>146</v>
      </c>
      <c r="B169" s="134" t="s">
        <v>217</v>
      </c>
      <c r="C169" s="135" t="s">
        <v>136</v>
      </c>
      <c r="D169" s="32">
        <v>500631457.92000002</v>
      </c>
      <c r="E169" s="33">
        <f t="shared" si="70"/>
        <v>9.1598162613185045E-3</v>
      </c>
      <c r="F169" s="36">
        <v>239.8</v>
      </c>
      <c r="G169" s="36">
        <v>242.76</v>
      </c>
      <c r="H169" s="35">
        <v>141</v>
      </c>
      <c r="I169" s="54">
        <v>5.9999999999999995E-4</v>
      </c>
      <c r="J169" s="54">
        <v>0.2059</v>
      </c>
      <c r="K169" s="32">
        <v>440263677.57999998</v>
      </c>
      <c r="L169" s="58">
        <f t="shared" si="71"/>
        <v>7.9760660849172854E-3</v>
      </c>
      <c r="M169" s="36">
        <v>242.5</v>
      </c>
      <c r="N169" s="36">
        <v>244.5</v>
      </c>
      <c r="O169" s="35">
        <v>141</v>
      </c>
      <c r="P169" s="54">
        <v>5.9999999999999995E-4</v>
      </c>
      <c r="Q169" s="54">
        <v>0.2059</v>
      </c>
      <c r="R169" s="61">
        <f t="shared" si="72"/>
        <v>-0.12058327415303313</v>
      </c>
      <c r="S169" s="61">
        <f t="shared" si="73"/>
        <v>7.1675729115175859E-3</v>
      </c>
      <c r="T169" s="61">
        <f t="shared" si="73"/>
        <v>0</v>
      </c>
      <c r="U169" s="61">
        <f t="shared" si="74"/>
        <v>0</v>
      </c>
      <c r="V169" s="62">
        <f t="shared" si="74"/>
        <v>0</v>
      </c>
    </row>
    <row r="170" spans="1:22">
      <c r="A170" s="176">
        <v>147</v>
      </c>
      <c r="B170" s="134" t="s">
        <v>218</v>
      </c>
      <c r="C170" s="135" t="s">
        <v>33</v>
      </c>
      <c r="D170" s="32">
        <v>2099346026.9300001</v>
      </c>
      <c r="E170" s="33">
        <f t="shared" si="70"/>
        <v>3.8410738221489604E-2</v>
      </c>
      <c r="F170" s="36">
        <v>552.22</v>
      </c>
      <c r="G170" s="36">
        <v>552.22</v>
      </c>
      <c r="H170" s="35">
        <v>823</v>
      </c>
      <c r="I170" s="54">
        <v>-3.27E-2</v>
      </c>
      <c r="J170" s="54">
        <v>0.34289999999999998</v>
      </c>
      <c r="K170" s="32">
        <v>2165971158.75</v>
      </c>
      <c r="L170" s="58">
        <f t="shared" si="71"/>
        <v>3.9239960005730143E-2</v>
      </c>
      <c r="M170" s="36">
        <v>552.22</v>
      </c>
      <c r="N170" s="36">
        <v>552.22</v>
      </c>
      <c r="O170" s="35">
        <v>823</v>
      </c>
      <c r="P170" s="54">
        <v>-3.27E-2</v>
      </c>
      <c r="Q170" s="54">
        <v>0.38550000000000001</v>
      </c>
      <c r="R170" s="61">
        <f t="shared" si="72"/>
        <v>3.1736136380256415E-2</v>
      </c>
      <c r="S170" s="61">
        <f t="shared" si="73"/>
        <v>0</v>
      </c>
      <c r="T170" s="61">
        <f t="shared" si="73"/>
        <v>0</v>
      </c>
      <c r="U170" s="61">
        <f t="shared" si="74"/>
        <v>0</v>
      </c>
      <c r="V170" s="62">
        <f t="shared" si="74"/>
        <v>4.2600000000000027E-2</v>
      </c>
    </row>
    <row r="171" spans="1:22">
      <c r="A171" s="133">
        <v>148</v>
      </c>
      <c r="B171" s="134" t="s">
        <v>219</v>
      </c>
      <c r="C171" s="135" t="s">
        <v>92</v>
      </c>
      <c r="D171" s="36">
        <v>31529802.27</v>
      </c>
      <c r="E171" s="33">
        <f t="shared" si="70"/>
        <v>5.7688583284163882E-4</v>
      </c>
      <c r="F171" s="36">
        <v>1.87</v>
      </c>
      <c r="G171" s="36">
        <v>1.87</v>
      </c>
      <c r="H171" s="35">
        <v>8</v>
      </c>
      <c r="I171" s="54">
        <v>-4.6883000000000001E-2</v>
      </c>
      <c r="J171" s="54">
        <v>-1.292E-3</v>
      </c>
      <c r="K171" s="36">
        <v>30504863.199999999</v>
      </c>
      <c r="L171" s="58">
        <f t="shared" si="71"/>
        <v>5.526433752880964E-4</v>
      </c>
      <c r="M171" s="36">
        <v>1.81</v>
      </c>
      <c r="N171" s="36">
        <v>1.81</v>
      </c>
      <c r="O171" s="35">
        <v>8</v>
      </c>
      <c r="P171" s="54">
        <v>-3.1028E-2</v>
      </c>
      <c r="Q171" s="54">
        <v>-3.2280999999999997E-2</v>
      </c>
      <c r="R171" s="61">
        <f t="shared" si="72"/>
        <v>-3.2506993263805212E-2</v>
      </c>
      <c r="S171" s="61">
        <f t="shared" si="73"/>
        <v>-3.2085561497326227E-2</v>
      </c>
      <c r="T171" s="61">
        <f t="shared" si="73"/>
        <v>0</v>
      </c>
      <c r="U171" s="61">
        <f t="shared" si="74"/>
        <v>1.5855000000000001E-2</v>
      </c>
      <c r="V171" s="62">
        <f t="shared" si="74"/>
        <v>-3.0988999999999996E-2</v>
      </c>
    </row>
    <row r="172" spans="1:22">
      <c r="A172" s="176">
        <v>149</v>
      </c>
      <c r="B172" s="134" t="s">
        <v>220</v>
      </c>
      <c r="C172" s="135" t="s">
        <v>45</v>
      </c>
      <c r="D172" s="36">
        <v>262481440.13</v>
      </c>
      <c r="E172" s="33">
        <f t="shared" si="70"/>
        <v>4.8024983759236183E-3</v>
      </c>
      <c r="F172" s="36">
        <v>2.6391680000000002</v>
      </c>
      <c r="G172" s="36">
        <v>2.6913499999999999</v>
      </c>
      <c r="H172" s="35">
        <v>119</v>
      </c>
      <c r="I172" s="54">
        <v>9.5999999999999992E-3</v>
      </c>
      <c r="J172" s="54">
        <v>0.13700000000000001</v>
      </c>
      <c r="K172" s="36">
        <v>260792508.38</v>
      </c>
      <c r="L172" s="58">
        <f t="shared" si="71"/>
        <v>4.7246647570926446E-3</v>
      </c>
      <c r="M172" s="36">
        <v>2.626366</v>
      </c>
      <c r="N172" s="36">
        <v>2.6784560000000002</v>
      </c>
      <c r="O172" s="35">
        <v>119</v>
      </c>
      <c r="P172" s="54">
        <v>-6.4999999999999997E-3</v>
      </c>
      <c r="Q172" s="54">
        <v>0.13159999999999999</v>
      </c>
      <c r="R172" s="61">
        <f t="shared" si="72"/>
        <v>-6.4344806595221264E-3</v>
      </c>
      <c r="S172" s="61">
        <f t="shared" si="73"/>
        <v>-4.7909041930628638E-3</v>
      </c>
      <c r="T172" s="61">
        <f t="shared" si="73"/>
        <v>0</v>
      </c>
      <c r="U172" s="61">
        <f t="shared" si="74"/>
        <v>-1.61E-2</v>
      </c>
      <c r="V172" s="62">
        <f t="shared" si="74"/>
        <v>-5.4000000000000159E-3</v>
      </c>
    </row>
    <row r="173" spans="1:22">
      <c r="A173" s="133">
        <v>150</v>
      </c>
      <c r="B173" s="134" t="s">
        <v>221</v>
      </c>
      <c r="C173" s="135" t="s">
        <v>49</v>
      </c>
      <c r="D173" s="32">
        <v>2355704295.8299999</v>
      </c>
      <c r="E173" s="33">
        <f t="shared" si="70"/>
        <v>4.3101203838552204E-2</v>
      </c>
      <c r="F173" s="36">
        <v>6404.88</v>
      </c>
      <c r="G173" s="36">
        <v>6464.23</v>
      </c>
      <c r="H173" s="35">
        <v>2246</v>
      </c>
      <c r="I173" s="54">
        <v>4.3E-3</v>
      </c>
      <c r="J173" s="54">
        <v>4.3E-3</v>
      </c>
      <c r="K173" s="32">
        <v>2369570581.6999998</v>
      </c>
      <c r="L173" s="33">
        <f t="shared" si="71"/>
        <v>4.2928482441254343E-2</v>
      </c>
      <c r="M173" s="36">
        <v>6461.55</v>
      </c>
      <c r="N173" s="36">
        <v>6521.94</v>
      </c>
      <c r="O173" s="35">
        <v>2252</v>
      </c>
      <c r="P173" s="54">
        <v>8.8999999999999999E-3</v>
      </c>
      <c r="Q173" s="54">
        <v>1.3299999999999999E-2</v>
      </c>
      <c r="R173" s="61">
        <f t="shared" si="72"/>
        <v>5.8862591092377712E-3</v>
      </c>
      <c r="S173" s="61">
        <f t="shared" si="73"/>
        <v>8.9275907571358133E-3</v>
      </c>
      <c r="T173" s="61">
        <f t="shared" si="73"/>
        <v>2.6714158504007124E-3</v>
      </c>
      <c r="U173" s="61">
        <f t="shared" si="74"/>
        <v>4.5999999999999999E-3</v>
      </c>
      <c r="V173" s="62">
        <f t="shared" si="74"/>
        <v>8.9999999999999993E-3</v>
      </c>
    </row>
    <row r="174" spans="1:22">
      <c r="A174" s="176">
        <v>151</v>
      </c>
      <c r="B174" s="134" t="s">
        <v>222</v>
      </c>
      <c r="C174" s="134" t="s">
        <v>102</v>
      </c>
      <c r="D174" s="32">
        <v>85279562.349999994</v>
      </c>
      <c r="E174" s="33">
        <f t="shared" si="70"/>
        <v>1.5603196914894645E-3</v>
      </c>
      <c r="F174" s="36">
        <v>1117.53</v>
      </c>
      <c r="G174" s="36">
        <v>1135.75</v>
      </c>
      <c r="H174" s="35">
        <v>8</v>
      </c>
      <c r="I174" s="54">
        <v>1.4955831659055008E-2</v>
      </c>
      <c r="J174" s="54">
        <v>1.2E-2</v>
      </c>
      <c r="K174" s="32">
        <v>86095253.859999999</v>
      </c>
      <c r="L174" s="33">
        <f t="shared" si="71"/>
        <v>1.5597503708679444E-3</v>
      </c>
      <c r="M174" s="36">
        <v>1118.33</v>
      </c>
      <c r="N174" s="36">
        <v>1133.4000000000001</v>
      </c>
      <c r="O174" s="35">
        <v>8</v>
      </c>
      <c r="P174" s="54">
        <v>0</v>
      </c>
      <c r="Q174" s="54">
        <v>9.2999999999999992E-3</v>
      </c>
      <c r="R174" s="61">
        <f t="shared" si="72"/>
        <v>9.5649120084867027E-3</v>
      </c>
      <c r="S174" s="61">
        <f t="shared" si="73"/>
        <v>-2.0691173233545316E-3</v>
      </c>
      <c r="T174" s="61">
        <f t="shared" si="73"/>
        <v>0</v>
      </c>
      <c r="U174" s="61">
        <f t="shared" si="74"/>
        <v>-1.4955831659055008E-2</v>
      </c>
      <c r="V174" s="62">
        <f t="shared" si="74"/>
        <v>-2.700000000000001E-3</v>
      </c>
    </row>
    <row r="175" spans="1:22">
      <c r="A175" s="133">
        <v>152</v>
      </c>
      <c r="B175" s="134" t="s">
        <v>223</v>
      </c>
      <c r="C175" s="134" t="s">
        <v>85</v>
      </c>
      <c r="D175" s="32">
        <v>712778285.04997003</v>
      </c>
      <c r="E175" s="33">
        <f t="shared" si="70"/>
        <v>1.3041366104402374E-2</v>
      </c>
      <c r="F175" s="36">
        <v>1.361</v>
      </c>
      <c r="G175" s="36">
        <v>1.361</v>
      </c>
      <c r="H175" s="35">
        <v>44</v>
      </c>
      <c r="I175" s="54">
        <v>1.27233163018291E-2</v>
      </c>
      <c r="J175" s="54">
        <v>1.10451615577853E-2</v>
      </c>
      <c r="K175" s="32">
        <v>714769938.29363406</v>
      </c>
      <c r="L175" s="33">
        <f t="shared" si="71"/>
        <v>1.2949176944778375E-2</v>
      </c>
      <c r="M175" s="36">
        <v>1.3646024862205901</v>
      </c>
      <c r="N175" s="36">
        <v>1.3646024862205901</v>
      </c>
      <c r="O175" s="35">
        <v>42</v>
      </c>
      <c r="P175" s="54">
        <v>1.27233163018291E-2</v>
      </c>
      <c r="Q175" s="54">
        <v>1.3870235519679801E-2</v>
      </c>
      <c r="R175" s="61">
        <f t="shared" si="72"/>
        <v>2.7942114475673165E-3</v>
      </c>
      <c r="S175" s="61">
        <f t="shared" si="73"/>
        <v>2.646940647016986E-3</v>
      </c>
      <c r="T175" s="61">
        <f t="shared" si="73"/>
        <v>-4.5454545454545456E-2</v>
      </c>
      <c r="U175" s="61">
        <f t="shared" si="74"/>
        <v>0</v>
      </c>
      <c r="V175" s="62">
        <f t="shared" si="74"/>
        <v>2.8250739618945007E-3</v>
      </c>
    </row>
    <row r="176" spans="1:22">
      <c r="A176" s="176">
        <v>153</v>
      </c>
      <c r="B176" s="134" t="s">
        <v>224</v>
      </c>
      <c r="C176" s="135" t="s">
        <v>52</v>
      </c>
      <c r="D176" s="36">
        <v>2145683775.77</v>
      </c>
      <c r="E176" s="33">
        <f t="shared" si="70"/>
        <v>3.925855802710268E-2</v>
      </c>
      <c r="F176" s="36">
        <v>1.9936</v>
      </c>
      <c r="G176" s="36">
        <v>2.0064000000000002</v>
      </c>
      <c r="H176" s="35">
        <v>2227</v>
      </c>
      <c r="I176" s="54">
        <v>1.0200000000000001E-2</v>
      </c>
      <c r="J176" s="54">
        <v>8.2000000000000007E-3</v>
      </c>
      <c r="K176" s="36">
        <v>2164100564.0300002</v>
      </c>
      <c r="L176" s="58">
        <f t="shared" si="71"/>
        <v>3.9206071252547443E-2</v>
      </c>
      <c r="M176" s="36">
        <v>2.0108000000000001</v>
      </c>
      <c r="N176" s="36">
        <v>2.0238</v>
      </c>
      <c r="O176" s="35">
        <v>2237</v>
      </c>
      <c r="P176" s="54">
        <v>8.6E-3</v>
      </c>
      <c r="Q176" s="54">
        <v>1.6899999999999998E-2</v>
      </c>
      <c r="R176" s="61">
        <f t="shared" si="72"/>
        <v>8.5831791562068285E-3</v>
      </c>
      <c r="S176" s="61">
        <f t="shared" si="73"/>
        <v>8.6722488038276802E-3</v>
      </c>
      <c r="T176" s="61">
        <f t="shared" si="73"/>
        <v>4.4903457566232603E-3</v>
      </c>
      <c r="U176" s="61">
        <f t="shared" si="74"/>
        <v>-1.6000000000000007E-3</v>
      </c>
      <c r="V176" s="62">
        <f t="shared" si="74"/>
        <v>8.6999999999999977E-3</v>
      </c>
    </row>
    <row r="177" spans="1:22">
      <c r="A177" s="133">
        <v>154</v>
      </c>
      <c r="B177" s="134" t="s">
        <v>225</v>
      </c>
      <c r="C177" s="135" t="s">
        <v>52</v>
      </c>
      <c r="D177" s="36">
        <v>1225083302.4300001</v>
      </c>
      <c r="E177" s="33">
        <f t="shared" si="70"/>
        <v>2.2414767944648958E-2</v>
      </c>
      <c r="F177" s="36">
        <v>1.5279</v>
      </c>
      <c r="G177" s="36">
        <v>1.5365</v>
      </c>
      <c r="H177" s="35">
        <v>832</v>
      </c>
      <c r="I177" s="54">
        <v>1.1299999999999999E-2</v>
      </c>
      <c r="J177" s="54">
        <v>5.7000000000000002E-3</v>
      </c>
      <c r="K177" s="36">
        <v>1232819834.27</v>
      </c>
      <c r="L177" s="58">
        <f t="shared" si="71"/>
        <v>2.2334462209064567E-2</v>
      </c>
      <c r="M177" s="36">
        <v>1.5432999999999999</v>
      </c>
      <c r="N177" s="36">
        <v>1.5521</v>
      </c>
      <c r="O177" s="35">
        <v>839</v>
      </c>
      <c r="P177" s="54">
        <v>1.01E-2</v>
      </c>
      <c r="Q177" s="54">
        <v>1.5800000000000002E-2</v>
      </c>
      <c r="R177" s="61">
        <f t="shared" si="72"/>
        <v>6.3151067561317701E-3</v>
      </c>
      <c r="S177" s="61">
        <f t="shared" si="73"/>
        <v>1.0152945004881262E-2</v>
      </c>
      <c r="T177" s="61">
        <f t="shared" si="73"/>
        <v>8.4134615384615381E-3</v>
      </c>
      <c r="U177" s="61">
        <f t="shared" si="74"/>
        <v>-1.1999999999999997E-3</v>
      </c>
      <c r="V177" s="62">
        <f t="shared" si="74"/>
        <v>1.0100000000000001E-2</v>
      </c>
    </row>
    <row r="178" spans="1:22">
      <c r="A178" s="176">
        <v>155</v>
      </c>
      <c r="B178" s="134" t="s">
        <v>226</v>
      </c>
      <c r="C178" s="135" t="s">
        <v>107</v>
      </c>
      <c r="D178" s="32">
        <v>9603000471.0799999</v>
      </c>
      <c r="E178" s="33">
        <f t="shared" si="70"/>
        <v>0.17570154348251915</v>
      </c>
      <c r="F178" s="36">
        <v>520.58000000000004</v>
      </c>
      <c r="G178" s="36">
        <v>526.9</v>
      </c>
      <c r="H178" s="35">
        <v>37</v>
      </c>
      <c r="I178" s="54">
        <v>-2.7699999999999999E-2</v>
      </c>
      <c r="J178" s="54">
        <v>6.6E-3</v>
      </c>
      <c r="K178" s="32">
        <v>9688548618.3899994</v>
      </c>
      <c r="L178" s="58">
        <v>5.2058</v>
      </c>
      <c r="M178" s="36">
        <v>527.72</v>
      </c>
      <c r="N178" s="36">
        <v>534.14099999999996</v>
      </c>
      <c r="O178" s="35">
        <v>37</v>
      </c>
      <c r="P178" s="54">
        <v>2.0421070077192516E-2</v>
      </c>
      <c r="Q178" s="54">
        <v>1.3738385078017279E-2</v>
      </c>
      <c r="R178" s="61">
        <f t="shared" si="72"/>
        <v>8.908481007330233E-3</v>
      </c>
      <c r="S178" s="61">
        <f t="shared" si="73"/>
        <v>1.3742645663313695E-2</v>
      </c>
      <c r="T178" s="61">
        <f t="shared" si="73"/>
        <v>0</v>
      </c>
      <c r="U178" s="61">
        <f t="shared" si="74"/>
        <v>4.8121070077192518E-2</v>
      </c>
      <c r="V178" s="62">
        <f t="shared" si="74"/>
        <v>7.138385078017279E-3</v>
      </c>
    </row>
    <row r="179" spans="1:22">
      <c r="A179" s="133">
        <v>156</v>
      </c>
      <c r="B179" s="134" t="s">
        <v>227</v>
      </c>
      <c r="C179" s="135" t="s">
        <v>47</v>
      </c>
      <c r="D179" s="32">
        <v>563285595.25</v>
      </c>
      <c r="E179" s="33">
        <f t="shared" si="70"/>
        <v>1.0306169285834044E-2</v>
      </c>
      <c r="F179" s="36">
        <v>255.38</v>
      </c>
      <c r="G179" s="36">
        <v>259.13</v>
      </c>
      <c r="H179" s="35">
        <v>711</v>
      </c>
      <c r="I179" s="54">
        <v>-4.4999999999999998E-2</v>
      </c>
      <c r="J179" s="54">
        <v>0.32500000000000001</v>
      </c>
      <c r="K179" s="32">
        <v>563285595.25</v>
      </c>
      <c r="L179" s="58">
        <f t="shared" si="71"/>
        <v>1.0204800807306178E-2</v>
      </c>
      <c r="M179" s="36">
        <v>255.38</v>
      </c>
      <c r="N179" s="36">
        <v>259.13</v>
      </c>
      <c r="O179" s="35">
        <v>711</v>
      </c>
      <c r="P179" s="54">
        <v>-4.4999999999999998E-2</v>
      </c>
      <c r="Q179" s="54">
        <v>0.32500000000000001</v>
      </c>
      <c r="R179" s="61">
        <f t="shared" si="72"/>
        <v>0</v>
      </c>
      <c r="S179" s="61">
        <f t="shared" si="73"/>
        <v>0</v>
      </c>
      <c r="T179" s="61">
        <f t="shared" si="73"/>
        <v>0</v>
      </c>
      <c r="U179" s="61">
        <f t="shared" si="74"/>
        <v>0</v>
      </c>
      <c r="V179" s="62">
        <f t="shared" si="74"/>
        <v>0</v>
      </c>
    </row>
    <row r="180" spans="1:22">
      <c r="A180" s="39"/>
      <c r="B180" s="40"/>
      <c r="C180" s="41" t="s">
        <v>53</v>
      </c>
      <c r="D180" s="79">
        <f>SUM(D151:D179)</f>
        <v>54655185610.452072</v>
      </c>
      <c r="E180" s="43">
        <f>(D180/$D$211)</f>
        <v>1.4073716686589412E-2</v>
      </c>
      <c r="F180" s="44"/>
      <c r="G180" s="80"/>
      <c r="H180" s="46">
        <f>SUM(H151:H179)</f>
        <v>69973</v>
      </c>
      <c r="I180" s="86"/>
      <c r="J180" s="86"/>
      <c r="K180" s="79">
        <f>SUM(K151:K179)</f>
        <v>55198098021.346275</v>
      </c>
      <c r="L180" s="43">
        <f>(K180/$K$211)</f>
        <v>1.3924444789573505E-2</v>
      </c>
      <c r="M180" s="44"/>
      <c r="N180" s="80"/>
      <c r="O180" s="46">
        <f>SUM(O151:O179)</f>
        <v>70007</v>
      </c>
      <c r="P180" s="86"/>
      <c r="Q180" s="86"/>
      <c r="R180" s="61">
        <f t="shared" ref="R180" si="75">((K180-D180)/D180)</f>
        <v>9.9334107977190455E-3</v>
      </c>
      <c r="S180" s="61" t="e">
        <f t="shared" ref="S180" si="76">((N180-G180)/G180)</f>
        <v>#DIV/0!</v>
      </c>
      <c r="T180" s="61">
        <f t="shared" ref="T180" si="77">((O180-H180)/H180)</f>
        <v>4.8590170494333527E-4</v>
      </c>
      <c r="U180" s="61">
        <f t="shared" ref="U180" si="78">P180-I180</f>
        <v>0</v>
      </c>
      <c r="V180" s="62">
        <f t="shared" ref="V180" si="79">Q180-J180</f>
        <v>0</v>
      </c>
    </row>
    <row r="181" spans="1:22" ht="5.25" customHeight="1">
      <c r="A181" s="39"/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</row>
    <row r="182" spans="1:22" ht="15" customHeight="1">
      <c r="A182" s="182" t="s">
        <v>228</v>
      </c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</row>
    <row r="183" spans="1:22" ht="16.2" customHeight="1">
      <c r="A183" s="133">
        <v>157</v>
      </c>
      <c r="B183" s="134" t="s">
        <v>229</v>
      </c>
      <c r="C183" s="135" t="s">
        <v>23</v>
      </c>
      <c r="D183" s="82">
        <v>989122815.89999998</v>
      </c>
      <c r="E183" s="33">
        <f>(D183/$D$186)</f>
        <v>0.16605050625138471</v>
      </c>
      <c r="F183" s="81">
        <v>68.784000000000006</v>
      </c>
      <c r="G183" s="81">
        <v>70.857799999999997</v>
      </c>
      <c r="H183" s="37">
        <v>1660</v>
      </c>
      <c r="I183" s="55">
        <v>1.1132</v>
      </c>
      <c r="J183" s="55">
        <v>0.25929999999999997</v>
      </c>
      <c r="K183" s="82">
        <v>1002806471.12</v>
      </c>
      <c r="L183" s="58">
        <f>(K183/$K$186)</f>
        <v>0.16566776350099766</v>
      </c>
      <c r="M183" s="81">
        <v>69.159000000000006</v>
      </c>
      <c r="N183" s="81">
        <v>71.244200000000006</v>
      </c>
      <c r="O183" s="37">
        <v>1666</v>
      </c>
      <c r="P183" s="55">
        <v>0.2843</v>
      </c>
      <c r="Q183" s="55">
        <v>0.31419999999999998</v>
      </c>
      <c r="R183" s="61">
        <f>((K183-D183)/D183)</f>
        <v>1.3834131616455849E-2</v>
      </c>
      <c r="S183" s="61">
        <f t="shared" ref="S183:T186" si="80">((N183-G183)/G183)</f>
        <v>5.4531752326491788E-3</v>
      </c>
      <c r="T183" s="61">
        <f t="shared" si="80"/>
        <v>3.6144578313253013E-3</v>
      </c>
      <c r="U183" s="61">
        <f t="shared" ref="U183:V186" si="81">P183-I183</f>
        <v>-0.82889999999999997</v>
      </c>
      <c r="V183" s="62">
        <f t="shared" si="81"/>
        <v>5.4900000000000004E-2</v>
      </c>
    </row>
    <row r="184" spans="1:22">
      <c r="A184" s="133">
        <v>158</v>
      </c>
      <c r="B184" s="134" t="s">
        <v>230</v>
      </c>
      <c r="C184" s="135" t="s">
        <v>231</v>
      </c>
      <c r="D184" s="82">
        <v>951258393.54999995</v>
      </c>
      <c r="E184" s="33">
        <f>(D184/$D$186)</f>
        <v>0.15969395841014128</v>
      </c>
      <c r="F184" s="81">
        <v>26.751000000000001</v>
      </c>
      <c r="G184" s="81">
        <v>27.027899999999999</v>
      </c>
      <c r="H184" s="35">
        <v>1483</v>
      </c>
      <c r="I184" s="54">
        <v>2.2700000000000001E-2</v>
      </c>
      <c r="J184" s="54">
        <v>5.1999999999999998E-3</v>
      </c>
      <c r="K184" s="82">
        <v>964499725.91999996</v>
      </c>
      <c r="L184" s="58">
        <f>(K184/$K$186)</f>
        <v>0.15933933125903302</v>
      </c>
      <c r="M184" s="81">
        <v>27.268599999999999</v>
      </c>
      <c r="N184" s="81">
        <v>27.5562</v>
      </c>
      <c r="O184" s="35">
        <v>1483</v>
      </c>
      <c r="P184" s="54">
        <v>1.6799999999999999E-2</v>
      </c>
      <c r="Q184" s="54">
        <v>2.47E-2</v>
      </c>
      <c r="R184" s="61">
        <f>((K184-D184)/D184)</f>
        <v>1.3919806079802033E-2</v>
      </c>
      <c r="S184" s="61">
        <f t="shared" si="80"/>
        <v>1.9546468649062693E-2</v>
      </c>
      <c r="T184" s="61">
        <f t="shared" si="80"/>
        <v>0</v>
      </c>
      <c r="U184" s="61">
        <f t="shared" si="81"/>
        <v>-5.9000000000000025E-3</v>
      </c>
      <c r="V184" s="62">
        <f t="shared" si="81"/>
        <v>1.95E-2</v>
      </c>
    </row>
    <row r="185" spans="1:22">
      <c r="A185" s="133">
        <v>159</v>
      </c>
      <c r="B185" s="134" t="s">
        <v>232</v>
      </c>
      <c r="C185" s="135" t="s">
        <v>49</v>
      </c>
      <c r="D185" s="48">
        <v>4016377599.8400002</v>
      </c>
      <c r="E185" s="33">
        <f>(D185/$D$186)</f>
        <v>0.67425553533847404</v>
      </c>
      <c r="F185" s="81">
        <v>2.88</v>
      </c>
      <c r="G185" s="81">
        <v>2.92</v>
      </c>
      <c r="H185" s="35">
        <v>10199</v>
      </c>
      <c r="I185" s="54">
        <v>6.8999999999999999E-3</v>
      </c>
      <c r="J185" s="54">
        <v>6.8999999999999999E-3</v>
      </c>
      <c r="K185" s="48">
        <v>4085811500.2600002</v>
      </c>
      <c r="L185" s="58">
        <f>(K185/$K$186)</f>
        <v>0.67499290523996935</v>
      </c>
      <c r="M185" s="81">
        <v>2.93</v>
      </c>
      <c r="N185" s="81">
        <v>2.97</v>
      </c>
      <c r="O185" s="35">
        <v>10207</v>
      </c>
      <c r="P185" s="54">
        <v>1.7100000000000001E-2</v>
      </c>
      <c r="Q185" s="54">
        <v>2.41E-2</v>
      </c>
      <c r="R185" s="61">
        <f>((K185-D185)/D185)</f>
        <v>1.7287692378018964E-2</v>
      </c>
      <c r="S185" s="61">
        <f t="shared" si="80"/>
        <v>1.7123287671232969E-2</v>
      </c>
      <c r="T185" s="61">
        <f t="shared" si="80"/>
        <v>7.8439062653201295E-4</v>
      </c>
      <c r="U185" s="61">
        <f t="shared" si="81"/>
        <v>1.0200000000000001E-2</v>
      </c>
      <c r="V185" s="62">
        <f t="shared" si="81"/>
        <v>1.72E-2</v>
      </c>
    </row>
    <row r="186" spans="1:22">
      <c r="A186" s="39"/>
      <c r="B186" s="40"/>
      <c r="C186" s="75" t="s">
        <v>53</v>
      </c>
      <c r="D186" s="79">
        <f>SUM(D183:D185)</f>
        <v>5956758809.29</v>
      </c>
      <c r="E186" s="43">
        <f>(D186/$D$211)</f>
        <v>1.5338660900322892E-3</v>
      </c>
      <c r="F186" s="44"/>
      <c r="G186" s="80"/>
      <c r="H186" s="46">
        <f>SUM(H183:H185)</f>
        <v>13342</v>
      </c>
      <c r="I186" s="86"/>
      <c r="J186" s="86"/>
      <c r="K186" s="79">
        <f>SUM(K183:K185)</f>
        <v>6053117697.3000002</v>
      </c>
      <c r="L186" s="43">
        <f>(K186/$K$211)</f>
        <v>1.5269783960354731E-3</v>
      </c>
      <c r="M186" s="44"/>
      <c r="N186" s="80"/>
      <c r="O186" s="46">
        <f>SUM(O183:O185)</f>
        <v>13356</v>
      </c>
      <c r="P186" s="86"/>
      <c r="Q186" s="86"/>
      <c r="R186" s="61">
        <f>((K186-D186)/D186)</f>
        <v>1.6176395770753974E-2</v>
      </c>
      <c r="S186" s="61" t="e">
        <f t="shared" si="80"/>
        <v>#DIV/0!</v>
      </c>
      <c r="T186" s="61">
        <f t="shared" si="80"/>
        <v>1.0493179433368311E-3</v>
      </c>
      <c r="U186" s="61">
        <f t="shared" si="81"/>
        <v>0</v>
      </c>
      <c r="V186" s="62">
        <f t="shared" si="81"/>
        <v>0</v>
      </c>
    </row>
    <row r="187" spans="1:22" ht="6" customHeight="1">
      <c r="A187" s="39"/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</row>
    <row r="188" spans="1:22" ht="15" customHeight="1">
      <c r="A188" s="178" t="s">
        <v>233</v>
      </c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</row>
    <row r="189" spans="1:22">
      <c r="A189" s="181" t="s">
        <v>234</v>
      </c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</row>
    <row r="190" spans="1:22">
      <c r="A190" s="133">
        <v>160</v>
      </c>
      <c r="B190" s="134" t="s">
        <v>235</v>
      </c>
      <c r="C190" s="135" t="s">
        <v>236</v>
      </c>
      <c r="D190" s="51">
        <v>4966164221.4200001</v>
      </c>
      <c r="E190" s="33">
        <f>(D190/$D$210)</f>
        <v>9.454940735754927E-2</v>
      </c>
      <c r="F190" s="83">
        <v>2.2869999999999999</v>
      </c>
      <c r="G190" s="83">
        <v>2.3199999999999998</v>
      </c>
      <c r="H190" s="50">
        <v>14971</v>
      </c>
      <c r="I190" s="57">
        <v>1E-3</v>
      </c>
      <c r="J190" s="57">
        <v>1E-3</v>
      </c>
      <c r="K190" s="51">
        <v>4992080943.7600002</v>
      </c>
      <c r="L190" s="33">
        <f>(K190/$K$210)</f>
        <v>9.4949929467928351E-2</v>
      </c>
      <c r="M190" s="83">
        <v>2.2869999999999999</v>
      </c>
      <c r="N190" s="83">
        <v>2.33</v>
      </c>
      <c r="O190" s="50">
        <v>15025</v>
      </c>
      <c r="P190" s="57">
        <v>7.3000000000000001E-3</v>
      </c>
      <c r="Q190" s="57">
        <v>8.3999999999999995E-3</v>
      </c>
      <c r="R190" s="61">
        <f>((K190-D190)/D190)</f>
        <v>5.218659952527638E-3</v>
      </c>
      <c r="S190" s="61">
        <f>((N190-G190)/G190)</f>
        <v>4.3103448275863066E-3</v>
      </c>
      <c r="T190" s="61">
        <f>((O190-H190)/H190)</f>
        <v>3.6069734820653263E-3</v>
      </c>
      <c r="U190" s="61">
        <f>P190-I190</f>
        <v>6.3E-3</v>
      </c>
      <c r="V190" s="62">
        <f>Q190-J190</f>
        <v>7.3999999999999995E-3</v>
      </c>
    </row>
    <row r="191" spans="1:22">
      <c r="A191" s="133">
        <v>161</v>
      </c>
      <c r="B191" s="134" t="s">
        <v>237</v>
      </c>
      <c r="C191" s="135" t="s">
        <v>49</v>
      </c>
      <c r="D191" s="51">
        <v>751088495.94000006</v>
      </c>
      <c r="E191" s="33">
        <f>(D191/$D$210)</f>
        <v>1.429976315682416E-2</v>
      </c>
      <c r="F191" s="83">
        <v>502.9</v>
      </c>
      <c r="G191" s="83">
        <v>509.5</v>
      </c>
      <c r="H191" s="50">
        <v>851</v>
      </c>
      <c r="I191" s="57">
        <v>9.4999999999999998E-3</v>
      </c>
      <c r="J191" s="57">
        <v>9.4999999999999998E-3</v>
      </c>
      <c r="K191" s="51">
        <v>775775420.63999999</v>
      </c>
      <c r="L191" s="33">
        <f>(K191/$K$210)</f>
        <v>1.4755333958435455E-2</v>
      </c>
      <c r="M191" s="83">
        <v>509</v>
      </c>
      <c r="N191" s="83">
        <v>515.57000000000005</v>
      </c>
      <c r="O191" s="50">
        <v>856</v>
      </c>
      <c r="P191" s="57">
        <v>1.1900000000000001E-2</v>
      </c>
      <c r="Q191" s="57">
        <v>2.1600000000000001E-2</v>
      </c>
      <c r="R191" s="61">
        <f>((K191-D191)/D191)</f>
        <v>3.2868197067915175E-2</v>
      </c>
      <c r="S191" s="61">
        <f>((N191-G191)/G191)</f>
        <v>1.1913640824337685E-2</v>
      </c>
      <c r="T191" s="61">
        <f>((O191-H191)/H191)</f>
        <v>5.8754406580493537E-3</v>
      </c>
      <c r="U191" s="61">
        <f>P191-I191</f>
        <v>2.4000000000000011E-3</v>
      </c>
      <c r="V191" s="62">
        <f>Q191-J191</f>
        <v>1.2100000000000001E-2</v>
      </c>
    </row>
    <row r="192" spans="1:22" ht="6" customHeight="1">
      <c r="A192" s="39"/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</row>
    <row r="193" spans="1:24" ht="15" customHeight="1">
      <c r="A193" s="181" t="s">
        <v>175</v>
      </c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1"/>
    </row>
    <row r="194" spans="1:24">
      <c r="A194" s="133">
        <v>162</v>
      </c>
      <c r="B194" s="134" t="s">
        <v>306</v>
      </c>
      <c r="C194" s="135" t="s">
        <v>23</v>
      </c>
      <c r="D194" s="32">
        <v>0</v>
      </c>
      <c r="E194" s="33">
        <f t="shared" ref="E194:E206" si="82">(D194/$D$210)</f>
        <v>0</v>
      </c>
      <c r="F194" s="81">
        <v>0</v>
      </c>
      <c r="G194" s="81">
        <v>0</v>
      </c>
      <c r="H194" s="35">
        <v>0</v>
      </c>
      <c r="I194" s="54">
        <v>0</v>
      </c>
      <c r="J194" s="54">
        <v>0</v>
      </c>
      <c r="K194" s="32">
        <v>402462515.43000001</v>
      </c>
      <c r="L194" s="33">
        <f t="shared" ref="L194:L206" si="83">(K194/$K$210)</f>
        <v>7.6548813779411936E-3</v>
      </c>
      <c r="M194" s="81">
        <v>1.0186999999999999</v>
      </c>
      <c r="N194" s="81">
        <v>1.0186999999999999</v>
      </c>
      <c r="O194" s="35">
        <v>173</v>
      </c>
      <c r="P194" s="54">
        <v>0.20039999999999999</v>
      </c>
      <c r="Q194" s="54">
        <v>0.20180000000000001</v>
      </c>
      <c r="R194" s="61" t="e">
        <f>((K194-D194)/D194)</f>
        <v>#DIV/0!</v>
      </c>
      <c r="S194" s="61" t="e">
        <f>((N194-G194)/G194)</f>
        <v>#DIV/0!</v>
      </c>
      <c r="T194" s="61" t="e">
        <f>((O194-H194)/H194)</f>
        <v>#DIV/0!</v>
      </c>
      <c r="U194" s="61">
        <f>P194-I194</f>
        <v>0.20039999999999999</v>
      </c>
      <c r="V194" s="62">
        <f>Q194-J194</f>
        <v>0.20180000000000001</v>
      </c>
      <c r="X194" s="87"/>
    </row>
    <row r="195" spans="1:24">
      <c r="A195" s="133">
        <v>163</v>
      </c>
      <c r="B195" s="134" t="s">
        <v>238</v>
      </c>
      <c r="C195" s="135" t="s">
        <v>239</v>
      </c>
      <c r="D195" s="32">
        <v>349065568.31999999</v>
      </c>
      <c r="E195" s="33">
        <f t="shared" ref="E195" si="84">(D195/$D$210)</f>
        <v>6.6457614251316764E-3</v>
      </c>
      <c r="F195" s="81">
        <v>1074.8800000000001</v>
      </c>
      <c r="G195" s="81">
        <v>1074.8800000000001</v>
      </c>
      <c r="H195" s="35">
        <v>19</v>
      </c>
      <c r="I195" s="54">
        <v>-0.1338</v>
      </c>
      <c r="J195" s="54">
        <v>8.9999999999999998E-4</v>
      </c>
      <c r="K195" s="32">
        <v>349649081.88</v>
      </c>
      <c r="L195" s="33">
        <f t="shared" ref="L195" si="85">(K195/$K$210)</f>
        <v>6.6503640539983975E-3</v>
      </c>
      <c r="M195" s="81" t="s">
        <v>309</v>
      </c>
      <c r="N195" s="81" t="s">
        <v>310</v>
      </c>
      <c r="O195" s="35">
        <v>19</v>
      </c>
      <c r="P195" s="54">
        <v>2.2000000000000001E-3</v>
      </c>
      <c r="Q195" s="54">
        <v>3.0999999999999999E-3</v>
      </c>
      <c r="R195" s="61">
        <f>((K195-D195)/D195)</f>
        <v>1.6716445646826907E-3</v>
      </c>
      <c r="S195" s="61" t="e">
        <f>((N195-G195)/G195)</f>
        <v>#VALUE!</v>
      </c>
      <c r="T195" s="61">
        <f>((O195-H195)/H195)</f>
        <v>0</v>
      </c>
      <c r="U195" s="61">
        <f>P195-I195</f>
        <v>0.13600000000000001</v>
      </c>
      <c r="V195" s="62">
        <f>Q195-J195</f>
        <v>2.1999999999999997E-3</v>
      </c>
      <c r="X195" s="87"/>
    </row>
    <row r="196" spans="1:24">
      <c r="A196" s="133">
        <v>164</v>
      </c>
      <c r="B196" s="134" t="s">
        <v>240</v>
      </c>
      <c r="C196" s="135" t="s">
        <v>67</v>
      </c>
      <c r="D196" s="32">
        <v>132196345.59999999</v>
      </c>
      <c r="E196" s="33">
        <f t="shared" si="82"/>
        <v>2.5168491362816512E-3</v>
      </c>
      <c r="F196" s="81">
        <v>116.03</v>
      </c>
      <c r="G196" s="81">
        <v>116.03</v>
      </c>
      <c r="H196" s="35">
        <v>75</v>
      </c>
      <c r="I196" s="54">
        <v>2.5999999999999999E-3</v>
      </c>
      <c r="J196" s="54">
        <v>0.14610000000000001</v>
      </c>
      <c r="K196" s="32">
        <v>132502373.56999999</v>
      </c>
      <c r="L196" s="33">
        <f t="shared" si="83"/>
        <v>2.5202097414968204E-3</v>
      </c>
      <c r="M196" s="81">
        <v>116.29</v>
      </c>
      <c r="N196" s="81">
        <v>116.29</v>
      </c>
      <c r="O196" s="35">
        <v>75</v>
      </c>
      <c r="P196" s="54">
        <v>2.2000000000000001E-3</v>
      </c>
      <c r="Q196" s="54">
        <v>0.14610000000000001</v>
      </c>
      <c r="R196" s="61">
        <f t="shared" ref="R196:R211" si="86">((K196-D196)/D196)</f>
        <v>2.3149503007139013E-3</v>
      </c>
      <c r="S196" s="61">
        <f t="shared" ref="S196:S210" si="87">((N196-G196)/G196)</f>
        <v>2.2407997931569862E-3</v>
      </c>
      <c r="T196" s="61">
        <f t="shared" ref="T196:T210" si="88">((O196-H196)/H196)</f>
        <v>0</v>
      </c>
      <c r="U196" s="61">
        <f t="shared" ref="U196:U210" si="89">P196-I196</f>
        <v>-3.9999999999999975E-4</v>
      </c>
      <c r="V196" s="62">
        <f t="shared" ref="V196:V210" si="90">Q196-J196</f>
        <v>0</v>
      </c>
    </row>
    <row r="197" spans="1:24">
      <c r="A197" s="133">
        <v>165</v>
      </c>
      <c r="B197" s="172" t="s">
        <v>241</v>
      </c>
      <c r="C197" s="135" t="s">
        <v>73</v>
      </c>
      <c r="D197" s="48">
        <v>61922631.060000002</v>
      </c>
      <c r="E197" s="33">
        <f t="shared" si="82"/>
        <v>1.1789276003984208E-3</v>
      </c>
      <c r="F197" s="81">
        <v>105.98</v>
      </c>
      <c r="G197" s="81">
        <v>110.18</v>
      </c>
      <c r="H197" s="35">
        <v>14</v>
      </c>
      <c r="I197" s="54">
        <v>2.7999999999999998E-4</v>
      </c>
      <c r="J197" s="54">
        <v>2.7999999999999998E-4</v>
      </c>
      <c r="K197" s="48">
        <v>59417917.170000002</v>
      </c>
      <c r="L197" s="33">
        <f t="shared" si="83"/>
        <v>1.1301353299318501E-3</v>
      </c>
      <c r="M197" s="81">
        <v>98.04</v>
      </c>
      <c r="N197" s="81">
        <v>98.5</v>
      </c>
      <c r="O197" s="35">
        <v>14</v>
      </c>
      <c r="P197" s="54">
        <v>4.0000000000000001E-3</v>
      </c>
      <c r="Q197" s="54">
        <v>4.3E-3</v>
      </c>
      <c r="R197" s="61">
        <f t="shared" si="86"/>
        <v>-4.0449086983611132E-2</v>
      </c>
      <c r="S197" s="61">
        <f t="shared" si="87"/>
        <v>-0.10600834997277188</v>
      </c>
      <c r="T197" s="61">
        <f t="shared" si="88"/>
        <v>0</v>
      </c>
      <c r="U197" s="61">
        <f t="shared" si="89"/>
        <v>3.7200000000000002E-3</v>
      </c>
      <c r="V197" s="62">
        <f t="shared" si="90"/>
        <v>4.0200000000000001E-3</v>
      </c>
    </row>
    <row r="198" spans="1:24">
      <c r="A198" s="133">
        <v>166</v>
      </c>
      <c r="B198" s="134" t="s">
        <v>242</v>
      </c>
      <c r="C198" s="135" t="s">
        <v>76</v>
      </c>
      <c r="D198" s="48">
        <v>107964600.65000001</v>
      </c>
      <c r="E198" s="33">
        <v>0</v>
      </c>
      <c r="F198" s="81">
        <v>1.0434000000000001</v>
      </c>
      <c r="G198" s="81">
        <v>1.0434000000000001</v>
      </c>
      <c r="H198" s="35">
        <v>26</v>
      </c>
      <c r="I198" s="54">
        <v>9.6000000000000002E-4</v>
      </c>
      <c r="J198" s="54">
        <v>0.1237</v>
      </c>
      <c r="K198" s="48">
        <v>109498072.56</v>
      </c>
      <c r="L198" s="33">
        <f t="shared" si="83"/>
        <v>2.0826654021790115E-3</v>
      </c>
      <c r="M198" s="81">
        <v>1.0458000000000001</v>
      </c>
      <c r="N198" s="81">
        <v>1.0458000000000001</v>
      </c>
      <c r="O198" s="35">
        <v>26</v>
      </c>
      <c r="P198" s="54">
        <v>1.6000000000000001E-4</v>
      </c>
      <c r="Q198" s="54">
        <v>0.12620000000000001</v>
      </c>
      <c r="R198" s="61">
        <f t="shared" ref="R198:R199" si="91">((K198-D198)/D198)</f>
        <v>1.4203469477659726E-2</v>
      </c>
      <c r="S198" s="61">
        <f t="shared" ref="S198:S199" si="92">((N198-G198)/G198)</f>
        <v>2.3001725129384296E-3</v>
      </c>
      <c r="T198" s="61">
        <f t="shared" ref="T198" si="93">((O198-H198)/H198)</f>
        <v>0</v>
      </c>
      <c r="U198" s="61">
        <f t="shared" ref="U198" si="94">P198-I198</f>
        <v>-8.0000000000000004E-4</v>
      </c>
      <c r="V198" s="62">
        <f t="shared" ref="V198" si="95">Q198-J198</f>
        <v>2.5000000000000022E-3</v>
      </c>
    </row>
    <row r="199" spans="1:24">
      <c r="A199" s="133">
        <v>167</v>
      </c>
      <c r="B199" s="134" t="s">
        <v>243</v>
      </c>
      <c r="C199" s="135" t="s">
        <v>31</v>
      </c>
      <c r="D199" s="32">
        <v>7943007780.0600004</v>
      </c>
      <c r="E199" s="33">
        <f t="shared" si="82"/>
        <v>0.15122469671901767</v>
      </c>
      <c r="F199" s="81">
        <v>143.66999999999999</v>
      </c>
      <c r="G199" s="81">
        <v>143.66999999999999</v>
      </c>
      <c r="H199" s="35">
        <v>694</v>
      </c>
      <c r="I199" s="54">
        <v>1.4E-3</v>
      </c>
      <c r="J199" s="54">
        <v>0.14990000000000001</v>
      </c>
      <c r="K199" s="32">
        <v>7924355067.2399998</v>
      </c>
      <c r="L199" s="33">
        <f t="shared" si="83"/>
        <v>0.15072210630994765</v>
      </c>
      <c r="M199" s="81">
        <v>144.06</v>
      </c>
      <c r="N199" s="81">
        <v>144.06</v>
      </c>
      <c r="O199" s="35">
        <v>691</v>
      </c>
      <c r="P199" s="54">
        <v>2.8999999999999998E-3</v>
      </c>
      <c r="Q199" s="54">
        <v>4.1000000000000003E-3</v>
      </c>
      <c r="R199" s="61">
        <f t="shared" si="91"/>
        <v>-2.348318588687036E-3</v>
      </c>
      <c r="S199" s="61">
        <f t="shared" si="92"/>
        <v>2.7145541866779063E-3</v>
      </c>
      <c r="T199" s="61">
        <f t="shared" si="88"/>
        <v>-4.3227665706051877E-3</v>
      </c>
      <c r="U199" s="61">
        <f t="shared" si="89"/>
        <v>1.4999999999999998E-3</v>
      </c>
      <c r="V199" s="62">
        <f t="shared" si="90"/>
        <v>-0.14580000000000001</v>
      </c>
    </row>
    <row r="200" spans="1:24">
      <c r="A200" s="133">
        <v>168</v>
      </c>
      <c r="B200" s="134" t="s">
        <v>244</v>
      </c>
      <c r="C200" s="135" t="s">
        <v>65</v>
      </c>
      <c r="D200" s="32">
        <v>528551530.42631602</v>
      </c>
      <c r="E200" s="33">
        <f t="shared" si="82"/>
        <v>1.006294430300665E-2</v>
      </c>
      <c r="F200" s="38">
        <v>1188.7735516678999</v>
      </c>
      <c r="G200" s="38">
        <v>1188.7735516678999</v>
      </c>
      <c r="H200" s="35">
        <v>112</v>
      </c>
      <c r="I200" s="54">
        <v>0.18277036939128369</v>
      </c>
      <c r="J200" s="54">
        <v>0.18217647608847198</v>
      </c>
      <c r="K200" s="32">
        <v>544787793.20769405</v>
      </c>
      <c r="L200" s="33">
        <f t="shared" si="83"/>
        <v>1.0361923839539759E-2</v>
      </c>
      <c r="M200" s="38">
        <v>1192.9246207128299</v>
      </c>
      <c r="N200" s="38">
        <v>1192.9246207128299</v>
      </c>
      <c r="O200" s="35">
        <v>116</v>
      </c>
      <c r="P200" s="54">
        <v>0.1820772340503643</v>
      </c>
      <c r="Q200" s="54">
        <v>0.18229784884436642</v>
      </c>
      <c r="R200" s="61">
        <f t="shared" si="86"/>
        <v>3.0718410309553509E-2</v>
      </c>
      <c r="S200" s="61">
        <f t="shared" si="87"/>
        <v>3.4918921598700004E-3</v>
      </c>
      <c r="T200" s="61">
        <f t="shared" si="88"/>
        <v>3.5714285714285712E-2</v>
      </c>
      <c r="U200" s="61">
        <f t="shared" si="89"/>
        <v>-6.9313534091938744E-4</v>
      </c>
      <c r="V200" s="62">
        <f t="shared" si="90"/>
        <v>1.2137275589443886E-4</v>
      </c>
    </row>
    <row r="201" spans="1:24">
      <c r="A201" s="133">
        <v>169</v>
      </c>
      <c r="B201" s="134" t="s">
        <v>245</v>
      </c>
      <c r="C201" s="135" t="s">
        <v>236</v>
      </c>
      <c r="D201" s="32">
        <v>25268967211.150002</v>
      </c>
      <c r="E201" s="33">
        <f t="shared" si="82"/>
        <v>0.48108877754115648</v>
      </c>
      <c r="F201" s="38">
        <v>1264.3399999999999</v>
      </c>
      <c r="G201" s="38">
        <v>1264.3399999999999</v>
      </c>
      <c r="H201" s="35">
        <v>9411</v>
      </c>
      <c r="I201" s="54">
        <v>5.9999999999999995E-4</v>
      </c>
      <c r="J201" s="54">
        <v>1E-3</v>
      </c>
      <c r="K201" s="32">
        <v>24846065614.310001</v>
      </c>
      <c r="L201" s="33">
        <f t="shared" si="83"/>
        <v>0.47257490497687576</v>
      </c>
      <c r="M201" s="38">
        <v>1226.3499999999999</v>
      </c>
      <c r="N201" s="38">
        <v>1226.3499999999999</v>
      </c>
      <c r="O201" s="35">
        <v>9538</v>
      </c>
      <c r="P201" s="54">
        <v>-3.1399999999999997E-2</v>
      </c>
      <c r="Q201" s="54">
        <v>3.5999999999999999E-3</v>
      </c>
      <c r="R201" s="61">
        <f t="shared" si="86"/>
        <v>-1.67360063949663E-2</v>
      </c>
      <c r="S201" s="61">
        <f t="shared" si="87"/>
        <v>-3.0047297404179264E-2</v>
      </c>
      <c r="T201" s="61">
        <f t="shared" si="88"/>
        <v>1.3494846456274572E-2</v>
      </c>
      <c r="U201" s="61">
        <f t="shared" si="89"/>
        <v>-3.2000000000000001E-2</v>
      </c>
      <c r="V201" s="62">
        <f t="shared" si="90"/>
        <v>2.5999999999999999E-3</v>
      </c>
    </row>
    <row r="202" spans="1:24">
      <c r="A202" s="133">
        <v>170</v>
      </c>
      <c r="B202" s="134" t="s">
        <v>246</v>
      </c>
      <c r="C202" s="135" t="s">
        <v>247</v>
      </c>
      <c r="D202" s="32">
        <v>425921095.94999999</v>
      </c>
      <c r="E202" s="33">
        <f t="shared" si="82"/>
        <v>8.1089922539121367E-3</v>
      </c>
      <c r="F202" s="83">
        <v>129.41</v>
      </c>
      <c r="G202" s="83">
        <v>130.49</v>
      </c>
      <c r="H202" s="50">
        <v>148</v>
      </c>
      <c r="I202" s="54">
        <v>1.0800000000000001E-2</v>
      </c>
      <c r="J202" s="54">
        <v>4.36E-2</v>
      </c>
      <c r="K202" s="32">
        <v>425004497.81</v>
      </c>
      <c r="L202" s="33">
        <f t="shared" si="83"/>
        <v>8.0836323659883112E-3</v>
      </c>
      <c r="M202" s="83">
        <v>126.15</v>
      </c>
      <c r="N202" s="83">
        <v>127.17</v>
      </c>
      <c r="O202" s="50">
        <v>147</v>
      </c>
      <c r="P202" s="54">
        <v>-2.5399999999999999E-2</v>
      </c>
      <c r="Q202" s="54">
        <v>2.5600000000000001E-2</v>
      </c>
      <c r="R202" s="61">
        <f t="shared" si="86"/>
        <v>-2.1520374283305931E-3</v>
      </c>
      <c r="S202" s="61">
        <f t="shared" si="87"/>
        <v>-2.5442562648478866E-2</v>
      </c>
      <c r="T202" s="61">
        <f t="shared" si="88"/>
        <v>-6.7567567567567571E-3</v>
      </c>
      <c r="U202" s="61">
        <f t="shared" si="89"/>
        <v>-3.6199999999999996E-2</v>
      </c>
      <c r="V202" s="62">
        <f t="shared" si="90"/>
        <v>-1.7999999999999999E-2</v>
      </c>
    </row>
    <row r="203" spans="1:24">
      <c r="A203" s="133">
        <v>171</v>
      </c>
      <c r="B203" s="134" t="s">
        <v>248</v>
      </c>
      <c r="C203" s="135" t="s">
        <v>247</v>
      </c>
      <c r="D203" s="32">
        <v>110796910.26000001</v>
      </c>
      <c r="E203" s="33">
        <f t="shared" si="82"/>
        <v>2.1094312904407293E-3</v>
      </c>
      <c r="F203" s="83">
        <v>111.8</v>
      </c>
      <c r="G203" s="83">
        <v>111.8</v>
      </c>
      <c r="H203" s="50">
        <v>66</v>
      </c>
      <c r="I203" s="54">
        <v>4.7999999999999996E-3</v>
      </c>
      <c r="J203" s="54">
        <v>8.9999999999999998E-4</v>
      </c>
      <c r="K203" s="32">
        <v>114310326.59999999</v>
      </c>
      <c r="L203" s="33">
        <f t="shared" si="83"/>
        <v>2.1741950041280541E-3</v>
      </c>
      <c r="M203" s="83">
        <v>114.24</v>
      </c>
      <c r="N203" s="83">
        <v>114.24</v>
      </c>
      <c r="O203" s="50">
        <v>66</v>
      </c>
      <c r="P203" s="54">
        <v>2.1899999999999999E-2</v>
      </c>
      <c r="Q203" s="54">
        <v>2.2800000000000001E-2</v>
      </c>
      <c r="R203" s="61">
        <f t="shared" si="86"/>
        <v>3.1710418022987102E-2</v>
      </c>
      <c r="S203" s="61">
        <f t="shared" si="87"/>
        <v>2.1824686940965992E-2</v>
      </c>
      <c r="T203" s="61">
        <f t="shared" si="88"/>
        <v>0</v>
      </c>
      <c r="U203" s="61">
        <f t="shared" si="89"/>
        <v>1.7100000000000001E-2</v>
      </c>
      <c r="V203" s="62">
        <f t="shared" si="90"/>
        <v>2.1899999999999999E-2</v>
      </c>
    </row>
    <row r="204" spans="1:24" ht="13.5" customHeight="1">
      <c r="A204" s="133">
        <v>172</v>
      </c>
      <c r="B204" s="134" t="s">
        <v>249</v>
      </c>
      <c r="C204" s="135" t="s">
        <v>90</v>
      </c>
      <c r="D204" s="32">
        <v>1371596956</v>
      </c>
      <c r="E204" s="33">
        <f t="shared" si="82"/>
        <v>2.6113449644671129E-2</v>
      </c>
      <c r="F204" s="64">
        <v>102.9</v>
      </c>
      <c r="G204" s="64">
        <v>102.9</v>
      </c>
      <c r="H204" s="35">
        <v>591</v>
      </c>
      <c r="I204" s="54">
        <v>6.1999999999999998E-3</v>
      </c>
      <c r="J204" s="54">
        <v>0.13969999999999999</v>
      </c>
      <c r="K204" s="32">
        <v>1389672956</v>
      </c>
      <c r="L204" s="33">
        <f t="shared" si="83"/>
        <v>2.6431732706702502E-2</v>
      </c>
      <c r="M204" s="64">
        <v>103.26</v>
      </c>
      <c r="N204" s="64">
        <v>103.26</v>
      </c>
      <c r="O204" s="35">
        <v>593</v>
      </c>
      <c r="P204" s="54">
        <v>2.7000000000000001E-3</v>
      </c>
      <c r="Q204" s="54">
        <v>0.13980000000000001</v>
      </c>
      <c r="R204" s="61">
        <f t="shared" si="86"/>
        <v>1.3178798568287286E-2</v>
      </c>
      <c r="S204" s="61">
        <f t="shared" si="87"/>
        <v>3.4985422740524724E-3</v>
      </c>
      <c r="T204" s="61">
        <f t="shared" si="88"/>
        <v>3.3840947546531302E-3</v>
      </c>
      <c r="U204" s="61">
        <f t="shared" si="89"/>
        <v>-3.4999999999999996E-3</v>
      </c>
      <c r="V204" s="62">
        <f t="shared" si="90"/>
        <v>1.0000000000001674E-4</v>
      </c>
    </row>
    <row r="205" spans="1:24" ht="15.75" customHeight="1">
      <c r="A205" s="133">
        <v>173</v>
      </c>
      <c r="B205" s="134" t="s">
        <v>250</v>
      </c>
      <c r="C205" s="135" t="s">
        <v>49</v>
      </c>
      <c r="D205" s="32">
        <v>6404411132.1899996</v>
      </c>
      <c r="E205" s="33">
        <f t="shared" si="82"/>
        <v>0.12193178679248598</v>
      </c>
      <c r="F205" s="64">
        <v>134.4</v>
      </c>
      <c r="G205" s="64">
        <v>134.4</v>
      </c>
      <c r="H205" s="35">
        <v>1255</v>
      </c>
      <c r="I205" s="54">
        <v>6.9999999999999999E-4</v>
      </c>
      <c r="J205" s="54">
        <v>6.9999999999999999E-4</v>
      </c>
      <c r="K205" s="32">
        <v>6413255007.5200005</v>
      </c>
      <c r="L205" s="33">
        <f t="shared" si="83"/>
        <v>0.12198081671432484</v>
      </c>
      <c r="M205" s="64">
        <v>134.63</v>
      </c>
      <c r="N205" s="64">
        <v>134.63</v>
      </c>
      <c r="O205" s="35">
        <v>1257</v>
      </c>
      <c r="P205" s="54">
        <v>1.6999999999999999E-3</v>
      </c>
      <c r="Q205" s="54">
        <v>2.5000000000000001E-3</v>
      </c>
      <c r="R205" s="61">
        <f t="shared" si="86"/>
        <v>1.3809037470360994E-3</v>
      </c>
      <c r="S205" s="61">
        <f t="shared" si="87"/>
        <v>1.7113095238094477E-3</v>
      </c>
      <c r="T205" s="61">
        <f t="shared" si="88"/>
        <v>1.5936254980079682E-3</v>
      </c>
      <c r="U205" s="61">
        <f t="shared" si="89"/>
        <v>1E-3</v>
      </c>
      <c r="V205" s="62">
        <f t="shared" si="90"/>
        <v>1.8E-3</v>
      </c>
    </row>
    <row r="206" spans="1:24">
      <c r="A206" s="133">
        <v>174</v>
      </c>
      <c r="B206" s="134" t="s">
        <v>251</v>
      </c>
      <c r="C206" s="135" t="s">
        <v>52</v>
      </c>
      <c r="D206" s="32">
        <v>3871099944.46</v>
      </c>
      <c r="E206" s="33">
        <f t="shared" si="82"/>
        <v>7.3700785808061692E-2</v>
      </c>
      <c r="F206" s="64">
        <v>1.2195</v>
      </c>
      <c r="G206" s="64">
        <v>1.2195</v>
      </c>
      <c r="H206" s="35">
        <v>1253</v>
      </c>
      <c r="I206" s="54">
        <v>0.40339999999999998</v>
      </c>
      <c r="J206" s="54">
        <v>0.11600000000000001</v>
      </c>
      <c r="K206" s="32">
        <v>3864665270.5999999</v>
      </c>
      <c r="L206" s="33">
        <f t="shared" si="83"/>
        <v>7.3506359170578336E-2</v>
      </c>
      <c r="M206" s="64">
        <v>1.2208000000000001</v>
      </c>
      <c r="N206" s="64">
        <v>1.2208000000000001</v>
      </c>
      <c r="O206" s="35">
        <v>1264</v>
      </c>
      <c r="P206" s="54">
        <v>5.7099999999999998E-2</v>
      </c>
      <c r="Q206" s="54">
        <v>7.4499999999999997E-2</v>
      </c>
      <c r="R206" s="61">
        <f t="shared" si="86"/>
        <v>-1.6622339780219082E-3</v>
      </c>
      <c r="S206" s="61">
        <f t="shared" si="87"/>
        <v>1.0660106601066658E-3</v>
      </c>
      <c r="T206" s="61">
        <f t="shared" si="88"/>
        <v>8.7789305666400638E-3</v>
      </c>
      <c r="U206" s="61">
        <f t="shared" si="89"/>
        <v>-0.3463</v>
      </c>
      <c r="V206" s="62">
        <f t="shared" si="90"/>
        <v>-4.1500000000000009E-2</v>
      </c>
    </row>
    <row r="207" spans="1:24" ht="6" customHeight="1">
      <c r="A207" s="39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</row>
    <row r="208" spans="1:24">
      <c r="A208" s="181" t="s">
        <v>252</v>
      </c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</row>
    <row r="209" spans="1:22">
      <c r="A209" s="138">
        <v>175</v>
      </c>
      <c r="B209" s="134" t="s">
        <v>253</v>
      </c>
      <c r="C209" s="135" t="s">
        <v>236</v>
      </c>
      <c r="D209" s="32">
        <v>231786556.87</v>
      </c>
      <c r="E209" s="33">
        <f t="shared" ref="E209" si="96">(D209/$D$210)</f>
        <v>4.4129192286837112E-3</v>
      </c>
      <c r="F209" s="38">
        <v>1240.6400000000001</v>
      </c>
      <c r="G209" s="38">
        <v>1240.6400000000001</v>
      </c>
      <c r="H209" s="35">
        <v>96</v>
      </c>
      <c r="I209" s="54">
        <v>2.9999999999999997E-4</v>
      </c>
      <c r="J209" s="54">
        <v>0.24060000000000001</v>
      </c>
      <c r="K209" s="32">
        <v>232428179.61000001</v>
      </c>
      <c r="L209" s="33">
        <f t="shared" ref="L209" si="97">(K209/$K$210)</f>
        <v>4.4208095800037728E-3</v>
      </c>
      <c r="M209" s="38">
        <v>1244.07</v>
      </c>
      <c r="N209" s="38">
        <v>1244.07</v>
      </c>
      <c r="O209" s="35">
        <v>96</v>
      </c>
      <c r="P209" s="54">
        <v>1.6999999999999999E-3</v>
      </c>
      <c r="Q209" s="54">
        <v>0.24410000000000001</v>
      </c>
      <c r="R209" s="61">
        <f t="shared" ref="R209" si="98">((K209-D209)/D209)</f>
        <v>2.7681620050116649E-3</v>
      </c>
      <c r="S209" s="61">
        <f t="shared" ref="S209" si="99">((N209-G209)/G209)</f>
        <v>2.764702089244129E-3</v>
      </c>
      <c r="T209" s="61">
        <f t="shared" ref="T209" si="100">((O209-H209)/H209)</f>
        <v>0</v>
      </c>
      <c r="U209" s="61">
        <f t="shared" ref="U209" si="101">P209-I209</f>
        <v>1.4E-3</v>
      </c>
      <c r="V209" s="62">
        <f t="shared" ref="V209" si="102">Q209-J209</f>
        <v>3.5000000000000031E-3</v>
      </c>
    </row>
    <row r="210" spans="1:22">
      <c r="A210" s="39"/>
      <c r="B210" s="40"/>
      <c r="C210" s="75" t="s">
        <v>53</v>
      </c>
      <c r="D210" s="52">
        <f>SUM(D190:D209)</f>
        <v>52524540980.356323</v>
      </c>
      <c r="E210" s="43">
        <f>(D210/$D$211)</f>
        <v>1.3525075445161879E-2</v>
      </c>
      <c r="F210" s="44"/>
      <c r="G210" s="78"/>
      <c r="H210" s="88">
        <f>SUM(H190:H209)</f>
        <v>29582</v>
      </c>
      <c r="I210" s="85"/>
      <c r="J210" s="85"/>
      <c r="K210" s="52">
        <f>SUM(K190:K209)</f>
        <v>52575931037.907692</v>
      </c>
      <c r="L210" s="43">
        <f>(K210/$K$211)</f>
        <v>1.3262968747848063E-2</v>
      </c>
      <c r="M210" s="44"/>
      <c r="N210" s="78"/>
      <c r="O210" s="88">
        <f>SUM(O190:O209)</f>
        <v>29956</v>
      </c>
      <c r="P210" s="85"/>
      <c r="Q210" s="85"/>
      <c r="R210" s="61">
        <f t="shared" si="86"/>
        <v>9.7840088827407553E-4</v>
      </c>
      <c r="S210" s="61" t="e">
        <f t="shared" si="87"/>
        <v>#DIV/0!</v>
      </c>
      <c r="T210" s="61">
        <f t="shared" si="88"/>
        <v>1.2642823338516665E-2</v>
      </c>
      <c r="U210" s="61">
        <f t="shared" si="89"/>
        <v>0</v>
      </c>
      <c r="V210" s="62">
        <f t="shared" si="90"/>
        <v>0</v>
      </c>
    </row>
    <row r="211" spans="1:22">
      <c r="A211" s="89"/>
      <c r="B211" s="89"/>
      <c r="C211" s="90" t="s">
        <v>254</v>
      </c>
      <c r="D211" s="91">
        <f>SUM(D24,D65,D104,D140,D148,D180,D186,D210)</f>
        <v>3883493381853.5654</v>
      </c>
      <c r="E211" s="92"/>
      <c r="F211" s="92"/>
      <c r="G211" s="93"/>
      <c r="H211" s="91">
        <f>SUM(H24,H65,H104,H140,H148,H180,H186,H210)</f>
        <v>809167</v>
      </c>
      <c r="I211" s="115"/>
      <c r="J211" s="115"/>
      <c r="K211" s="91">
        <f>SUM(K24,K65,K104,K140,K148,K180,K186,K210)</f>
        <v>3964114825079.2808</v>
      </c>
      <c r="L211" s="92"/>
      <c r="M211" s="92"/>
      <c r="N211" s="93"/>
      <c r="O211" s="91">
        <f>SUM(O24,O65,O104,O140,O148,O180,O186,O210)</f>
        <v>809697</v>
      </c>
      <c r="P211" s="116"/>
      <c r="Q211" s="91"/>
      <c r="R211" s="122">
        <f t="shared" si="86"/>
        <v>2.0760031059261198E-2</v>
      </c>
      <c r="S211" s="122"/>
      <c r="T211" s="122"/>
      <c r="U211" s="122"/>
      <c r="V211" s="122"/>
    </row>
    <row r="212" spans="1:22" ht="6.75" customHeight="1">
      <c r="A212" s="39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40"/>
    </row>
    <row r="213" spans="1:22" ht="14.4" customHeight="1">
      <c r="A213" s="177" t="s">
        <v>255</v>
      </c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</row>
    <row r="214" spans="1:22" ht="14.4" customHeight="1">
      <c r="A214" s="133">
        <v>1</v>
      </c>
      <c r="B214" s="134" t="s">
        <v>256</v>
      </c>
      <c r="C214" s="135" t="s">
        <v>191</v>
      </c>
      <c r="D214" s="32">
        <v>3732796505.1788998</v>
      </c>
      <c r="E214" s="33">
        <f t="shared" ref="E214" si="103">(D214/$D$210)</f>
        <v>7.1067665428526633E-2</v>
      </c>
      <c r="F214" s="38">
        <v>123.2</v>
      </c>
      <c r="G214" s="38">
        <v>123.2</v>
      </c>
      <c r="H214" s="35">
        <v>9</v>
      </c>
      <c r="I214" s="54">
        <v>0.31374589615964099</v>
      </c>
      <c r="J214" s="54">
        <v>0.247912560462593</v>
      </c>
      <c r="K214" s="32">
        <v>3755256908.17312</v>
      </c>
      <c r="L214" s="33">
        <f>(K214/$K$215)</f>
        <v>1</v>
      </c>
      <c r="M214" s="38">
        <v>123.2</v>
      </c>
      <c r="N214" s="38">
        <v>123.2</v>
      </c>
      <c r="O214" s="35">
        <v>9</v>
      </c>
      <c r="P214" s="54">
        <v>0.311869364290358</v>
      </c>
      <c r="Q214" s="54">
        <v>0.24822616218520899</v>
      </c>
      <c r="R214" s="61">
        <f t="shared" ref="R214:R215" si="104">((K214-D214)/D214)</f>
        <v>6.0170445838819732E-3</v>
      </c>
      <c r="S214" s="61">
        <f t="shared" ref="S214" si="105">((N214-G214)/G214)</f>
        <v>0</v>
      </c>
      <c r="T214" s="61">
        <f t="shared" ref="T214" si="106">((O214-H214)/H214)</f>
        <v>0</v>
      </c>
      <c r="U214" s="61">
        <f t="shared" ref="U214" si="107">P214-I214</f>
        <v>-1.8765318692829935E-3</v>
      </c>
      <c r="V214" s="62">
        <f t="shared" ref="V214" si="108">Q214-J214</f>
        <v>3.1360172261599151E-4</v>
      </c>
    </row>
    <row r="215" spans="1:22" ht="14.4" customHeight="1">
      <c r="A215" s="94"/>
      <c r="B215" s="94"/>
      <c r="C215" s="94" t="s">
        <v>53</v>
      </c>
      <c r="D215" s="94">
        <f>SUM(D214:D214)</f>
        <v>3732796505.1788998</v>
      </c>
      <c r="E215" s="94"/>
      <c r="F215" s="94"/>
      <c r="G215" s="94"/>
      <c r="H215" s="94">
        <f>SUM(H214:H214)</f>
        <v>9</v>
      </c>
      <c r="I215" s="94"/>
      <c r="J215" s="94"/>
      <c r="K215" s="94">
        <f>SUM(K214:K214)</f>
        <v>3755256908.17312</v>
      </c>
      <c r="L215" s="43"/>
      <c r="M215" s="94"/>
      <c r="N215" s="94"/>
      <c r="O215" s="94">
        <f>SUM(O214:O214)</f>
        <v>9</v>
      </c>
      <c r="P215" s="94"/>
      <c r="Q215" s="94"/>
      <c r="R215" s="122">
        <f t="shared" si="104"/>
        <v>6.0170445838819732E-3</v>
      </c>
      <c r="S215" s="94"/>
      <c r="T215" s="94"/>
      <c r="U215" s="94"/>
      <c r="V215" s="94"/>
    </row>
    <row r="216" spans="1:22" ht="6" customHeight="1">
      <c r="A216" s="39"/>
      <c r="B216" s="47"/>
      <c r="C216" s="75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0"/>
    </row>
    <row r="217" spans="1:22" ht="15.6">
      <c r="A217" s="178" t="s">
        <v>257</v>
      </c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</row>
    <row r="218" spans="1:22">
      <c r="A218" s="133">
        <v>1</v>
      </c>
      <c r="B218" s="134" t="s">
        <v>258</v>
      </c>
      <c r="C218" s="135" t="s">
        <v>259</v>
      </c>
      <c r="D218" s="32">
        <v>117431274879</v>
      </c>
      <c r="E218" s="33">
        <f>(D218/$D$220)</f>
        <v>0.88964003538731817</v>
      </c>
      <c r="F218" s="64">
        <v>111.28</v>
      </c>
      <c r="G218" s="64">
        <v>111.28</v>
      </c>
      <c r="H218" s="35">
        <v>0</v>
      </c>
      <c r="I218" s="54">
        <v>0.23899999999999999</v>
      </c>
      <c r="J218" s="54">
        <v>0.23899999999999999</v>
      </c>
      <c r="K218" s="32">
        <v>117431274879</v>
      </c>
      <c r="L218" s="33">
        <f>(K218/$K$220)</f>
        <v>0.8886916020467247</v>
      </c>
      <c r="M218" s="64">
        <v>111.28</v>
      </c>
      <c r="N218" s="64">
        <v>111.28</v>
      </c>
      <c r="O218" s="35">
        <v>0</v>
      </c>
      <c r="P218" s="54">
        <v>0.23899999999999999</v>
      </c>
      <c r="Q218" s="54">
        <v>0.23899999999999999</v>
      </c>
      <c r="R218" s="61">
        <f>((K218-D218)/D218)</f>
        <v>0</v>
      </c>
      <c r="S218" s="61">
        <f>((N218-G218)/G218)</f>
        <v>0</v>
      </c>
      <c r="T218" s="61" t="e">
        <f>((O218-H218)/H218)</f>
        <v>#DIV/0!</v>
      </c>
      <c r="U218" s="61">
        <f>P218-I218</f>
        <v>0</v>
      </c>
      <c r="V218" s="62">
        <f>Q218-J218</f>
        <v>0</v>
      </c>
    </row>
    <row r="219" spans="1:22">
      <c r="A219" s="133">
        <v>2</v>
      </c>
      <c r="B219" s="134" t="s">
        <v>260</v>
      </c>
      <c r="C219" s="135" t="s">
        <v>52</v>
      </c>
      <c r="D219" s="32">
        <v>14567365254</v>
      </c>
      <c r="E219" s="33">
        <f>(D219/$D$220)</f>
        <v>0.1103599646126818</v>
      </c>
      <c r="F219" s="95">
        <v>1000000</v>
      </c>
      <c r="G219" s="95">
        <v>1000000</v>
      </c>
      <c r="H219" s="35">
        <v>26</v>
      </c>
      <c r="I219" s="54">
        <v>0.19520000000000001</v>
      </c>
      <c r="J219" s="54">
        <v>0.19520000000000001</v>
      </c>
      <c r="K219" s="32">
        <v>14708237420.370001</v>
      </c>
      <c r="L219" s="33">
        <f>(K219/$K$220)</f>
        <v>0.11130839795327536</v>
      </c>
      <c r="M219" s="95">
        <v>1000000</v>
      </c>
      <c r="N219" s="95">
        <v>1000000</v>
      </c>
      <c r="O219" s="35">
        <v>26</v>
      </c>
      <c r="P219" s="54">
        <v>0.20780000000000001</v>
      </c>
      <c r="Q219" s="54">
        <v>0.20780000000000001</v>
      </c>
      <c r="R219" s="61">
        <f>((K219-D219)/D219)</f>
        <v>9.6703943310077478E-3</v>
      </c>
      <c r="S219" s="61">
        <f>((N219-G219)/G219)</f>
        <v>0</v>
      </c>
      <c r="T219" s="61">
        <f>((O219-H219)/H219)</f>
        <v>0</v>
      </c>
      <c r="U219" s="61">
        <f>P219-I219</f>
        <v>1.26E-2</v>
      </c>
      <c r="V219" s="62">
        <f>Q219-J219</f>
        <v>1.26E-2</v>
      </c>
    </row>
    <row r="220" spans="1:22">
      <c r="A220" s="89"/>
      <c r="B220" s="89"/>
      <c r="C220" s="90" t="s">
        <v>261</v>
      </c>
      <c r="D220" s="94">
        <f>SUM(D218:D219)</f>
        <v>131998640133</v>
      </c>
      <c r="E220" s="96"/>
      <c r="F220" s="97"/>
      <c r="G220" s="97"/>
      <c r="H220" s="94">
        <f>SUM(H218:H219)</f>
        <v>26</v>
      </c>
      <c r="I220" s="117"/>
      <c r="J220" s="117"/>
      <c r="K220" s="94">
        <f>SUM(K218:K219)</f>
        <v>132139512299.37</v>
      </c>
      <c r="L220" s="96"/>
      <c r="M220" s="97"/>
      <c r="N220" s="97"/>
      <c r="O220" s="94">
        <f>SUM(O218:O219)</f>
        <v>26</v>
      </c>
      <c r="P220" s="117"/>
      <c r="Q220" s="94"/>
      <c r="R220" s="122">
        <f>((K220-D220)/D220)</f>
        <v>1.0672243761606505E-3</v>
      </c>
      <c r="S220" s="123"/>
      <c r="T220" s="123"/>
      <c r="U220" s="122"/>
      <c r="V220" s="124"/>
    </row>
    <row r="221" spans="1:22" ht="4.5" customHeight="1">
      <c r="A221" s="39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</row>
    <row r="222" spans="1:22" ht="15.6">
      <c r="A222" s="178" t="s">
        <v>262</v>
      </c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</row>
    <row r="223" spans="1:22">
      <c r="A223" s="133">
        <v>1</v>
      </c>
      <c r="B223" s="134" t="s">
        <v>263</v>
      </c>
      <c r="C223" s="135" t="s">
        <v>83</v>
      </c>
      <c r="D223" s="98">
        <v>976635688.61765516</v>
      </c>
      <c r="E223" s="99">
        <f t="shared" ref="E223:E234" si="109">(D223/$D$235)</f>
        <v>7.8215682630480302E-2</v>
      </c>
      <c r="F223" s="95">
        <v>230.15</v>
      </c>
      <c r="G223" s="95">
        <v>232.82</v>
      </c>
      <c r="H223" s="100">
        <v>61</v>
      </c>
      <c r="I223" s="56">
        <v>1.2939571321684884E-2</v>
      </c>
      <c r="J223" s="56">
        <v>0.31469210556380678</v>
      </c>
      <c r="K223" s="98">
        <v>1005905079.9099997</v>
      </c>
      <c r="L223" s="99">
        <f t="shared" ref="L223:L234" si="110">(K223/$K$235)</f>
        <v>7.663284788343748E-2</v>
      </c>
      <c r="M223" s="95">
        <v>237.04608929185807</v>
      </c>
      <c r="N223" s="95">
        <v>238.64008190880165</v>
      </c>
      <c r="O223" s="100">
        <v>61</v>
      </c>
      <c r="P223" s="56">
        <v>2.9963455537076002E-2</v>
      </c>
      <c r="Q223" s="56">
        <v>3.5100420162781365E-3</v>
      </c>
      <c r="R223" s="61">
        <f>((K223-D223)/D223)</f>
        <v>2.9969610606563956E-2</v>
      </c>
      <c r="S223" s="61">
        <f>((N223-G223)/G223)</f>
        <v>2.4998204229884264E-2</v>
      </c>
      <c r="T223" s="61">
        <f>((O223-H223)/H223)</f>
        <v>0</v>
      </c>
      <c r="U223" s="61">
        <f>P223-I223</f>
        <v>1.7023884215391118E-2</v>
      </c>
      <c r="V223" s="62">
        <f>Q223-J223</f>
        <v>-0.31118206354752864</v>
      </c>
    </row>
    <row r="224" spans="1:22">
      <c r="A224" s="133">
        <v>2</v>
      </c>
      <c r="B224" s="134" t="s">
        <v>264</v>
      </c>
      <c r="C224" s="135" t="s">
        <v>236</v>
      </c>
      <c r="D224" s="98">
        <v>1085274197.47</v>
      </c>
      <c r="E224" s="99">
        <f t="shared" si="109"/>
        <v>8.6916199341958197E-2</v>
      </c>
      <c r="F224" s="95">
        <v>30.87</v>
      </c>
      <c r="G224" s="95">
        <v>34.119999999999997</v>
      </c>
      <c r="H224" s="100">
        <v>212</v>
      </c>
      <c r="I224" s="56">
        <v>5.3E-3</v>
      </c>
      <c r="J224" s="56">
        <v>6.1000000000000004E-3</v>
      </c>
      <c r="K224" s="98">
        <v>1108298797</v>
      </c>
      <c r="L224" s="99">
        <f t="shared" si="110"/>
        <v>8.4433506516834358E-2</v>
      </c>
      <c r="M224" s="95">
        <v>31.52</v>
      </c>
      <c r="N224" s="95">
        <v>34.840000000000003</v>
      </c>
      <c r="O224" s="100">
        <v>212</v>
      </c>
      <c r="P224" s="56">
        <v>2.1700000000000001E-2</v>
      </c>
      <c r="Q224" s="56">
        <v>2.7900000000000001E-2</v>
      </c>
      <c r="R224" s="61">
        <f t="shared" ref="R224:R235" si="111">((K224-D224)/D224)</f>
        <v>2.1215467559880356E-2</v>
      </c>
      <c r="S224" s="61">
        <f t="shared" ref="S224:S235" si="112">((N224-G224)/G224)</f>
        <v>2.1101992966002521E-2</v>
      </c>
      <c r="T224" s="61">
        <f t="shared" ref="T224:T235" si="113">((O224-H224)/H224)</f>
        <v>0</v>
      </c>
      <c r="U224" s="61">
        <f t="shared" ref="U224:U235" si="114">P224-I224</f>
        <v>1.6400000000000001E-2</v>
      </c>
      <c r="V224" s="62">
        <f t="shared" ref="V224:V235" si="115">Q224-J224</f>
        <v>2.18E-2</v>
      </c>
    </row>
    <row r="225" spans="1:22">
      <c r="A225" s="133">
        <v>3</v>
      </c>
      <c r="B225" s="134" t="s">
        <v>265</v>
      </c>
      <c r="C225" s="135" t="s">
        <v>43</v>
      </c>
      <c r="D225" s="98">
        <v>211652015.63</v>
      </c>
      <c r="E225" s="99">
        <f t="shared" si="109"/>
        <v>1.6950544686779812E-2</v>
      </c>
      <c r="F225" s="95">
        <v>15.791518999999999</v>
      </c>
      <c r="G225" s="95">
        <v>16.092027999999999</v>
      </c>
      <c r="H225" s="100">
        <v>167</v>
      </c>
      <c r="I225" s="56">
        <v>-0.44694915986607753</v>
      </c>
      <c r="J225" s="56">
        <v>-0.44780052240408563</v>
      </c>
      <c r="K225" s="98">
        <v>384751276.76999998</v>
      </c>
      <c r="L225" s="99">
        <f t="shared" si="110"/>
        <v>2.9311499319907803E-2</v>
      </c>
      <c r="M225" s="95">
        <v>28.706579000000001</v>
      </c>
      <c r="N225" s="95">
        <v>29.011924</v>
      </c>
      <c r="O225" s="100">
        <v>167</v>
      </c>
      <c r="P225" s="56">
        <v>0.81784839433140055</v>
      </c>
      <c r="Q225" s="56">
        <v>3.8149336983712701E-3</v>
      </c>
      <c r="R225" s="61">
        <f t="shared" si="111"/>
        <v>0.81784839433140055</v>
      </c>
      <c r="S225" s="61">
        <f t="shared" si="112"/>
        <v>0.80287556049492348</v>
      </c>
      <c r="T225" s="61">
        <f t="shared" si="113"/>
        <v>0</v>
      </c>
      <c r="U225" s="61">
        <f t="shared" si="114"/>
        <v>1.2647975541974781</v>
      </c>
      <c r="V225" s="62">
        <f t="shared" si="115"/>
        <v>0.4516154561024569</v>
      </c>
    </row>
    <row r="226" spans="1:22">
      <c r="A226" s="133">
        <v>4</v>
      </c>
      <c r="B226" s="134" t="s">
        <v>266</v>
      </c>
      <c r="C226" s="135" t="s">
        <v>43</v>
      </c>
      <c r="D226" s="98">
        <v>605680097.23000002</v>
      </c>
      <c r="E226" s="99">
        <f t="shared" si="109"/>
        <v>4.8507015269525486E-2</v>
      </c>
      <c r="F226" s="95">
        <v>45.449171999999997</v>
      </c>
      <c r="G226" s="95">
        <v>45.864839000000003</v>
      </c>
      <c r="H226" s="100">
        <v>99</v>
      </c>
      <c r="I226" s="56">
        <v>-0.31660083410714279</v>
      </c>
      <c r="J226" s="56">
        <v>-0.31488440720669719</v>
      </c>
      <c r="K226" s="98">
        <v>844183888.33000004</v>
      </c>
      <c r="L226" s="99">
        <f t="shared" si="110"/>
        <v>6.4312445370918903E-2</v>
      </c>
      <c r="M226" s="95">
        <v>63.346259000000003</v>
      </c>
      <c r="N226" s="95">
        <v>63.773581999999998</v>
      </c>
      <c r="O226" s="100">
        <v>99</v>
      </c>
      <c r="P226" s="56">
        <v>0.39377848502991331</v>
      </c>
      <c r="Q226" s="56">
        <v>-4.5100627006179339E-2</v>
      </c>
      <c r="R226" s="61">
        <f t="shared" si="111"/>
        <v>0.39377848502991336</v>
      </c>
      <c r="S226" s="61">
        <f t="shared" si="112"/>
        <v>0.39046780475998166</v>
      </c>
      <c r="T226" s="61">
        <f t="shared" si="113"/>
        <v>0</v>
      </c>
      <c r="U226" s="61">
        <f t="shared" si="114"/>
        <v>0.7103793191370561</v>
      </c>
      <c r="V226" s="62">
        <f t="shared" si="115"/>
        <v>0.26978378020051785</v>
      </c>
    </row>
    <row r="227" spans="1:22">
      <c r="A227" s="133">
        <v>5</v>
      </c>
      <c r="B227" s="134" t="s">
        <v>267</v>
      </c>
      <c r="C227" s="135" t="s">
        <v>268</v>
      </c>
      <c r="D227" s="98">
        <v>1272083853.72</v>
      </c>
      <c r="E227" s="99">
        <f t="shared" si="109"/>
        <v>0.10187719754819863</v>
      </c>
      <c r="F227" s="95">
        <v>36300</v>
      </c>
      <c r="G227" s="95">
        <v>40890</v>
      </c>
      <c r="H227" s="100">
        <v>219</v>
      </c>
      <c r="I227" s="56">
        <v>0.01</v>
      </c>
      <c r="J227" s="56">
        <v>0.01</v>
      </c>
      <c r="K227" s="98">
        <v>1272083853.72</v>
      </c>
      <c r="L227" s="99">
        <f t="shared" si="110"/>
        <v>9.6911140428701012E-2</v>
      </c>
      <c r="M227" s="95">
        <v>36300</v>
      </c>
      <c r="N227" s="95">
        <v>40890</v>
      </c>
      <c r="O227" s="100">
        <v>219</v>
      </c>
      <c r="P227" s="56">
        <v>0.01</v>
      </c>
      <c r="Q227" s="56">
        <v>0.01</v>
      </c>
      <c r="R227" s="61">
        <f t="shared" si="111"/>
        <v>0</v>
      </c>
      <c r="S227" s="61">
        <f t="shared" si="112"/>
        <v>0</v>
      </c>
      <c r="T227" s="61">
        <f t="shared" si="113"/>
        <v>0</v>
      </c>
      <c r="U227" s="61">
        <f t="shared" si="114"/>
        <v>0</v>
      </c>
      <c r="V227" s="62">
        <f t="shared" si="115"/>
        <v>0</v>
      </c>
    </row>
    <row r="228" spans="1:22">
      <c r="A228" s="133">
        <v>6</v>
      </c>
      <c r="B228" s="134" t="s">
        <v>269</v>
      </c>
      <c r="C228" s="135" t="s">
        <v>270</v>
      </c>
      <c r="D228" s="98">
        <v>998007594.61000001</v>
      </c>
      <c r="E228" s="99">
        <f t="shared" si="109"/>
        <v>7.9927291407210291E-2</v>
      </c>
      <c r="F228" s="95">
        <v>799.99</v>
      </c>
      <c r="G228" s="95">
        <v>799.99</v>
      </c>
      <c r="H228" s="100">
        <v>132</v>
      </c>
      <c r="I228" s="56">
        <v>3.2300000000000002E-2</v>
      </c>
      <c r="J228" s="56">
        <v>3.2300000000000002E-2</v>
      </c>
      <c r="K228" s="98">
        <v>1022933288.54</v>
      </c>
      <c r="L228" s="99">
        <f t="shared" si="110"/>
        <v>7.7930107582918268E-2</v>
      </c>
      <c r="M228" s="95">
        <v>700</v>
      </c>
      <c r="N228" s="95">
        <v>700</v>
      </c>
      <c r="O228" s="100">
        <v>132</v>
      </c>
      <c r="P228" s="56">
        <v>2.4799999999999999E-2</v>
      </c>
      <c r="Q228" s="56">
        <v>5.7500000000000002E-2</v>
      </c>
      <c r="R228" s="61">
        <f t="shared" si="111"/>
        <v>2.4975455161481384E-2</v>
      </c>
      <c r="S228" s="61">
        <f t="shared" si="112"/>
        <v>-0.12498906236327956</v>
      </c>
      <c r="T228" s="61">
        <f t="shared" si="113"/>
        <v>0</v>
      </c>
      <c r="U228" s="61">
        <f t="shared" si="114"/>
        <v>-7.5000000000000032E-3</v>
      </c>
      <c r="V228" s="62">
        <f t="shared" si="115"/>
        <v>2.52E-2</v>
      </c>
    </row>
    <row r="229" spans="1:22">
      <c r="A229" s="133">
        <v>7</v>
      </c>
      <c r="B229" s="134" t="s">
        <v>271</v>
      </c>
      <c r="C229" s="135" t="s">
        <v>270</v>
      </c>
      <c r="D229" s="98">
        <v>849861022.87</v>
      </c>
      <c r="E229" s="99">
        <f t="shared" si="109"/>
        <v>6.8062698117146839E-2</v>
      </c>
      <c r="F229" s="95">
        <v>404.99</v>
      </c>
      <c r="G229" s="95">
        <v>404.99</v>
      </c>
      <c r="H229" s="100">
        <v>613</v>
      </c>
      <c r="I229" s="56">
        <v>1.5599999999999999E-2</v>
      </c>
      <c r="J229" s="56">
        <v>1.5599999999999999E-2</v>
      </c>
      <c r="K229" s="98">
        <v>867707845.45000005</v>
      </c>
      <c r="L229" s="99">
        <f t="shared" si="110"/>
        <v>6.6104570556085235E-2</v>
      </c>
      <c r="M229" s="95">
        <v>410</v>
      </c>
      <c r="N229" s="95">
        <v>410</v>
      </c>
      <c r="O229" s="100">
        <v>613</v>
      </c>
      <c r="P229" s="56">
        <v>2.07E-2</v>
      </c>
      <c r="Q229" s="56">
        <v>3.6299999999999999E-2</v>
      </c>
      <c r="R229" s="61">
        <f t="shared" si="111"/>
        <v>2.0999695361637975E-2</v>
      </c>
      <c r="S229" s="61">
        <f t="shared" si="112"/>
        <v>1.2370675819156006E-2</v>
      </c>
      <c r="T229" s="61">
        <f t="shared" si="113"/>
        <v>0</v>
      </c>
      <c r="U229" s="61">
        <f t="shared" si="114"/>
        <v>5.1000000000000004E-3</v>
      </c>
      <c r="V229" s="62">
        <f t="shared" si="115"/>
        <v>2.07E-2</v>
      </c>
    </row>
    <row r="230" spans="1:22">
      <c r="A230" s="133">
        <v>8</v>
      </c>
      <c r="B230" s="134" t="s">
        <v>272</v>
      </c>
      <c r="C230" s="135" t="s">
        <v>273</v>
      </c>
      <c r="D230" s="98">
        <v>60342722.82</v>
      </c>
      <c r="E230" s="99">
        <f t="shared" si="109"/>
        <v>4.8326590069922215E-3</v>
      </c>
      <c r="F230" s="95">
        <v>17.38</v>
      </c>
      <c r="G230" s="95">
        <v>17.48</v>
      </c>
      <c r="H230" s="100">
        <v>65</v>
      </c>
      <c r="I230" s="56">
        <v>1.18E-2</v>
      </c>
      <c r="J230" s="56">
        <v>0.51139999999999997</v>
      </c>
      <c r="K230" s="98">
        <v>60141427.579999998</v>
      </c>
      <c r="L230" s="99">
        <f t="shared" si="110"/>
        <v>4.5817532521490699E-3</v>
      </c>
      <c r="M230" s="95">
        <v>17.329999999999998</v>
      </c>
      <c r="N230" s="95">
        <v>17.43</v>
      </c>
      <c r="O230" s="100">
        <v>65</v>
      </c>
      <c r="P230" s="56">
        <v>0</v>
      </c>
      <c r="Q230" s="56">
        <v>0.51139999999999997</v>
      </c>
      <c r="R230" s="61">
        <f t="shared" si="111"/>
        <v>-3.3358660430431349E-3</v>
      </c>
      <c r="S230" s="61">
        <f t="shared" si="112"/>
        <v>-2.8604118993135418E-3</v>
      </c>
      <c r="T230" s="61">
        <f t="shared" si="113"/>
        <v>0</v>
      </c>
      <c r="U230" s="61">
        <f t="shared" si="114"/>
        <v>-1.18E-2</v>
      </c>
      <c r="V230" s="62">
        <f t="shared" si="115"/>
        <v>0</v>
      </c>
    </row>
    <row r="231" spans="1:22">
      <c r="A231" s="133">
        <v>9</v>
      </c>
      <c r="B231" s="134" t="s">
        <v>274</v>
      </c>
      <c r="C231" s="135" t="s">
        <v>273</v>
      </c>
      <c r="D231" s="101">
        <v>703861945.52999997</v>
      </c>
      <c r="E231" s="99">
        <f t="shared" si="109"/>
        <v>5.6370090903773748E-2</v>
      </c>
      <c r="F231" s="95">
        <v>10.94</v>
      </c>
      <c r="G231" s="95">
        <v>11.04</v>
      </c>
      <c r="H231" s="100">
        <v>109</v>
      </c>
      <c r="I231" s="56">
        <v>5.3100000000000001E-2</v>
      </c>
      <c r="J231" s="56">
        <v>0.2344</v>
      </c>
      <c r="K231" s="101">
        <v>713796927.5</v>
      </c>
      <c r="L231" s="99">
        <f t="shared" si="110"/>
        <v>5.4379177973399528E-2</v>
      </c>
      <c r="M231" s="95">
        <v>11.15</v>
      </c>
      <c r="N231" s="95">
        <v>11.25</v>
      </c>
      <c r="O231" s="100">
        <v>109</v>
      </c>
      <c r="P231" s="56">
        <v>1.83E-2</v>
      </c>
      <c r="Q231" s="56">
        <v>0.2571</v>
      </c>
      <c r="R231" s="61">
        <f t="shared" si="111"/>
        <v>1.4114958243010426E-2</v>
      </c>
      <c r="S231" s="61">
        <f t="shared" si="112"/>
        <v>1.902173913043486E-2</v>
      </c>
      <c r="T231" s="61">
        <f t="shared" si="113"/>
        <v>0</v>
      </c>
      <c r="U231" s="61">
        <f t="shared" si="114"/>
        <v>-3.4799999999999998E-2</v>
      </c>
      <c r="V231" s="62">
        <f t="shared" si="115"/>
        <v>2.2699999999999998E-2</v>
      </c>
    </row>
    <row r="232" spans="1:22" ht="15" customHeight="1">
      <c r="A232" s="133">
        <v>10</v>
      </c>
      <c r="B232" s="134" t="s">
        <v>275</v>
      </c>
      <c r="C232" s="135" t="s">
        <v>273</v>
      </c>
      <c r="D232" s="98">
        <v>95163204.939999998</v>
      </c>
      <c r="E232" s="99">
        <f t="shared" si="109"/>
        <v>7.6213219754662975E-3</v>
      </c>
      <c r="F232" s="95">
        <v>130.06</v>
      </c>
      <c r="G232" s="95">
        <v>132.06</v>
      </c>
      <c r="H232" s="100">
        <v>286</v>
      </c>
      <c r="I232" s="56">
        <v>-0.23449999999999999</v>
      </c>
      <c r="J232" s="56">
        <v>0.5</v>
      </c>
      <c r="K232" s="98">
        <v>95009342.810000002</v>
      </c>
      <c r="L232" s="99">
        <f t="shared" si="110"/>
        <v>7.2380949857769137E-3</v>
      </c>
      <c r="M232" s="95">
        <v>129.85</v>
      </c>
      <c r="N232" s="95">
        <v>131.85</v>
      </c>
      <c r="O232" s="100">
        <v>289</v>
      </c>
      <c r="P232" s="56">
        <v>0.1716</v>
      </c>
      <c r="Q232" s="56">
        <v>0.75739999999999996</v>
      </c>
      <c r="R232" s="61">
        <f t="shared" si="111"/>
        <v>-1.6168237513333504E-3</v>
      </c>
      <c r="S232" s="61">
        <f t="shared" si="112"/>
        <v>-1.5901862789641675E-3</v>
      </c>
      <c r="T232" s="61">
        <f t="shared" si="113"/>
        <v>1.048951048951049E-2</v>
      </c>
      <c r="U232" s="61">
        <f t="shared" si="114"/>
        <v>0.40610000000000002</v>
      </c>
      <c r="V232" s="62">
        <f t="shared" si="115"/>
        <v>0.25739999999999996</v>
      </c>
    </row>
    <row r="233" spans="1:22">
      <c r="A233" s="133">
        <v>11</v>
      </c>
      <c r="B233" s="134" t="s">
        <v>276</v>
      </c>
      <c r="C233" s="135" t="s">
        <v>273</v>
      </c>
      <c r="D233" s="98">
        <v>5564608274.8100004</v>
      </c>
      <c r="E233" s="99">
        <f t="shared" si="109"/>
        <v>0.44565198656781452</v>
      </c>
      <c r="F233" s="95">
        <v>38.49</v>
      </c>
      <c r="G233" s="95">
        <v>38.69</v>
      </c>
      <c r="H233" s="100">
        <v>283</v>
      </c>
      <c r="I233" s="56">
        <v>4.8599999999999997E-2</v>
      </c>
      <c r="J233" s="56">
        <v>0.39810000000000001</v>
      </c>
      <c r="K233" s="98">
        <v>5688484489.6400003</v>
      </c>
      <c r="L233" s="99">
        <f t="shared" si="110"/>
        <v>0.43336570744913494</v>
      </c>
      <c r="M233" s="95">
        <v>39.32</v>
      </c>
      <c r="N233" s="95">
        <v>39.520000000000003</v>
      </c>
      <c r="O233" s="100">
        <v>282</v>
      </c>
      <c r="P233" s="56">
        <v>8.6099999999999996E-2</v>
      </c>
      <c r="Q233" s="56">
        <v>0.51849999999999996</v>
      </c>
      <c r="R233" s="61">
        <f t="shared" si="111"/>
        <v>2.2261443881102232E-2</v>
      </c>
      <c r="S233" s="61">
        <f t="shared" si="112"/>
        <v>2.1452571723959819E-2</v>
      </c>
      <c r="T233" s="61">
        <f t="shared" si="113"/>
        <v>-3.5335689045936395E-3</v>
      </c>
      <c r="U233" s="61">
        <f t="shared" si="114"/>
        <v>3.7499999999999999E-2</v>
      </c>
      <c r="V233" s="62">
        <f t="shared" si="115"/>
        <v>0.12039999999999995</v>
      </c>
    </row>
    <row r="234" spans="1:22">
      <c r="A234" s="133">
        <v>12</v>
      </c>
      <c r="B234" s="134" t="s">
        <v>277</v>
      </c>
      <c r="C234" s="135" t="s">
        <v>273</v>
      </c>
      <c r="D234" s="101">
        <v>63272710.920000002</v>
      </c>
      <c r="E234" s="99">
        <f t="shared" si="109"/>
        <v>5.0673125446537995E-3</v>
      </c>
      <c r="F234" s="95">
        <v>35.729999999999997</v>
      </c>
      <c r="G234" s="95">
        <v>35.93</v>
      </c>
      <c r="H234" s="100">
        <v>62</v>
      </c>
      <c r="I234" s="56">
        <v>-0.1</v>
      </c>
      <c r="J234" s="56">
        <v>0.57920000000000005</v>
      </c>
      <c r="K234" s="101">
        <v>62995023.289999999</v>
      </c>
      <c r="L234" s="99">
        <f t="shared" si="110"/>
        <v>4.7991486807364529E-3</v>
      </c>
      <c r="M234" s="95">
        <v>35.64</v>
      </c>
      <c r="N234" s="95">
        <v>35.840000000000003</v>
      </c>
      <c r="O234" s="100">
        <v>63</v>
      </c>
      <c r="P234" s="56">
        <v>-4.4200000000000003E-2</v>
      </c>
      <c r="Q234" s="56">
        <v>0.50939999999999996</v>
      </c>
      <c r="R234" s="61">
        <f t="shared" si="111"/>
        <v>-4.3887424129985843E-3</v>
      </c>
      <c r="S234" s="61">
        <f t="shared" si="112"/>
        <v>-2.5048705816865099E-3</v>
      </c>
      <c r="T234" s="61">
        <f t="shared" si="113"/>
        <v>1.6129032258064516E-2</v>
      </c>
      <c r="U234" s="61">
        <f t="shared" si="114"/>
        <v>5.5800000000000002E-2</v>
      </c>
      <c r="V234" s="62">
        <f t="shared" si="115"/>
        <v>-6.9800000000000084E-2</v>
      </c>
    </row>
    <row r="235" spans="1:22">
      <c r="A235" s="140"/>
      <c r="B235" s="140"/>
      <c r="C235" s="141" t="s">
        <v>278</v>
      </c>
      <c r="D235" s="94">
        <f>SUM(D223:D234)</f>
        <v>12486443329.167654</v>
      </c>
      <c r="E235" s="96"/>
      <c r="F235" s="96"/>
      <c r="G235" s="97"/>
      <c r="H235" s="94">
        <f>SUM(H223:H234)</f>
        <v>2308</v>
      </c>
      <c r="I235" s="117"/>
      <c r="J235" s="117"/>
      <c r="K235" s="94">
        <f>SUM(K223:K234)</f>
        <v>13126291240.540001</v>
      </c>
      <c r="L235" s="96"/>
      <c r="M235" s="96"/>
      <c r="N235" s="97"/>
      <c r="O235" s="94">
        <f>SUM(O223:O234)</f>
        <v>2311</v>
      </c>
      <c r="P235" s="117"/>
      <c r="Q235" s="117"/>
      <c r="R235" s="61">
        <f t="shared" si="111"/>
        <v>5.1243408111074903E-2</v>
      </c>
      <c r="S235" s="61" t="e">
        <f t="shared" si="112"/>
        <v>#DIV/0!</v>
      </c>
      <c r="T235" s="61">
        <f t="shared" si="113"/>
        <v>1.2998266897746968E-3</v>
      </c>
      <c r="U235" s="61">
        <f t="shared" si="114"/>
        <v>0</v>
      </c>
      <c r="V235" s="62">
        <f t="shared" si="115"/>
        <v>0</v>
      </c>
    </row>
    <row r="236" spans="1:22">
      <c r="A236" s="102"/>
      <c r="B236" s="102"/>
      <c r="C236" s="103" t="s">
        <v>279</v>
      </c>
      <c r="D236" s="104">
        <f>SUM(D211,D215,D220,D235)</f>
        <v>4031711261820.9116</v>
      </c>
      <c r="E236" s="105"/>
      <c r="F236" s="105"/>
      <c r="G236" s="106"/>
      <c r="H236" s="104">
        <f>SUM(H211,H215,H220,H235)</f>
        <v>811510</v>
      </c>
      <c r="I236" s="118"/>
      <c r="J236" s="118"/>
      <c r="K236" s="104">
        <f>SUM(K211,K215,K220,K235)</f>
        <v>4113135885527.3643</v>
      </c>
      <c r="L236" s="105"/>
      <c r="M236" s="105"/>
      <c r="N236" s="104"/>
      <c r="O236" s="104">
        <f>SUM(O211,O215,O220,O235)</f>
        <v>812043</v>
      </c>
      <c r="P236" s="119"/>
      <c r="Q236" s="104"/>
      <c r="R236" s="125"/>
      <c r="S236" s="126"/>
      <c r="T236" s="126"/>
      <c r="U236" s="127"/>
      <c r="V236" s="127"/>
    </row>
    <row r="237" spans="1:22">
      <c r="A237" s="107" t="s">
        <v>280</v>
      </c>
      <c r="B237" s="137" t="s">
        <v>299</v>
      </c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</row>
    <row r="238" spans="1:22">
      <c r="B238" s="136"/>
    </row>
    <row r="239" spans="1:22">
      <c r="B239" s="142"/>
      <c r="C239" s="109"/>
      <c r="D239" s="110"/>
      <c r="K239" s="110"/>
    </row>
    <row r="240" spans="1:22" ht="15">
      <c r="B240" s="111"/>
      <c r="C240" s="112"/>
      <c r="D240" s="113"/>
      <c r="F240" s="114"/>
      <c r="G240" s="114"/>
      <c r="I240" s="120"/>
      <c r="J240" s="121"/>
    </row>
    <row r="243" spans="2:2">
      <c r="B243" s="109"/>
    </row>
  </sheetData>
  <sheetProtection algorithmName="SHA-512" hashValue="UEYZ5QtoPDZ1VJAitonC2prwVAXhuhO0Mdmz0NnCK9BXo/KW5zzqqQveb3NlcQlfx2rxRjsEWI8B5Yz36ni+Cw==" saltValue="AWGvF9xCPV+y2e4ZxKr/dA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5:V25"/>
    <mergeCell ref="A26:V26"/>
    <mergeCell ref="B66:V66"/>
    <mergeCell ref="A67:V67"/>
    <mergeCell ref="B105:V105"/>
    <mergeCell ref="A106:V106"/>
    <mergeCell ref="A107:V107"/>
    <mergeCell ref="B124:V124"/>
    <mergeCell ref="A125:V125"/>
    <mergeCell ref="B141:V141"/>
    <mergeCell ref="A142:V142"/>
    <mergeCell ref="B149:V149"/>
    <mergeCell ref="A150:V150"/>
    <mergeCell ref="B181:V181"/>
    <mergeCell ref="A182:V182"/>
    <mergeCell ref="B187:V187"/>
    <mergeCell ref="A188:V188"/>
    <mergeCell ref="A189:V189"/>
    <mergeCell ref="A213:V213"/>
    <mergeCell ref="A217:V217"/>
    <mergeCell ref="B221:V221"/>
    <mergeCell ref="A222:V222"/>
    <mergeCell ref="B192:V192"/>
    <mergeCell ref="A193:V193"/>
    <mergeCell ref="B207:V207"/>
    <mergeCell ref="A208:V208"/>
    <mergeCell ref="B212:U212"/>
  </mergeCells>
  <pageMargins left="0.7" right="0.7" top="0.75" bottom="0.75" header="0.3" footer="0.3"/>
  <pageSetup paperSize="9" orientation="portrait" horizontalDpi="300" verticalDpi="300" r:id="rId1"/>
  <ignoredErrors>
    <ignoredError sqref="L90 E90 E72 L46 E46 L32 E32" formula="1"/>
    <ignoredError sqref="S148 S24 T37 S65 S104 S140 S180 S186 S210 S235 T218:T219 R47:T47" evalError="1"/>
    <ignoredError sqref="P1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D6" sqref="D6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44"/>
      <c r="B1" s="144"/>
      <c r="C1" s="144"/>
      <c r="D1" s="144"/>
      <c r="E1" s="19"/>
    </row>
    <row r="2" spans="1:5" ht="27.6">
      <c r="A2" s="145" t="s">
        <v>281</v>
      </c>
      <c r="B2" s="146" t="s">
        <v>296</v>
      </c>
      <c r="C2" s="146" t="s">
        <v>314</v>
      </c>
      <c r="D2" s="147"/>
      <c r="E2" s="19"/>
    </row>
    <row r="3" spans="1:5">
      <c r="A3" s="148" t="s">
        <v>17</v>
      </c>
      <c r="B3" s="149">
        <f t="shared" ref="B3:C10" si="0">B13</f>
        <v>32.261498393230006</v>
      </c>
      <c r="C3" s="149">
        <f t="shared" si="0"/>
        <v>33.411621797110001</v>
      </c>
      <c r="D3" s="147"/>
      <c r="E3" s="19"/>
    </row>
    <row r="4" spans="1:5" ht="17.25" customHeight="1">
      <c r="A4" s="145" t="s">
        <v>54</v>
      </c>
      <c r="B4" s="150">
        <f t="shared" si="0"/>
        <v>1731.3314553779687</v>
      </c>
      <c r="C4" s="150">
        <f t="shared" si="0"/>
        <v>1796.1635202174673</v>
      </c>
      <c r="D4" s="147"/>
      <c r="E4" s="19"/>
    </row>
    <row r="5" spans="1:5" ht="19.5" customHeight="1">
      <c r="A5" s="145" t="s">
        <v>282</v>
      </c>
      <c r="B5" s="149">
        <f t="shared" si="0"/>
        <v>196.55895396870349</v>
      </c>
      <c r="C5" s="149">
        <f t="shared" si="0"/>
        <v>198.624219481398</v>
      </c>
      <c r="D5" s="147"/>
      <c r="E5" s="19"/>
    </row>
    <row r="6" spans="1:5">
      <c r="A6" s="145" t="s">
        <v>158</v>
      </c>
      <c r="B6" s="150">
        <f t="shared" si="0"/>
        <v>1710.0393123716767</v>
      </c>
      <c r="C6" s="150">
        <f t="shared" si="0"/>
        <v>1721.2737908844595</v>
      </c>
      <c r="D6" s="147"/>
      <c r="E6" s="19"/>
    </row>
    <row r="7" spans="1:5">
      <c r="A7" s="145" t="s">
        <v>283</v>
      </c>
      <c r="B7" s="149">
        <f t="shared" si="0"/>
        <v>100.16567634188785</v>
      </c>
      <c r="C7" s="149">
        <f t="shared" si="0"/>
        <v>100.81452594229248</v>
      </c>
      <c r="D7" s="147"/>
      <c r="E7" s="19"/>
    </row>
    <row r="8" spans="1:5">
      <c r="A8" s="145" t="s">
        <v>196</v>
      </c>
      <c r="B8" s="151">
        <f t="shared" si="0"/>
        <v>54.655185610452072</v>
      </c>
      <c r="C8" s="151">
        <f t="shared" si="0"/>
        <v>55.198098021346276</v>
      </c>
      <c r="D8" s="147"/>
      <c r="E8" s="19"/>
    </row>
    <row r="9" spans="1:5">
      <c r="A9" s="145" t="s">
        <v>228</v>
      </c>
      <c r="B9" s="149">
        <f t="shared" si="0"/>
        <v>5.9567588092900001</v>
      </c>
      <c r="C9" s="149">
        <f t="shared" si="0"/>
        <v>6.0531176973000003</v>
      </c>
      <c r="D9" s="147"/>
      <c r="E9" s="19"/>
    </row>
    <row r="10" spans="1:5">
      <c r="A10" s="145" t="s">
        <v>284</v>
      </c>
      <c r="B10" s="149">
        <f t="shared" si="0"/>
        <v>52.524540980356321</v>
      </c>
      <c r="C10" s="149">
        <f t="shared" si="0"/>
        <v>52.575931037907694</v>
      </c>
      <c r="D10" s="147"/>
      <c r="E10" s="19"/>
    </row>
    <row r="11" spans="1:5">
      <c r="A11" s="145"/>
      <c r="B11" s="149"/>
      <c r="C11" s="149"/>
      <c r="D11" s="147"/>
      <c r="E11" s="19"/>
    </row>
    <row r="12" spans="1:5">
      <c r="A12" s="144"/>
      <c r="B12" s="144"/>
      <c r="C12" s="144"/>
      <c r="D12" s="144"/>
      <c r="E12" s="19"/>
    </row>
    <row r="13" spans="1:5">
      <c r="A13" s="152" t="s">
        <v>17</v>
      </c>
      <c r="B13" s="153">
        <f>'Weekly Valuation'!D24/1000000000</f>
        <v>32.261498393230006</v>
      </c>
      <c r="C13" s="154">
        <f>'Weekly Valuation'!K24/1000000000</f>
        <v>33.411621797110001</v>
      </c>
      <c r="D13" s="144"/>
      <c r="E13" s="19"/>
    </row>
    <row r="14" spans="1:5">
      <c r="A14" s="155" t="s">
        <v>54</v>
      </c>
      <c r="B14" s="153">
        <f>'Weekly Valuation'!D65/1000000000</f>
        <v>1731.3314553779687</v>
      </c>
      <c r="C14" s="156">
        <f>'Weekly Valuation'!K65/1000000000</f>
        <v>1796.1635202174673</v>
      </c>
      <c r="D14" s="144"/>
      <c r="E14" s="19"/>
    </row>
    <row r="15" spans="1:5">
      <c r="A15" s="155" t="s">
        <v>282</v>
      </c>
      <c r="B15" s="153">
        <f>'Weekly Valuation'!D104/1000000000</f>
        <v>196.55895396870349</v>
      </c>
      <c r="C15" s="154">
        <f>'Weekly Valuation'!K104/1000000000</f>
        <v>198.624219481398</v>
      </c>
      <c r="D15" s="144"/>
      <c r="E15" s="19"/>
    </row>
    <row r="16" spans="1:5">
      <c r="A16" s="155" t="s">
        <v>158</v>
      </c>
      <c r="B16" s="153">
        <f>'Weekly Valuation'!D140/1000000000</f>
        <v>1710.0393123716767</v>
      </c>
      <c r="C16" s="156">
        <f>'Weekly Valuation'!K140/1000000000</f>
        <v>1721.2737908844595</v>
      </c>
      <c r="D16" s="144"/>
      <c r="E16" s="19"/>
    </row>
    <row r="17" spans="1:5">
      <c r="A17" s="155" t="s">
        <v>283</v>
      </c>
      <c r="B17" s="153">
        <f>'Weekly Valuation'!D148/1000000000</f>
        <v>100.16567634188785</v>
      </c>
      <c r="C17" s="154">
        <f>'Weekly Valuation'!K148/1000000000</f>
        <v>100.81452594229248</v>
      </c>
      <c r="D17" s="144"/>
      <c r="E17" s="19"/>
    </row>
    <row r="18" spans="1:5">
      <c r="A18" s="155" t="s">
        <v>196</v>
      </c>
      <c r="B18" s="153">
        <f>'Weekly Valuation'!D180/1000000000</f>
        <v>54.655185610452072</v>
      </c>
      <c r="C18" s="157">
        <f>'Weekly Valuation'!K180/1000000000</f>
        <v>55.198098021346276</v>
      </c>
      <c r="D18" s="144"/>
      <c r="E18" s="19"/>
    </row>
    <row r="19" spans="1:5">
      <c r="A19" s="155" t="s">
        <v>228</v>
      </c>
      <c r="B19" s="153">
        <f>'Weekly Valuation'!D186/1000000000</f>
        <v>5.9567588092900001</v>
      </c>
      <c r="C19" s="154">
        <f>'Weekly Valuation'!K186/1000000000</f>
        <v>6.0531176973000003</v>
      </c>
      <c r="D19" s="144"/>
      <c r="E19" s="19"/>
    </row>
    <row r="20" spans="1:5">
      <c r="A20" s="155" t="s">
        <v>284</v>
      </c>
      <c r="B20" s="153">
        <f>'Weekly Valuation'!D210/1000000000</f>
        <v>52.524540980356321</v>
      </c>
      <c r="C20" s="154">
        <f>'Weekly Valuation'!K210/1000000000</f>
        <v>52.575931037907694</v>
      </c>
      <c r="D20" s="144"/>
      <c r="E20" s="19"/>
    </row>
    <row r="21" spans="1:5">
      <c r="A21" s="158"/>
      <c r="B21" s="144"/>
      <c r="C21" s="159"/>
      <c r="D21" s="144"/>
      <c r="E21" s="19"/>
    </row>
    <row r="22" spans="1:5">
      <c r="A22" s="158"/>
      <c r="B22" s="144"/>
      <c r="C22" s="160"/>
      <c r="D22" s="144"/>
      <c r="E22" s="19"/>
    </row>
    <row r="23" spans="1:5">
      <c r="A23" s="161"/>
      <c r="B23" s="162"/>
      <c r="C23" s="163"/>
      <c r="D23" s="19"/>
      <c r="E23" s="19"/>
    </row>
    <row r="24" spans="1:5">
      <c r="A24" s="161"/>
      <c r="B24" s="162"/>
      <c r="C24" s="162"/>
      <c r="D24" s="19"/>
      <c r="E24" s="19"/>
    </row>
    <row r="25" spans="1:5">
      <c r="A25" s="22"/>
      <c r="B25" s="23"/>
      <c r="C25" s="23"/>
      <c r="D25" s="15"/>
      <c r="E25" s="15"/>
    </row>
    <row r="26" spans="1:5">
      <c r="A26" s="22"/>
      <c r="B26" s="23"/>
      <c r="C26" s="23"/>
      <c r="D26" s="15"/>
      <c r="E26" s="15"/>
    </row>
    <row r="27" spans="1:5">
      <c r="A27" s="22"/>
      <c r="B27" s="23"/>
      <c r="C27" s="23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Cb+oro8DFoNSfievkfcC68TUTyjXMgFsb/xYYN962EQ5NoS9flRZMeyuBFR3ksLo8nP0gPXGXhPwrDfwF2k3qw==" saltValue="ZJKp2awAuvR9baTVhzke9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H11" sqref="H11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5" ht="15.6">
      <c r="A1" s="164" t="s">
        <v>281</v>
      </c>
      <c r="B1" s="165">
        <v>45667</v>
      </c>
      <c r="C1" s="19"/>
      <c r="D1" s="19"/>
      <c r="E1" s="15"/>
    </row>
    <row r="2" spans="1:5">
      <c r="A2" s="158" t="s">
        <v>228</v>
      </c>
      <c r="B2" s="160">
        <f>'Weekly Valuation'!K186</f>
        <v>6053117697.3000002</v>
      </c>
      <c r="C2" s="19"/>
      <c r="D2" s="19"/>
      <c r="E2" s="15"/>
    </row>
    <row r="3" spans="1:5">
      <c r="A3" s="158" t="s">
        <v>17</v>
      </c>
      <c r="B3" s="160">
        <f>'Weekly Valuation'!K24</f>
        <v>33411621797.110004</v>
      </c>
      <c r="C3" s="19"/>
      <c r="D3" s="19"/>
      <c r="E3" s="15"/>
    </row>
    <row r="4" spans="1:5">
      <c r="A4" s="158" t="s">
        <v>284</v>
      </c>
      <c r="B4" s="163">
        <f>'Weekly Valuation'!K210</f>
        <v>52575931037.907692</v>
      </c>
      <c r="C4" s="19"/>
      <c r="D4" s="19"/>
      <c r="E4" s="15"/>
    </row>
    <row r="5" spans="1:5">
      <c r="A5" s="158" t="s">
        <v>196</v>
      </c>
      <c r="B5" s="160">
        <f>'Weekly Valuation'!K180</f>
        <v>55198098021.346275</v>
      </c>
      <c r="C5" s="19"/>
      <c r="D5" s="19"/>
      <c r="E5" s="15"/>
    </row>
    <row r="6" spans="1:5">
      <c r="A6" s="158" t="s">
        <v>283</v>
      </c>
      <c r="B6" s="160">
        <f>'Weekly Valuation'!K148</f>
        <v>100814525942.29248</v>
      </c>
      <c r="C6" s="19"/>
      <c r="D6" s="19"/>
      <c r="E6" s="15"/>
    </row>
    <row r="7" spans="1:5">
      <c r="A7" s="158" t="s">
        <v>282</v>
      </c>
      <c r="B7" s="160">
        <f>'Weekly Valuation'!K104</f>
        <v>198624219481.39801</v>
      </c>
      <c r="C7" s="19"/>
      <c r="D7" s="19"/>
      <c r="E7" s="15"/>
    </row>
    <row r="8" spans="1:5">
      <c r="A8" s="158" t="s">
        <v>54</v>
      </c>
      <c r="B8" s="159">
        <f>'Weekly Valuation'!K65</f>
        <v>1796163520217.4673</v>
      </c>
      <c r="C8" s="19"/>
      <c r="D8" s="19"/>
      <c r="E8" s="15"/>
    </row>
    <row r="9" spans="1:5">
      <c r="A9" s="158" t="s">
        <v>158</v>
      </c>
      <c r="B9" s="159">
        <f>'Weekly Valuation'!K140</f>
        <v>1721273790884.4595</v>
      </c>
      <c r="C9" s="19"/>
      <c r="D9" s="19"/>
      <c r="E9" s="15"/>
    </row>
    <row r="10" spans="1:5">
      <c r="A10" s="144"/>
      <c r="B10" s="144"/>
      <c r="C10" s="19"/>
      <c r="D10" s="19"/>
      <c r="E10" s="15"/>
    </row>
    <row r="11" spans="1:5">
      <c r="A11" s="158"/>
      <c r="B11" s="166"/>
      <c r="C11" s="19"/>
      <c r="D11" s="19"/>
      <c r="E11" s="15"/>
    </row>
    <row r="12" spans="1:5">
      <c r="A12" s="158"/>
      <c r="B12" s="19"/>
      <c r="C12" s="19"/>
      <c r="D12" s="19"/>
      <c r="E12" s="15"/>
    </row>
    <row r="13" spans="1:5">
      <c r="A13" s="162"/>
      <c r="B13" s="162"/>
      <c r="C13" s="19"/>
      <c r="D13" s="19"/>
      <c r="E13" s="15"/>
    </row>
    <row r="14" spans="1:5">
      <c r="A14" s="162"/>
      <c r="B14" s="162"/>
      <c r="C14" s="19"/>
      <c r="D14" s="19"/>
      <c r="E14" s="15"/>
    </row>
    <row r="15" spans="1:5" ht="16.5" customHeight="1">
      <c r="A15" s="130"/>
      <c r="B15" s="130"/>
      <c r="C15" s="15"/>
      <c r="D15" s="15"/>
      <c r="E15" s="15"/>
    </row>
    <row r="16" spans="1:5">
      <c r="A16" s="23"/>
      <c r="B16" s="23"/>
      <c r="C16" s="15"/>
      <c r="D16" s="15"/>
      <c r="E16" s="15"/>
    </row>
    <row r="17" spans="1:17">
      <c r="A17" s="23"/>
      <c r="B17" s="23"/>
      <c r="C17" s="15"/>
      <c r="D17" s="15"/>
      <c r="E17" s="15"/>
    </row>
    <row r="18" spans="1:17">
      <c r="A18" s="131"/>
      <c r="B18" s="23"/>
      <c r="C18" s="15"/>
      <c r="D18" s="15"/>
      <c r="E18" s="15"/>
    </row>
    <row r="19" spans="1:17">
      <c r="A19" s="131"/>
      <c r="B19" s="131"/>
      <c r="C19" s="15"/>
      <c r="D19" s="15"/>
      <c r="E19" s="15"/>
    </row>
    <row r="20" spans="1:17">
      <c r="A20" s="131"/>
      <c r="B20" s="131"/>
      <c r="C20" s="15"/>
      <c r="D20" s="15"/>
      <c r="E20" s="15"/>
    </row>
    <row r="21" spans="1:17">
      <c r="A21" s="22"/>
      <c r="B21" s="131"/>
      <c r="C21" s="15"/>
      <c r="D21" s="15"/>
      <c r="E21" s="15"/>
    </row>
    <row r="22" spans="1:17">
      <c r="A22" s="15"/>
      <c r="B22" s="131"/>
      <c r="C22" s="15"/>
      <c r="D22" s="15"/>
      <c r="E22" s="15"/>
    </row>
    <row r="23" spans="1:17">
      <c r="A23" s="15"/>
      <c r="B23" s="15"/>
      <c r="C23" s="15"/>
      <c r="D23" s="15"/>
      <c r="E23" s="15"/>
    </row>
    <row r="24" spans="1:17">
      <c r="A24" s="15"/>
      <c r="B24" s="15"/>
      <c r="C24" s="15"/>
      <c r="D24" s="15"/>
      <c r="E24" s="15"/>
    </row>
    <row r="25" spans="1:17">
      <c r="A25" s="15"/>
      <c r="B25" s="15"/>
      <c r="C25" s="15"/>
      <c r="D25" s="15"/>
      <c r="E25" s="15"/>
    </row>
    <row r="26" spans="1:17">
      <c r="A26" s="15"/>
      <c r="B26" s="15"/>
      <c r="C26" s="15"/>
      <c r="D26" s="15"/>
    </row>
    <row r="27" spans="1:17">
      <c r="A27" s="15"/>
      <c r="B27" s="15"/>
      <c r="C27" s="15"/>
      <c r="D27" s="15"/>
    </row>
    <row r="28" spans="1:17">
      <c r="A28" s="15"/>
      <c r="B28" s="15"/>
      <c r="C28" s="15"/>
      <c r="D28" s="15"/>
    </row>
    <row r="29" spans="1:17">
      <c r="A29" s="15"/>
      <c r="B29" s="15"/>
      <c r="C29" s="15"/>
      <c r="D29" s="15"/>
    </row>
    <row r="32" spans="1:17" ht="16.5" customHeight="1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21"/>
    </row>
    <row r="33" spans="1:17" ht="15" customHeight="1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21"/>
    </row>
  </sheetData>
  <sheetProtection algorithmName="SHA-512" hashValue="/N2a/TZNNjdumrcj9QEIAQaJXleACT7ZiGl2kdhW/UZcWBzbKDGdGSZxQBPKcDTlqLyMIhHMY6oxtZ4JdD3Lmg==" saltValue="CBnRG5unHyj2tHRFSUa5Q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activeCell="B8" sqref="B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67" t="s">
        <v>285</v>
      </c>
      <c r="B2" s="168">
        <v>45618</v>
      </c>
      <c r="C2" s="168">
        <v>45625</v>
      </c>
      <c r="D2" s="168">
        <v>45632</v>
      </c>
      <c r="E2" s="168">
        <v>45639</v>
      </c>
      <c r="F2" s="168">
        <v>45646</v>
      </c>
      <c r="G2" s="168">
        <v>45653</v>
      </c>
      <c r="H2" s="168">
        <v>45660</v>
      </c>
      <c r="I2" s="168">
        <v>45667</v>
      </c>
      <c r="J2" s="19"/>
      <c r="K2" s="15"/>
      <c r="L2" s="15"/>
      <c r="M2" s="15"/>
    </row>
    <row r="3" spans="1:13">
      <c r="A3" s="167" t="s">
        <v>286</v>
      </c>
      <c r="B3" s="169">
        <f t="shared" ref="B3:I3" si="0">B4</f>
        <v>3826.7471799710661</v>
      </c>
      <c r="C3" s="169">
        <f t="shared" si="0"/>
        <v>3850.3823617505013</v>
      </c>
      <c r="D3" s="169">
        <f t="shared" si="0"/>
        <v>3767.9650755489829</v>
      </c>
      <c r="E3" s="169">
        <f t="shared" si="0"/>
        <v>3751.2644931970517</v>
      </c>
      <c r="F3" s="169">
        <f t="shared" si="0"/>
        <v>3792.1276820114672</v>
      </c>
      <c r="G3" s="169">
        <f t="shared" si="0"/>
        <v>3829.831201863391</v>
      </c>
      <c r="H3" s="169">
        <f t="shared" si="0"/>
        <v>3883.4933818535656</v>
      </c>
      <c r="I3" s="169">
        <f t="shared" si="0"/>
        <v>3964.1148250792808</v>
      </c>
      <c r="J3" s="19"/>
      <c r="K3" s="15"/>
      <c r="L3" s="15"/>
      <c r="M3" s="15"/>
    </row>
    <row r="4" spans="1:13">
      <c r="A4" s="19"/>
      <c r="B4" s="170">
        <f>'NAV Trend'!C10/1000000000</f>
        <v>3826.7471799710661</v>
      </c>
      <c r="C4" s="170">
        <f>'NAV Trend'!D10/1000000000</f>
        <v>3850.3823617505013</v>
      </c>
      <c r="D4" s="170">
        <f>'NAV Trend'!E10/1000000000</f>
        <v>3767.9650755489829</v>
      </c>
      <c r="E4" s="170">
        <f>'NAV Trend'!F10/1000000000</f>
        <v>3751.2644931970517</v>
      </c>
      <c r="F4" s="170">
        <f>'NAV Trend'!G10/1000000000</f>
        <v>3792.1276820114672</v>
      </c>
      <c r="G4" s="170">
        <f>'NAV Trend'!H10/1000000000</f>
        <v>3829.831201863391</v>
      </c>
      <c r="H4" s="171">
        <f>'NAV Trend'!I10/1000000000</f>
        <v>3883.4933818535656</v>
      </c>
      <c r="I4" s="171">
        <f>'NAV Trend'!J10/1000000000</f>
        <v>3964.1148250792808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20"/>
    </row>
  </sheetData>
  <sheetProtection algorithmName="SHA-512" hashValue="bWBq+4z2GQ4kilS2L73YWHozGCjlVBEe9DBpP16VpFT/IGffhm28AiXTsP8MqjABwTr7LiWDkq4BZkZEyPpxyQ==" saltValue="j6/kx1L2zejhoZJ/bTZH1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0"/>
  <sheetViews>
    <sheetView workbookViewId="0">
      <selection activeCell="D8" sqref="D8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</row>
    <row r="2" spans="1:12">
      <c r="A2" s="167" t="s">
        <v>285</v>
      </c>
      <c r="B2" s="168">
        <v>45618</v>
      </c>
      <c r="C2" s="168">
        <v>45625</v>
      </c>
      <c r="D2" s="168">
        <v>45632</v>
      </c>
      <c r="E2" s="168">
        <v>45639</v>
      </c>
      <c r="F2" s="168">
        <v>45646</v>
      </c>
      <c r="G2" s="168">
        <v>45653</v>
      </c>
      <c r="H2" s="168">
        <v>45660</v>
      </c>
      <c r="I2" s="168">
        <v>45667</v>
      </c>
      <c r="J2" s="19"/>
      <c r="K2" s="19"/>
      <c r="L2" s="15"/>
    </row>
    <row r="3" spans="1:12">
      <c r="A3" s="167" t="s">
        <v>287</v>
      </c>
      <c r="B3" s="169">
        <f t="shared" ref="B3:I3" si="0">B4</f>
        <v>12.922326068600094</v>
      </c>
      <c r="C3" s="169">
        <f t="shared" si="0"/>
        <v>12.578926303585625</v>
      </c>
      <c r="D3" s="169">
        <f t="shared" si="0"/>
        <v>12.480727319636602</v>
      </c>
      <c r="E3" s="169">
        <f t="shared" si="0"/>
        <v>12.494363671946113</v>
      </c>
      <c r="F3" s="169">
        <f t="shared" si="0"/>
        <v>12.568890044927004</v>
      </c>
      <c r="G3" s="169">
        <f t="shared" si="0"/>
        <v>12.767135898969396</v>
      </c>
      <c r="H3" s="169">
        <f t="shared" si="0"/>
        <v>12.486443329167654</v>
      </c>
      <c r="I3" s="169">
        <f t="shared" si="0"/>
        <v>13.126291240540001</v>
      </c>
      <c r="J3" s="19"/>
      <c r="K3" s="19"/>
      <c r="L3" s="15"/>
    </row>
    <row r="4" spans="1:12">
      <c r="A4" s="19"/>
      <c r="B4" s="170">
        <f>'NAV Trend'!C16/1000000000</f>
        <v>12.922326068600094</v>
      </c>
      <c r="C4" s="170">
        <f>'NAV Trend'!D16/1000000000</f>
        <v>12.578926303585625</v>
      </c>
      <c r="D4" s="170">
        <f>'NAV Trend'!E16/1000000000</f>
        <v>12.480727319636602</v>
      </c>
      <c r="E4" s="170">
        <f>'NAV Trend'!F16/1000000000</f>
        <v>12.494363671946113</v>
      </c>
      <c r="F4" s="170">
        <f>'NAV Trend'!G16/1000000000</f>
        <v>12.568890044927004</v>
      </c>
      <c r="G4" s="170">
        <f>'NAV Trend'!H16/1000000000</f>
        <v>12.767135898969396</v>
      </c>
      <c r="H4" s="170">
        <f>'NAV Trend'!I16/1000000000</f>
        <v>12.486443329167654</v>
      </c>
      <c r="I4" s="171">
        <f>'NAV Trend'!J16/1000000000</f>
        <v>13.126291240540001</v>
      </c>
      <c r="J4" s="19"/>
      <c r="K4" s="19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sNOPC+5gvK2grBaVZzuA3owOjg6Ct97euyvdOgWiA+DNT4hU7ASsdxZjM5oVphXCMF0zTnd+W+zuAYj5Ih3vNw==" saltValue="1FU4lay/ztC+I2N861Zm4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G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281</v>
      </c>
      <c r="B1" s="2">
        <v>45611</v>
      </c>
      <c r="C1" s="2">
        <v>45618</v>
      </c>
      <c r="D1" s="2">
        <v>45625</v>
      </c>
      <c r="E1" s="2">
        <v>45632</v>
      </c>
      <c r="F1" s="2">
        <v>45639</v>
      </c>
      <c r="G1" s="2">
        <v>45646</v>
      </c>
      <c r="H1" s="2">
        <v>45653</v>
      </c>
      <c r="I1" s="2">
        <v>45660</v>
      </c>
      <c r="J1" s="2">
        <v>45667</v>
      </c>
    </row>
    <row r="2" spans="1:11">
      <c r="A2" s="3" t="s">
        <v>17</v>
      </c>
      <c r="B2" s="4">
        <v>30163797785.389999</v>
      </c>
      <c r="C2" s="4">
        <v>30063948704.580002</v>
      </c>
      <c r="D2" s="4">
        <v>29963223384.749996</v>
      </c>
      <c r="E2" s="4">
        <v>30290917801.960003</v>
      </c>
      <c r="F2" s="4">
        <v>30219679979.860001</v>
      </c>
      <c r="G2" s="4">
        <v>30560198280.420002</v>
      </c>
      <c r="H2" s="4">
        <v>31203064609.43</v>
      </c>
      <c r="I2" s="4">
        <v>32261498393.230003</v>
      </c>
      <c r="J2" s="4">
        <v>33411621797.110004</v>
      </c>
    </row>
    <row r="3" spans="1:11">
      <c r="A3" s="3" t="s">
        <v>54</v>
      </c>
      <c r="B3" s="4">
        <v>1544078501312.1094</v>
      </c>
      <c r="C3" s="4">
        <v>1568511463413.2886</v>
      </c>
      <c r="D3" s="4">
        <v>1581147259519.7791</v>
      </c>
      <c r="E3" s="4">
        <v>1605147165407.8784</v>
      </c>
      <c r="F3" s="4">
        <v>1617261517557.7881</v>
      </c>
      <c r="G3" s="4">
        <v>1651994114175.4978</v>
      </c>
      <c r="H3" s="4">
        <v>1680789898381.158</v>
      </c>
      <c r="I3" s="4">
        <v>1731331455377.9688</v>
      </c>
      <c r="J3" s="4">
        <v>1796163520217.4673</v>
      </c>
    </row>
    <row r="4" spans="1:11">
      <c r="A4" s="3" t="s">
        <v>282</v>
      </c>
      <c r="B4" s="5">
        <v>212512704820.16043</v>
      </c>
      <c r="C4" s="5">
        <v>211308718018.9035</v>
      </c>
      <c r="D4" s="5">
        <v>211817086273.75339</v>
      </c>
      <c r="E4" s="5">
        <v>200489400850.13455</v>
      </c>
      <c r="F4" s="5">
        <v>199225882213.46936</v>
      </c>
      <c r="G4" s="5">
        <v>198371804922.96381</v>
      </c>
      <c r="H4" s="5">
        <v>196299640514.55566</v>
      </c>
      <c r="I4" s="5">
        <v>196558953968.70349</v>
      </c>
      <c r="J4" s="5">
        <v>198624219481.39801</v>
      </c>
    </row>
    <row r="5" spans="1:11">
      <c r="A5" s="3" t="s">
        <v>158</v>
      </c>
      <c r="B5" s="4">
        <v>1779564267121.3723</v>
      </c>
      <c r="C5" s="4">
        <v>1806794587019.7612</v>
      </c>
      <c r="D5" s="4">
        <v>1817826880103.7505</v>
      </c>
      <c r="E5" s="4">
        <v>1721227403889.6946</v>
      </c>
      <c r="F5" s="4">
        <v>1693020111552.7451</v>
      </c>
      <c r="G5" s="4">
        <v>1699042162793.3723</v>
      </c>
      <c r="H5" s="4">
        <v>1708643961742.885</v>
      </c>
      <c r="I5" s="4">
        <v>1710039312371.6768</v>
      </c>
      <c r="J5" s="4">
        <v>1721273790884.4595</v>
      </c>
    </row>
    <row r="6" spans="1:11">
      <c r="A6" s="3" t="s">
        <v>283</v>
      </c>
      <c r="B6" s="6">
        <v>99228057377.56897</v>
      </c>
      <c r="C6" s="6">
        <v>99712365888.853806</v>
      </c>
      <c r="D6" s="6">
        <v>99287613486.429764</v>
      </c>
      <c r="E6" s="6">
        <v>99753756571.315765</v>
      </c>
      <c r="F6" s="6">
        <v>99992536244.061172</v>
      </c>
      <c r="G6" s="6">
        <v>100248262192.26375</v>
      </c>
      <c r="H6" s="6">
        <v>99946034003.712875</v>
      </c>
      <c r="I6" s="6">
        <v>100165676341.88785</v>
      </c>
      <c r="J6" s="6">
        <v>100814525942.29248</v>
      </c>
    </row>
    <row r="7" spans="1:11">
      <c r="A7" s="3" t="s">
        <v>196</v>
      </c>
      <c r="B7" s="7">
        <v>53058098833.391159</v>
      </c>
      <c r="C7" s="7">
        <v>53247703123.154457</v>
      </c>
      <c r="D7" s="7">
        <v>53277880968.774506</v>
      </c>
      <c r="E7" s="7">
        <v>53833340267.497757</v>
      </c>
      <c r="F7" s="7">
        <v>53880440218.66169</v>
      </c>
      <c r="G7" s="7">
        <v>54152150309.321541</v>
      </c>
      <c r="H7" s="7">
        <v>54717751907.536263</v>
      </c>
      <c r="I7" s="7">
        <v>54655185610.452072</v>
      </c>
      <c r="J7" s="7">
        <v>55198098021.346275</v>
      </c>
    </row>
    <row r="8" spans="1:11">
      <c r="A8" s="3" t="s">
        <v>228</v>
      </c>
      <c r="B8" s="6">
        <v>5640379430.5799999</v>
      </c>
      <c r="C8" s="6">
        <v>5652206919.4699993</v>
      </c>
      <c r="D8" s="6">
        <v>5645387282.9300003</v>
      </c>
      <c r="E8" s="6">
        <v>5746085220.3999996</v>
      </c>
      <c r="F8" s="6">
        <v>5750433945.7299995</v>
      </c>
      <c r="G8" s="6">
        <v>5821851798.3900003</v>
      </c>
      <c r="H8" s="6">
        <v>5883795695.79</v>
      </c>
      <c r="I8" s="6">
        <v>5956758809.29</v>
      </c>
      <c r="J8" s="6">
        <v>6053117697.3000002</v>
      </c>
    </row>
    <row r="9" spans="1:11">
      <c r="A9" s="3" t="s">
        <v>284</v>
      </c>
      <c r="B9" s="6">
        <v>51275165827.272346</v>
      </c>
      <c r="C9" s="6">
        <v>51456186883.054207</v>
      </c>
      <c r="D9" s="6">
        <v>51417030730.333893</v>
      </c>
      <c r="E9" s="6">
        <v>51477005540.102272</v>
      </c>
      <c r="F9" s="6">
        <v>51913891484.736198</v>
      </c>
      <c r="G9" s="6">
        <v>51937137539.237915</v>
      </c>
      <c r="H9" s="6">
        <v>52347055008.3237</v>
      </c>
      <c r="I9" s="6">
        <v>52524540980.356323</v>
      </c>
      <c r="J9" s="6">
        <v>52575931037.907692</v>
      </c>
    </row>
    <row r="10" spans="1:11" ht="15.6">
      <c r="A10" s="8" t="s">
        <v>288</v>
      </c>
      <c r="B10" s="9">
        <f t="shared" ref="B10:J10" si="0">SUM(B2:B9)</f>
        <v>3775520972507.8447</v>
      </c>
      <c r="C10" s="9">
        <f t="shared" si="0"/>
        <v>3826747179971.0659</v>
      </c>
      <c r="D10" s="9">
        <f t="shared" si="0"/>
        <v>3850382361750.5015</v>
      </c>
      <c r="E10" s="9">
        <f t="shared" si="0"/>
        <v>3767965075548.9829</v>
      </c>
      <c r="F10" s="9">
        <f t="shared" si="0"/>
        <v>3751264493197.0518</v>
      </c>
      <c r="G10" s="9">
        <f t="shared" si="0"/>
        <v>3792127682011.4673</v>
      </c>
      <c r="H10" s="9">
        <f t="shared" si="0"/>
        <v>3829831201863.3911</v>
      </c>
      <c r="I10" s="9">
        <f t="shared" si="0"/>
        <v>3883493381853.5654</v>
      </c>
      <c r="J10" s="9">
        <f t="shared" si="0"/>
        <v>3964114825079.2808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289</v>
      </c>
      <c r="B12" s="128" t="s">
        <v>290</v>
      </c>
      <c r="C12" s="13">
        <f>(B10+C10)/2</f>
        <v>3801134076239.4551</v>
      </c>
      <c r="D12" s="14">
        <f t="shared" ref="D12:J12" si="1">(C10+D10)/2</f>
        <v>3838564770860.7837</v>
      </c>
      <c r="E12" s="14">
        <f t="shared" si="1"/>
        <v>3809173718649.7422</v>
      </c>
      <c r="F12" s="14">
        <f t="shared" si="1"/>
        <v>3759614784373.0176</v>
      </c>
      <c r="G12" s="14">
        <f t="shared" si="1"/>
        <v>3771696087604.2598</v>
      </c>
      <c r="H12" s="14">
        <f t="shared" si="1"/>
        <v>3810979441937.4292</v>
      </c>
      <c r="I12" s="14">
        <f t="shared" si="1"/>
        <v>3856662291858.4785</v>
      </c>
      <c r="J12" s="14">
        <f t="shared" si="1"/>
        <v>3923804103466.4229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45611</v>
      </c>
      <c r="C15" s="2">
        <v>45618</v>
      </c>
      <c r="D15" s="2">
        <v>45625</v>
      </c>
      <c r="E15" s="2">
        <v>45632</v>
      </c>
      <c r="F15" s="2">
        <v>45639</v>
      </c>
      <c r="G15" s="2">
        <v>45646</v>
      </c>
      <c r="H15" s="2">
        <v>45653</v>
      </c>
      <c r="I15" s="2">
        <v>45660</v>
      </c>
      <c r="J15" s="2">
        <v>45667</v>
      </c>
      <c r="K15" s="15"/>
    </row>
    <row r="16" spans="1:11">
      <c r="A16" s="16" t="s">
        <v>291</v>
      </c>
      <c r="B16" s="17">
        <v>12879805353.68187</v>
      </c>
      <c r="C16" s="17">
        <v>12922326068.600094</v>
      </c>
      <c r="D16" s="17">
        <v>12578926303.585625</v>
      </c>
      <c r="E16" s="17">
        <v>12480727319.636602</v>
      </c>
      <c r="F16" s="17">
        <v>12494363671.946114</v>
      </c>
      <c r="G16" s="17">
        <v>12568890044.927004</v>
      </c>
      <c r="H16" s="17">
        <v>12767135898.969397</v>
      </c>
      <c r="I16" s="17">
        <v>12486443329.167654</v>
      </c>
      <c r="J16" s="17">
        <v>13126291240.540001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43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/ZgJe3Soq1cN7xBxxW+BHuO6uIN25X7SFRWPYOwiiXBj45dMBSZpUTthBgOqHRaoLwKChxI8Ra0IDT/uFRdv0w==" saltValue="94JjpkY1cxfX0RhTmdHsAw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2025-01-22T15:42:41Z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