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8" i="1" l="1"/>
  <c r="M118" i="1"/>
  <c r="K118" i="1"/>
  <c r="N117" i="1"/>
  <c r="M117" i="1"/>
  <c r="K117" i="1"/>
  <c r="N129" i="1"/>
  <c r="M129" i="1"/>
  <c r="K129" i="1"/>
  <c r="N106" i="1" l="1"/>
  <c r="M106" i="1"/>
  <c r="K106" i="1"/>
  <c r="N111" i="1"/>
  <c r="M111" i="1"/>
  <c r="K111" i="1"/>
  <c r="N110" i="1" l="1"/>
  <c r="M110" i="1"/>
  <c r="K110" i="1"/>
  <c r="N124" i="1"/>
  <c r="M124" i="1"/>
  <c r="K124" i="1"/>
  <c r="N107" i="1"/>
  <c r="M107" i="1"/>
  <c r="K107" i="1"/>
  <c r="N128" i="1"/>
  <c r="M128" i="1"/>
  <c r="K128" i="1"/>
  <c r="N119" i="1" l="1"/>
  <c r="M119" i="1"/>
  <c r="K119" i="1"/>
  <c r="N127" i="1" l="1"/>
  <c r="M127" i="1"/>
  <c r="N131" i="1" l="1"/>
  <c r="M131" i="1"/>
  <c r="K131" i="1"/>
  <c r="N133" i="1" l="1"/>
  <c r="M133" i="1"/>
  <c r="K133" i="1"/>
  <c r="N120" i="1"/>
  <c r="M120" i="1"/>
  <c r="K120" i="1"/>
  <c r="N123" i="1"/>
  <c r="M123" i="1"/>
  <c r="K123" i="1"/>
  <c r="N108" i="1"/>
  <c r="M108" i="1"/>
  <c r="K108" i="1"/>
  <c r="N135" i="1"/>
  <c r="M135" i="1"/>
  <c r="K135" i="1"/>
  <c r="N112" i="1"/>
  <c r="M112" i="1"/>
  <c r="K112" i="1"/>
  <c r="D112" i="1"/>
  <c r="F112" i="1"/>
  <c r="G112" i="1"/>
  <c r="N109" i="1" l="1"/>
  <c r="M109" i="1"/>
  <c r="K109" i="1"/>
  <c r="N130" i="1" l="1"/>
  <c r="M130" i="1"/>
  <c r="N116" i="1"/>
  <c r="M116" i="1"/>
  <c r="K116" i="1"/>
  <c r="G135" i="1" l="1"/>
  <c r="F135" i="1"/>
  <c r="G133" i="1"/>
  <c r="F133" i="1"/>
  <c r="G131" i="1"/>
  <c r="F131" i="1"/>
  <c r="G130" i="1"/>
  <c r="F130" i="1"/>
  <c r="G129" i="1"/>
  <c r="F129" i="1"/>
  <c r="G128" i="1"/>
  <c r="F128" i="1"/>
  <c r="G127" i="1"/>
  <c r="F127" i="1"/>
  <c r="G124" i="1"/>
  <c r="F124" i="1"/>
  <c r="G123" i="1"/>
  <c r="F123" i="1"/>
  <c r="D135" i="1"/>
  <c r="D133" i="1"/>
  <c r="D131" i="1"/>
  <c r="D129" i="1"/>
  <c r="D128" i="1"/>
  <c r="D124" i="1"/>
  <c r="D123" i="1"/>
  <c r="G120" i="1"/>
  <c r="F120" i="1"/>
  <c r="G119" i="1"/>
  <c r="F119" i="1"/>
  <c r="G118" i="1"/>
  <c r="F118" i="1"/>
  <c r="G117" i="1"/>
  <c r="F117" i="1"/>
  <c r="G116" i="1"/>
  <c r="F116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D120" i="1"/>
  <c r="D119" i="1"/>
  <c r="D118" i="1"/>
  <c r="D117" i="1"/>
  <c r="D116" i="1"/>
  <c r="D111" i="1"/>
  <c r="D110" i="1"/>
  <c r="D109" i="1"/>
  <c r="D108" i="1"/>
  <c r="D107" i="1"/>
  <c r="D106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D4" i="6"/>
  <c r="C4" i="6"/>
  <c r="B4" i="6"/>
  <c r="B3" i="6" s="1"/>
  <c r="E3" i="6"/>
  <c r="D3" i="6"/>
  <c r="C3" i="6"/>
  <c r="G4" i="5"/>
  <c r="G3" i="5" s="1"/>
  <c r="F4" i="5"/>
  <c r="F3" i="5" s="1"/>
  <c r="V230" i="1"/>
  <c r="U230" i="1"/>
  <c r="S230" i="1"/>
  <c r="O230" i="1"/>
  <c r="K230" i="1"/>
  <c r="H230" i="1"/>
  <c r="D230" i="1"/>
  <c r="E228" i="1" s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V218" i="1"/>
  <c r="U218" i="1"/>
  <c r="T218" i="1"/>
  <c r="S218" i="1"/>
  <c r="R218" i="1"/>
  <c r="O215" i="1"/>
  <c r="K215" i="1"/>
  <c r="L214" i="1" s="1"/>
  <c r="H215" i="1"/>
  <c r="D215" i="1"/>
  <c r="E214" i="1" s="1"/>
  <c r="V214" i="1"/>
  <c r="U214" i="1"/>
  <c r="T214" i="1"/>
  <c r="S214" i="1"/>
  <c r="R214" i="1"/>
  <c r="V213" i="1"/>
  <c r="U213" i="1"/>
  <c r="T213" i="1"/>
  <c r="S213" i="1"/>
  <c r="R213" i="1"/>
  <c r="O210" i="1"/>
  <c r="K210" i="1"/>
  <c r="L209" i="1" s="1"/>
  <c r="H210" i="1"/>
  <c r="D210" i="1"/>
  <c r="V209" i="1"/>
  <c r="U209" i="1"/>
  <c r="T209" i="1"/>
  <c r="S209" i="1"/>
  <c r="R209" i="1"/>
  <c r="V205" i="1"/>
  <c r="U205" i="1"/>
  <c r="S205" i="1"/>
  <c r="O205" i="1"/>
  <c r="K205" i="1"/>
  <c r="H205" i="1"/>
  <c r="D205" i="1"/>
  <c r="B20" i="2" s="1"/>
  <c r="B10" i="2" s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7" i="1"/>
  <c r="U187" i="1"/>
  <c r="T187" i="1"/>
  <c r="S187" i="1"/>
  <c r="R187" i="1"/>
  <c r="V186" i="1"/>
  <c r="U186" i="1"/>
  <c r="T186" i="1"/>
  <c r="S186" i="1"/>
  <c r="R186" i="1"/>
  <c r="V182" i="1"/>
  <c r="U182" i="1"/>
  <c r="S182" i="1"/>
  <c r="O182" i="1"/>
  <c r="K182" i="1"/>
  <c r="B2" i="3" s="1"/>
  <c r="H182" i="1"/>
  <c r="D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6" i="1"/>
  <c r="U176" i="1"/>
  <c r="S176" i="1"/>
  <c r="O176" i="1"/>
  <c r="K176" i="1"/>
  <c r="H176" i="1"/>
  <c r="D176" i="1"/>
  <c r="E152" i="1" s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D144" i="1"/>
  <c r="E142" i="1" s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S139" i="1"/>
  <c r="R139" i="1"/>
  <c r="V136" i="1"/>
  <c r="U136" i="1"/>
  <c r="S136" i="1"/>
  <c r="O136" i="1"/>
  <c r="H136" i="1"/>
  <c r="V135" i="1"/>
  <c r="U135" i="1"/>
  <c r="T135" i="1"/>
  <c r="R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S132" i="1"/>
  <c r="R132" i="1"/>
  <c r="V131" i="1"/>
  <c r="U131" i="1"/>
  <c r="T131" i="1"/>
  <c r="S131" i="1"/>
  <c r="V130" i="1"/>
  <c r="U130" i="1"/>
  <c r="T130" i="1"/>
  <c r="R130" i="1"/>
  <c r="S130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R127" i="1"/>
  <c r="V126" i="1"/>
  <c r="U126" i="1"/>
  <c r="T126" i="1"/>
  <c r="S126" i="1"/>
  <c r="R126" i="1"/>
  <c r="V125" i="1"/>
  <c r="U125" i="1"/>
  <c r="T125" i="1"/>
  <c r="S125" i="1"/>
  <c r="R125" i="1"/>
  <c r="V124" i="1"/>
  <c r="U124" i="1"/>
  <c r="T124" i="1"/>
  <c r="S124" i="1"/>
  <c r="V123" i="1"/>
  <c r="U123" i="1"/>
  <c r="T123" i="1"/>
  <c r="S123" i="1"/>
  <c r="R123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R112" i="1"/>
  <c r="V111" i="1"/>
  <c r="U111" i="1"/>
  <c r="T111" i="1"/>
  <c r="S111" i="1"/>
  <c r="V110" i="1"/>
  <c r="U110" i="1"/>
  <c r="T110" i="1"/>
  <c r="S110" i="1"/>
  <c r="V109" i="1"/>
  <c r="U109" i="1"/>
  <c r="T109" i="1"/>
  <c r="S109" i="1"/>
  <c r="R109" i="1"/>
  <c r="V108" i="1"/>
  <c r="U108" i="1"/>
  <c r="T108" i="1"/>
  <c r="S108" i="1"/>
  <c r="V107" i="1"/>
  <c r="U107" i="1"/>
  <c r="T107" i="1"/>
  <c r="S107" i="1"/>
  <c r="V106" i="1"/>
  <c r="U106" i="1"/>
  <c r="T106" i="1"/>
  <c r="R106" i="1"/>
  <c r="S106" i="1"/>
  <c r="V102" i="1"/>
  <c r="U102" i="1"/>
  <c r="S102" i="1"/>
  <c r="O102" i="1"/>
  <c r="K102" i="1"/>
  <c r="L98" i="1" s="1"/>
  <c r="H102" i="1"/>
  <c r="D102" i="1"/>
  <c r="B15" i="2" s="1"/>
  <c r="B5" i="2" s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3" i="1"/>
  <c r="U63" i="1"/>
  <c r="S63" i="1"/>
  <c r="O63" i="1"/>
  <c r="K63" i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R210" i="1" l="1"/>
  <c r="B5" i="3"/>
  <c r="L156" i="1"/>
  <c r="L21" i="1"/>
  <c r="L7" i="1"/>
  <c r="D4" i="5"/>
  <c r="D3" i="5" s="1"/>
  <c r="B4" i="3"/>
  <c r="L192" i="1"/>
  <c r="R230" i="1"/>
  <c r="E226" i="1"/>
  <c r="E224" i="1"/>
  <c r="E222" i="1"/>
  <c r="E8" i="1"/>
  <c r="L201" i="1"/>
  <c r="E187" i="1"/>
  <c r="T230" i="1"/>
  <c r="J12" i="4"/>
  <c r="E12" i="1"/>
  <c r="E10" i="1"/>
  <c r="E6" i="1"/>
  <c r="E18" i="1"/>
  <c r="E191" i="1"/>
  <c r="E213" i="1"/>
  <c r="E220" i="1"/>
  <c r="E154" i="1"/>
  <c r="L170" i="1"/>
  <c r="E80" i="1"/>
  <c r="E168" i="1"/>
  <c r="E158" i="1"/>
  <c r="E22" i="1"/>
  <c r="E45" i="1"/>
  <c r="E20" i="1"/>
  <c r="E148" i="1"/>
  <c r="E16" i="1"/>
  <c r="E162" i="1"/>
  <c r="E69" i="1"/>
  <c r="E100" i="1"/>
  <c r="E96" i="1"/>
  <c r="E72" i="1"/>
  <c r="E94" i="1"/>
  <c r="S135" i="1"/>
  <c r="E150" i="1"/>
  <c r="E166" i="1"/>
  <c r="E218" i="1"/>
  <c r="E229" i="1"/>
  <c r="E92" i="1"/>
  <c r="E90" i="1"/>
  <c r="E74" i="1"/>
  <c r="E66" i="1"/>
  <c r="E68" i="1"/>
  <c r="E140" i="1"/>
  <c r="T182" i="1"/>
  <c r="E86" i="1"/>
  <c r="E78" i="1"/>
  <c r="E98" i="1"/>
  <c r="E84" i="1"/>
  <c r="E67" i="1"/>
  <c r="E76" i="1"/>
  <c r="E82" i="1"/>
  <c r="L23" i="1"/>
  <c r="E89" i="1"/>
  <c r="E91" i="1"/>
  <c r="E93" i="1"/>
  <c r="E95" i="1"/>
  <c r="E97" i="1"/>
  <c r="E99" i="1"/>
  <c r="E101" i="1"/>
  <c r="E174" i="1"/>
  <c r="E219" i="1"/>
  <c r="E221" i="1"/>
  <c r="E223" i="1"/>
  <c r="E225" i="1"/>
  <c r="E227" i="1"/>
  <c r="L19" i="1"/>
  <c r="E71" i="1"/>
  <c r="E73" i="1"/>
  <c r="E75" i="1"/>
  <c r="E77" i="1"/>
  <c r="E79" i="1"/>
  <c r="E81" i="1"/>
  <c r="E83" i="1"/>
  <c r="E85" i="1"/>
  <c r="E87" i="1"/>
  <c r="E170" i="1"/>
  <c r="E172" i="1"/>
  <c r="L15" i="1"/>
  <c r="E164" i="1"/>
  <c r="T136" i="1"/>
  <c r="L11" i="1"/>
  <c r="L139" i="1"/>
  <c r="L143" i="1"/>
  <c r="E160" i="1"/>
  <c r="L229" i="1"/>
  <c r="T63" i="1"/>
  <c r="L179" i="1"/>
  <c r="L181" i="1"/>
  <c r="E194" i="1"/>
  <c r="E196" i="1"/>
  <c r="E198" i="1"/>
  <c r="E200" i="1"/>
  <c r="T205" i="1"/>
  <c r="L6" i="1"/>
  <c r="L10" i="1"/>
  <c r="L14" i="1"/>
  <c r="L18" i="1"/>
  <c r="L22" i="1"/>
  <c r="E156" i="1"/>
  <c r="E186" i="1"/>
  <c r="E190" i="1"/>
  <c r="E192" i="1"/>
  <c r="E204" i="1"/>
  <c r="H206" i="1"/>
  <c r="H231" i="1" s="1"/>
  <c r="R215" i="1"/>
  <c r="D136" i="1"/>
  <c r="E120" i="1" s="1"/>
  <c r="T102" i="1"/>
  <c r="L142" i="1"/>
  <c r="T144" i="1"/>
  <c r="L174" i="1"/>
  <c r="T176" i="1"/>
  <c r="L180" i="1"/>
  <c r="E195" i="1"/>
  <c r="E197" i="1"/>
  <c r="E199" i="1"/>
  <c r="E201" i="1"/>
  <c r="C4" i="5"/>
  <c r="C3" i="5" s="1"/>
  <c r="D12" i="4"/>
  <c r="G12" i="4"/>
  <c r="H4" i="5"/>
  <c r="H3" i="5" s="1"/>
  <c r="I12" i="4"/>
  <c r="E88" i="1"/>
  <c r="L41" i="1"/>
  <c r="L61" i="1"/>
  <c r="L166" i="1"/>
  <c r="L162" i="1"/>
  <c r="L158" i="1"/>
  <c r="L154" i="1"/>
  <c r="L150" i="1"/>
  <c r="L147" i="1"/>
  <c r="L151" i="1"/>
  <c r="L155" i="1"/>
  <c r="L159" i="1"/>
  <c r="L163" i="1"/>
  <c r="L167" i="1"/>
  <c r="L171" i="1"/>
  <c r="L175" i="1"/>
  <c r="L76" i="1"/>
  <c r="L100" i="1"/>
  <c r="L57" i="1"/>
  <c r="L55" i="1"/>
  <c r="L53" i="1"/>
  <c r="L51" i="1"/>
  <c r="L59" i="1"/>
  <c r="L49" i="1"/>
  <c r="L47" i="1"/>
  <c r="E52" i="1"/>
  <c r="E54" i="1"/>
  <c r="E56" i="1"/>
  <c r="E58" i="1"/>
  <c r="E60" i="1"/>
  <c r="E62" i="1"/>
  <c r="E50" i="1"/>
  <c r="E48" i="1"/>
  <c r="E46" i="1"/>
  <c r="L190" i="1"/>
  <c r="L195" i="1"/>
  <c r="L186" i="1"/>
  <c r="L193" i="1"/>
  <c r="L197" i="1"/>
  <c r="L221" i="1"/>
  <c r="L225" i="1"/>
  <c r="L219" i="1"/>
  <c r="L223" i="1"/>
  <c r="L227" i="1"/>
  <c r="L218" i="1"/>
  <c r="L220" i="1"/>
  <c r="L222" i="1"/>
  <c r="L224" i="1"/>
  <c r="L226" i="1"/>
  <c r="L228" i="1"/>
  <c r="L84" i="1"/>
  <c r="L92" i="1"/>
  <c r="L199" i="1"/>
  <c r="L69" i="1"/>
  <c r="E70" i="1"/>
  <c r="L72" i="1"/>
  <c r="L80" i="1"/>
  <c r="L96" i="1"/>
  <c r="L45" i="1"/>
  <c r="L148" i="1"/>
  <c r="L149" i="1"/>
  <c r="L152" i="1"/>
  <c r="L153" i="1"/>
  <c r="L157" i="1"/>
  <c r="L160" i="1"/>
  <c r="L161" i="1"/>
  <c r="L164" i="1"/>
  <c r="L165" i="1"/>
  <c r="L168" i="1"/>
  <c r="L169" i="1"/>
  <c r="L172" i="1"/>
  <c r="L173" i="1"/>
  <c r="L67" i="1"/>
  <c r="L74" i="1"/>
  <c r="L78" i="1"/>
  <c r="L82" i="1"/>
  <c r="L86" i="1"/>
  <c r="L90" i="1"/>
  <c r="L94" i="1"/>
  <c r="R144" i="1"/>
  <c r="L140" i="1"/>
  <c r="L141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E42" i="1"/>
  <c r="L43" i="1"/>
  <c r="E44" i="1"/>
  <c r="L8" i="1"/>
  <c r="L9" i="1"/>
  <c r="L12" i="1"/>
  <c r="L13" i="1"/>
  <c r="L16" i="1"/>
  <c r="L17" i="1"/>
  <c r="L20" i="1"/>
  <c r="R176" i="1"/>
  <c r="B7" i="3"/>
  <c r="C15" i="2"/>
  <c r="C5" i="2" s="1"/>
  <c r="R108" i="1"/>
  <c r="R110" i="1"/>
  <c r="R111" i="1"/>
  <c r="R117" i="1"/>
  <c r="E7" i="1"/>
  <c r="E9" i="1"/>
  <c r="E11" i="1"/>
  <c r="E13" i="1"/>
  <c r="E15" i="1"/>
  <c r="E17" i="1"/>
  <c r="E19" i="1"/>
  <c r="E21" i="1"/>
  <c r="E23" i="1"/>
  <c r="B3" i="3"/>
  <c r="C13" i="2"/>
  <c r="C3" i="2" s="1"/>
  <c r="O206" i="1"/>
  <c r="O231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R63" i="1"/>
  <c r="L66" i="1"/>
  <c r="L68" i="1"/>
  <c r="L70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R102" i="1"/>
  <c r="K136" i="1"/>
  <c r="L117" i="1" s="1"/>
  <c r="R107" i="1"/>
  <c r="R120" i="1"/>
  <c r="R124" i="1"/>
  <c r="S127" i="1"/>
  <c r="B19" i="2"/>
  <c r="B9" i="2" s="1"/>
  <c r="E181" i="1"/>
  <c r="E179" i="1"/>
  <c r="B13" i="2"/>
  <c r="B3" i="2" s="1"/>
  <c r="R24" i="1"/>
  <c r="T24" i="1"/>
  <c r="B8" i="3"/>
  <c r="C14" i="2"/>
  <c r="C4" i="2" s="1"/>
  <c r="L88" i="1"/>
  <c r="R129" i="1"/>
  <c r="R131" i="1"/>
  <c r="R133" i="1"/>
  <c r="B17" i="2"/>
  <c r="B7" i="2" s="1"/>
  <c r="E143" i="1"/>
  <c r="E141" i="1"/>
  <c r="E139" i="1"/>
  <c r="B18" i="2"/>
  <c r="B8" i="2" s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80" i="1"/>
  <c r="R182" i="1"/>
  <c r="L187" i="1"/>
  <c r="L191" i="1"/>
  <c r="L194" i="1"/>
  <c r="L196" i="1"/>
  <c r="L198" i="1"/>
  <c r="L200" i="1"/>
  <c r="L204" i="1"/>
  <c r="R205" i="1"/>
  <c r="E209" i="1"/>
  <c r="L213" i="1"/>
  <c r="C17" i="2"/>
  <c r="C7" i="2" s="1"/>
  <c r="C18" i="2"/>
  <c r="C8" i="2" s="1"/>
  <c r="C19" i="2"/>
  <c r="C9" i="2" s="1"/>
  <c r="C20" i="2"/>
  <c r="C10" i="2" s="1"/>
  <c r="E123" i="1" l="1"/>
  <c r="E127" i="1"/>
  <c r="E128" i="1"/>
  <c r="E119" i="1"/>
  <c r="E106" i="1"/>
  <c r="E110" i="1"/>
  <c r="E124" i="1"/>
  <c r="D206" i="1"/>
  <c r="E63" i="1" s="1"/>
  <c r="E117" i="1"/>
  <c r="E133" i="1"/>
  <c r="E125" i="1"/>
  <c r="E108" i="1"/>
  <c r="E109" i="1"/>
  <c r="E135" i="1"/>
  <c r="E131" i="1"/>
  <c r="E112" i="1"/>
  <c r="E126" i="1"/>
  <c r="E113" i="1"/>
  <c r="E130" i="1"/>
  <c r="E129" i="1"/>
  <c r="E115" i="1"/>
  <c r="E132" i="1"/>
  <c r="E116" i="1"/>
  <c r="B16" i="2"/>
  <c r="B6" i="2" s="1"/>
  <c r="E118" i="1"/>
  <c r="E114" i="1"/>
  <c r="E107" i="1"/>
  <c r="L131" i="1"/>
  <c r="K206" i="1"/>
  <c r="L136" i="1" s="1"/>
  <c r="L124" i="1"/>
  <c r="L108" i="1"/>
  <c r="B9" i="3"/>
  <c r="C16" i="2"/>
  <c r="C6" i="2" s="1"/>
  <c r="L134" i="1"/>
  <c r="L127" i="1"/>
  <c r="L135" i="1"/>
  <c r="L132" i="1"/>
  <c r="L130" i="1"/>
  <c r="R136" i="1"/>
  <c r="L128" i="1"/>
  <c r="L126" i="1"/>
  <c r="L125" i="1"/>
  <c r="L123" i="1"/>
  <c r="L119" i="1"/>
  <c r="L115" i="1"/>
  <c r="L113" i="1"/>
  <c r="L106" i="1"/>
  <c r="L118" i="1"/>
  <c r="L116" i="1"/>
  <c r="L114" i="1"/>
  <c r="L112" i="1"/>
  <c r="L109" i="1"/>
  <c r="L107" i="1"/>
  <c r="L133" i="1"/>
  <c r="L129" i="1"/>
  <c r="L120" i="1"/>
  <c r="L110" i="1"/>
  <c r="L111" i="1"/>
  <c r="E182" i="1" l="1"/>
  <c r="E102" i="1"/>
  <c r="E176" i="1"/>
  <c r="E144" i="1"/>
  <c r="E205" i="1"/>
  <c r="D231" i="1"/>
  <c r="E24" i="1"/>
  <c r="E136" i="1"/>
  <c r="K231" i="1"/>
  <c r="R206" i="1"/>
  <c r="L182" i="1"/>
  <c r="L24" i="1"/>
  <c r="L176" i="1"/>
  <c r="L144" i="1"/>
  <c r="L63" i="1"/>
  <c r="L102" i="1"/>
  <c r="L205" i="1"/>
</calcChain>
</file>

<file path=xl/sharedStrings.xml><?xml version="1.0" encoding="utf-8"?>
<sst xmlns="http://schemas.openxmlformats.org/spreadsheetml/2006/main" count="477" uniqueCount="303">
  <si>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</si>
  <si>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</si>
  <si>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</si>
  <si>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</si>
  <si>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</si>
  <si>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</si>
  <si>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</si>
  <si>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</si>
  <si>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</si>
  <si>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</si>
  <si>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</si>
  <si>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</si>
  <si>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</si>
  <si>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</si>
  <si>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</si>
  <si>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</si>
  <si>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</si>
  <si>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</si>
  <si>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</si>
  <si>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</si>
  <si>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</si>
  <si>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</si>
  <si>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</si>
  <si>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</si>
  <si>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</si>
  <si>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</si>
  <si>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</si>
  <si>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</si>
  <si>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</si>
  <si>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</si>
  <si>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</si>
  <si>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</si>
  <si>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</si>
  <si>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</si>
  <si>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</si>
  <si>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</si>
  <si>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</si>
  <si>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</si>
  <si>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</si>
  <si>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</si>
  <si>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</si>
  <si>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</si>
  <si>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</si>
  <si>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</si>
  <si>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</si>
  <si>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</si>
  <si>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</si>
  <si>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</si>
  <si>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</si>
  <si>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</si>
  <si>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</si>
  <si>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</si>
  <si>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</si>
  <si>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</si>
  <si>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</si>
  <si>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</si>
  <si>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</si>
  <si>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</si>
  <si>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</si>
  <si>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</si>
  <si>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</si>
  <si>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</si>
  <si>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</si>
  <si>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</si>
  <si>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</si>
  <si>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</si>
  <si>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</si>
  <si>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</si>
  <si>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</si>
  <si>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</si>
  <si>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</si>
  <si>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</si>
  <si>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</si>
  <si>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</si>
  <si>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</si>
  <si>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</si>
  <si>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</si>
  <si>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</si>
  <si>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</si>
  <si>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</si>
  <si>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</si>
  <si>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</si>
  <si>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</si>
  <si>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</si>
  <si>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</si>
  <si>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</si>
  <si>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</si>
  <si>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</si>
  <si>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</si>
  <si>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</si>
  <si>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</si>
  <si>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</si>
  <si>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</si>
  <si>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</si>
  <si>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</si>
  <si>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</si>
  <si>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</si>
  <si>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</si>
  <si>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</si>
  <si>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</si>
  <si>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</si>
  <si>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</si>
  <si>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</si>
  <si>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</si>
  <si>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</si>
  <si>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</si>
  <si>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</si>
  <si>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</si>
  <si>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</si>
  <si>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</si>
  <si>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</si>
  <si>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</si>
  <si>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</si>
  <si>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</si>
  <si>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</si>
  <si>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</si>
  <si>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</si>
  <si>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</si>
  <si>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</si>
  <si>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</si>
  <si>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</si>
  <si>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</si>
  <si>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</si>
  <si>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</si>
  <si>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</si>
  <si>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</si>
  <si>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</si>
  <si>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</si>
  <si>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</si>
  <si>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</si>
  <si>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</si>
  <si>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</si>
  <si>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</si>
  <si>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</si>
  <si>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</si>
  <si>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</si>
  <si>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</si>
  <si>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</si>
  <si>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</si>
  <si>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</si>
  <si>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</si>
  <si>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</si>
  <si>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</si>
  <si>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</si>
  <si>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</si>
  <si>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</si>
  <si>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</si>
  <si>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</si>
  <si>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</si>
  <si>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</si>
  <si>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</si>
  <si>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</si>
  <si>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</si>
  <si>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</si>
  <si>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</si>
  <si>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</si>
  <si>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</si>
  <si>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</si>
  <si>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</si>
  <si>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</si>
  <si>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</si>
  <si>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</si>
  <si>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</si>
  <si>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</si>
  <si>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</si>
  <si>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</si>
  <si>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</si>
  <si>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</si>
  <si>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</si>
  <si>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</si>
  <si>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</si>
  <si>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</si>
  <si>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</si>
  <si>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</si>
  <si>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</si>
  <si>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</si>
  <si>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</si>
  <si>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</si>
  <si>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</si>
  <si>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</si>
  <si>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</si>
  <si>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</si>
  <si>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</si>
  <si>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</si>
  <si>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</si>
  <si>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</si>
  <si>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</si>
  <si>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</si>
  <si>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</si>
  <si>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</si>
  <si>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</si>
  <si>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</si>
  <si>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</si>
  <si>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</si>
  <si>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</si>
  <si>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</si>
  <si>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</si>
  <si>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</si>
  <si>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</si>
  <si>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</si>
  <si>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</si>
  <si>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</si>
  <si>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</si>
  <si>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</si>
  <si>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</si>
  <si>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</si>
  <si>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</si>
  <si>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</si>
  <si>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</si>
  <si>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</si>
  <si>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</si>
  <si>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</si>
  <si>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</si>
  <si>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</si>
  <si>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</si>
  <si>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</si>
  <si>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</si>
  <si>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</si>
  <si>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</si>
  <si>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</si>
  <si>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</si>
  <si>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</si>
  <si>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</si>
  <si>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</si>
  <si>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</si>
  <si>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</si>
  <si>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</si>
  <si>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</si>
  <si>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</si>
  <si>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</si>
  <si>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</si>
  <si>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</si>
  <si>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</si>
  <si>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</si>
  <si>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</si>
  <si>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</si>
  <si>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</si>
  <si>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</si>
  <si>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</si>
  <si>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</si>
  <si>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</si>
  <si>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</si>
  <si>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</si>
  <si>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</si>
  <si>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</si>
  <si>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</si>
  <si>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</si>
  <si>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</si>
  <si>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</si>
  <si>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</si>
  <si>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</si>
  <si>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</si>
  <si>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</si>
  <si>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</si>
  <si>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</si>
  <si>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</si>
  <si>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</si>
  <si>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</si>
  <si>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</si>
  <si>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</si>
  <si>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</si>
  <si>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</si>
  <si>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</si>
  <si>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</si>
  <si>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</si>
  <si>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</si>
  <si>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</si>
  <si>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</si>
  <si>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</si>
  <si>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</si>
  <si>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</si>
  <si>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</si>
  <si>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</si>
  <si>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</si>
  <si>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</si>
  <si>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</si>
  <si>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</si>
  <si>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</si>
  <si>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</si>
  <si>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</si>
  <si>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</si>
  <si>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</si>
  <si>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</si>
  <si>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</si>
  <si>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</si>
  <si>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</si>
  <si>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</si>
  <si>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</si>
  <si>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</si>
  <si>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</si>
  <si>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</si>
  <si>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</si>
  <si>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</si>
  <si>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</si>
  <si>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NAV, Unit Price and Yield as at Week Ended November 22, 2024</t>
  </si>
  <si>
    <t>Week Ended November 22, 2024</t>
  </si>
  <si>
    <t>WEEKLY VALUATION REPORT OF COLLECTIVE INVESTMENT SCHEMES AS AT WEEK ENDED FRIDAY, NOVEMBER 29, 2024</t>
  </si>
  <si>
    <t>NAV, Unit Price and Yield as at Week Ended November 29, 2024</t>
  </si>
  <si>
    <r>
      <t>US$/NG</t>
    </r>
    <r>
      <rPr>
        <b/>
        <strike/>
        <sz val="6"/>
        <color theme="0"/>
        <rFont val="Times New Roman"/>
        <family val="1"/>
      </rPr>
      <t>N</t>
    </r>
    <r>
      <rPr>
        <b/>
        <sz val="6"/>
        <color theme="0"/>
        <rFont val="Times New Roman"/>
        <family val="1"/>
      </rPr>
      <t xml:space="preserve"> I&amp;E as at 29th November, 2024 = N1,663.896</t>
    </r>
  </si>
  <si>
    <t xml:space="preserve">  1,047.34 </t>
  </si>
  <si>
    <t>0.09%</t>
  </si>
  <si>
    <t>Week Ended November 29, 2024</t>
  </si>
  <si>
    <t>The chart above shows that the Dollar Fund category (Eurobonds and Fixed Income) has the highest share of the Aggregate Net Asset Value (NAV) at 47.21%, followed by Money Market Fund with 41.06%, Bond/Fixed Income Fund at 5.50%, Real Estate Investment Trust at 2.58%.  Next is Balanced Fund at 1.38%, Shari'ah Compliant Fund at 1.34%, Equity Fund at 0.78%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</si>
</sst>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8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b/>
      <strike/>
      <sz val="6"/>
      <color theme="0"/>
      <name val="Times New Roman"/>
      <family val="1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43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21" borderId="0" applyNumberFormat="0" applyBorder="0" applyAlignment="0" applyProtection="0"/>
    <xf numFmtId="0" fontId="45" fillId="0" borderId="0"/>
    <xf numFmtId="0" fontId="49" fillId="0" borderId="0"/>
    <xf numFmtId="0" fontId="46" fillId="0" borderId="0"/>
    <xf numFmtId="9" fontId="4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4" fillId="0" borderId="0" xfId="0" applyFont="1" applyBorder="1" applyAlignment="1">
      <alignment horizontal="right"/>
    </xf>
    <xf numFmtId="16" fontId="14" fillId="2" borderId="0" xfId="0" applyNumberFormat="1" applyFont="1" applyFill="1" applyBorder="1" applyAlignment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right" wrapText="1"/>
    </xf>
    <xf numFmtId="4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right"/>
    </xf>
    <xf numFmtId="164" fontId="16" fillId="2" borderId="0" xfId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 wrapText="1"/>
    </xf>
    <xf numFmtId="164" fontId="18" fillId="0" borderId="0" xfId="1" applyFont="1" applyBorder="1"/>
    <xf numFmtId="4" fontId="18" fillId="2" borderId="0" xfId="0" applyNumberFormat="1" applyFont="1" applyFill="1" applyBorder="1"/>
    <xf numFmtId="0" fontId="17" fillId="0" borderId="0" xfId="0" applyFont="1" applyBorder="1" applyAlignment="1">
      <alignment horizontal="right"/>
    </xf>
    <xf numFmtId="4" fontId="18" fillId="2" borderId="0" xfId="0" applyNumberFormat="1" applyFont="1" applyFill="1" applyBorder="1" applyAlignment="1">
      <alignment horizontal="right"/>
    </xf>
    <xf numFmtId="164" fontId="18" fillId="2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20" fillId="8" borderId="1" xfId="0" applyFont="1" applyFill="1" applyBorder="1"/>
    <xf numFmtId="0" fontId="21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24" fillId="2" borderId="1" xfId="10" applyFont="1" applyFill="1" applyBorder="1"/>
    <xf numFmtId="10" fontId="24" fillId="8" borderId="1" xfId="2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/>
    </xf>
    <xf numFmtId="4" fontId="24" fillId="2" borderId="1" xfId="0" applyNumberFormat="1" applyFont="1" applyFill="1" applyBorder="1"/>
    <xf numFmtId="164" fontId="22" fillId="10" borderId="1" xfId="1" applyFont="1" applyFill="1" applyBorder="1" applyAlignment="1">
      <alignment horizontal="center"/>
    </xf>
    <xf numFmtId="164" fontId="24" fillId="2" borderId="1" xfId="1" applyFont="1" applyFill="1" applyBorder="1"/>
    <xf numFmtId="0" fontId="22" fillId="0" borderId="1" xfId="0" applyFont="1" applyBorder="1"/>
    <xf numFmtId="0" fontId="22" fillId="2" borderId="1" xfId="0" applyFont="1" applyFill="1" applyBorder="1"/>
    <xf numFmtId="0" fontId="21" fillId="2" borderId="1" xfId="0" applyFont="1" applyFill="1" applyBorder="1" applyAlignment="1">
      <alignment horizontal="right"/>
    </xf>
    <xf numFmtId="164" fontId="21" fillId="2" borderId="1" xfId="1" applyFont="1" applyFill="1" applyBorder="1" applyAlignment="1">
      <alignment horizontal="right" vertical="top" wrapText="1"/>
    </xf>
    <xf numFmtId="10" fontId="26" fillId="8" borderId="1" xfId="2" applyNumberFormat="1" applyFont="1" applyFill="1" applyBorder="1" applyAlignment="1">
      <alignment horizontal="center" vertical="top" wrapText="1"/>
    </xf>
    <xf numFmtId="10" fontId="24" fillId="2" borderId="1" xfId="2" applyNumberFormat="1" applyFont="1" applyFill="1" applyBorder="1" applyAlignment="1">
      <alignment horizontal="center" vertical="top" wrapText="1"/>
    </xf>
    <xf numFmtId="4" fontId="24" fillId="2" borderId="1" xfId="1" applyNumberFormat="1" applyFont="1" applyFill="1" applyBorder="1" applyAlignment="1">
      <alignment vertical="top" wrapText="1"/>
    </xf>
    <xf numFmtId="164" fontId="21" fillId="10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/>
    </xf>
    <xf numFmtId="4" fontId="24" fillId="2" borderId="1" xfId="1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 wrapText="1"/>
    </xf>
    <xf numFmtId="164" fontId="21" fillId="2" borderId="1" xfId="1" applyFont="1" applyFill="1" applyBorder="1" applyAlignment="1">
      <alignment horizontal="right"/>
    </xf>
    <xf numFmtId="164" fontId="20" fillId="3" borderId="1" xfId="1" applyFont="1" applyFill="1" applyBorder="1" applyAlignment="1">
      <alignment horizontal="center" vertical="top"/>
    </xf>
    <xf numFmtId="10" fontId="24" fillId="10" borderId="1" xfId="2" applyNumberFormat="1" applyFont="1" applyFill="1" applyBorder="1" applyAlignment="1">
      <alignment horizontal="center"/>
    </xf>
    <xf numFmtId="10" fontId="22" fillId="10" borderId="1" xfId="2" applyNumberFormat="1" applyFont="1" applyFill="1" applyBorder="1" applyAlignment="1">
      <alignment horizontal="center"/>
    </xf>
    <xf numFmtId="10" fontId="24" fillId="10" borderId="1" xfId="2" applyNumberFormat="1" applyFont="1" applyFill="1" applyBorder="1" applyAlignment="1">
      <alignment horizontal="center" vertical="top" wrapText="1"/>
    </xf>
    <xf numFmtId="10" fontId="24" fillId="10" borderId="1" xfId="2" applyNumberFormat="1" applyFont="1" applyFill="1" applyBorder="1" applyAlignment="1">
      <alignment horizontal="center" wrapText="1"/>
    </xf>
    <xf numFmtId="10" fontId="24" fillId="8" borderId="1" xfId="2" applyNumberFormat="1" applyFont="1" applyFill="1" applyBorder="1" applyAlignment="1">
      <alignment horizontal="center" wrapText="1"/>
    </xf>
    <xf numFmtId="10" fontId="24" fillId="10" borderId="1" xfId="1" applyNumberFormat="1" applyFont="1" applyFill="1" applyBorder="1" applyAlignment="1">
      <alignment horizontal="center"/>
    </xf>
    <xf numFmtId="10" fontId="24" fillId="3" borderId="1" xfId="2" applyNumberFormat="1" applyFont="1" applyFill="1" applyBorder="1" applyAlignment="1">
      <alignment horizontal="center" vertical="top" wrapText="1"/>
    </xf>
    <xf numFmtId="10" fontId="22" fillId="3" borderId="1" xfId="2" applyNumberFormat="1" applyFont="1" applyFill="1" applyBorder="1" applyAlignment="1">
      <alignment horizontal="center" vertical="top" wrapText="1"/>
    </xf>
    <xf numFmtId="10" fontId="22" fillId="3" borderId="1" xfId="1" applyNumberFormat="1" applyFont="1" applyFill="1" applyBorder="1" applyAlignment="1">
      <alignment horizontal="center" vertical="top" wrapText="1"/>
    </xf>
    <xf numFmtId="10" fontId="27" fillId="11" borderId="0" xfId="0" applyNumberFormat="1" applyFont="1" applyFill="1" applyAlignment="1">
      <alignment horizontal="right" vertical="center" wrapText="1"/>
    </xf>
    <xf numFmtId="2" fontId="24" fillId="2" borderId="1" xfId="0" applyNumberFormat="1" applyFont="1" applyFill="1" applyBorder="1"/>
    <xf numFmtId="164" fontId="24" fillId="2" borderId="1" xfId="10" applyFont="1" applyFill="1" applyBorder="1" applyAlignment="1">
      <alignment wrapText="1"/>
    </xf>
    <xf numFmtId="164" fontId="24" fillId="12" borderId="1" xfId="1" applyFont="1" applyFill="1" applyBorder="1" applyAlignment="1">
      <alignment horizontal="center"/>
    </xf>
    <xf numFmtId="10" fontId="24" fillId="12" borderId="1" xfId="2" applyNumberFormat="1" applyFont="1" applyFill="1" applyBorder="1" applyAlignment="1">
      <alignment horizontal="center"/>
    </xf>
    <xf numFmtId="10" fontId="24" fillId="7" borderId="1" xfId="2" applyNumberFormat="1" applyFont="1" applyFill="1" applyBorder="1" applyAlignment="1">
      <alignment horizontal="center"/>
    </xf>
    <xf numFmtId="10" fontId="25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29" fillId="0" borderId="0" xfId="1" applyFont="1"/>
    <xf numFmtId="4" fontId="30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31" fillId="11" borderId="0" xfId="0" applyNumberFormat="1" applyFont="1" applyFill="1" applyAlignment="1">
      <alignment horizontal="right" vertical="center" wrapText="1"/>
    </xf>
    <xf numFmtId="0" fontId="21" fillId="0" borderId="1" xfId="0" applyFont="1" applyBorder="1" applyAlignment="1">
      <alignment horizontal="right"/>
    </xf>
    <xf numFmtId="4" fontId="33" fillId="0" borderId="1" xfId="0" applyNumberFormat="1" applyFont="1" applyFill="1" applyBorder="1" applyAlignment="1" applyProtection="1"/>
    <xf numFmtId="0" fontId="34" fillId="2" borderId="1" xfId="0" applyFont="1" applyFill="1" applyBorder="1"/>
    <xf numFmtId="4" fontId="24" fillId="2" borderId="1" xfId="1" applyNumberFormat="1" applyFont="1" applyFill="1" applyBorder="1" applyAlignment="1">
      <alignment horizontal="right" vertical="top" wrapText="1"/>
    </xf>
    <xf numFmtId="164" fontId="21" fillId="2" borderId="1" xfId="1" applyFont="1" applyFill="1" applyBorder="1"/>
    <xf numFmtId="43" fontId="24" fillId="2" borderId="1" xfId="0" applyNumberFormat="1" applyFont="1" applyFill="1" applyBorder="1"/>
    <xf numFmtId="4" fontId="24" fillId="2" borderId="1" xfId="1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4" fontId="24" fillId="2" borderId="1" xfId="10" applyNumberFormat="1" applyFont="1" applyFill="1" applyBorder="1" applyAlignment="1">
      <alignment horizontal="right" wrapText="1"/>
    </xf>
    <xf numFmtId="4" fontId="24" fillId="10" borderId="1" xfId="1" applyNumberFormat="1" applyFont="1" applyFill="1" applyBorder="1" applyAlignment="1">
      <alignment horizontal="center"/>
    </xf>
    <xf numFmtId="4" fontId="24" fillId="10" borderId="1" xfId="1" applyNumberFormat="1" applyFont="1" applyFill="1" applyBorder="1" applyAlignment="1">
      <alignment horizontal="center" vertical="top" wrapText="1"/>
    </xf>
    <xf numFmtId="43" fontId="24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21" fillId="10" borderId="1" xfId="1" applyNumberFormat="1" applyFont="1" applyFill="1" applyBorder="1" applyAlignment="1">
      <alignment horizontal="right" vertical="top" wrapText="1"/>
    </xf>
    <xf numFmtId="0" fontId="24" fillId="15" borderId="1" xfId="0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right" vertical="center"/>
    </xf>
    <xf numFmtId="164" fontId="21" fillId="15" borderId="1" xfId="1" applyFont="1" applyFill="1" applyBorder="1" applyAlignment="1">
      <alignment horizontal="right" vertical="center" wrapText="1"/>
    </xf>
    <xf numFmtId="10" fontId="24" fillId="15" borderId="1" xfId="1" applyNumberFormat="1" applyFont="1" applyFill="1" applyBorder="1" applyAlignment="1">
      <alignment horizontal="right" vertical="center" wrapText="1"/>
    </xf>
    <xf numFmtId="4" fontId="24" fillId="15" borderId="1" xfId="1" applyNumberFormat="1" applyFont="1" applyFill="1" applyBorder="1" applyAlignment="1">
      <alignment horizontal="right" vertical="center" wrapText="1"/>
    </xf>
    <xf numFmtId="164" fontId="21" fillId="15" borderId="1" xfId="1" applyFont="1" applyFill="1" applyBorder="1" applyAlignment="1">
      <alignment horizontal="right" vertical="top" wrapText="1"/>
    </xf>
    <xf numFmtId="4" fontId="24" fillId="2" borderId="1" xfId="10" applyNumberFormat="1" applyFont="1" applyFill="1" applyBorder="1" applyAlignment="1">
      <alignment horizontal="right" vertical="top" wrapText="1"/>
    </xf>
    <xf numFmtId="164" fontId="36" fillId="15" borderId="1" xfId="1" applyFont="1" applyFill="1" applyBorder="1" applyAlignment="1">
      <alignment horizontal="right" vertical="top" wrapText="1"/>
    </xf>
    <xf numFmtId="4" fontId="24" fillId="15" borderId="1" xfId="1" applyNumberFormat="1" applyFont="1" applyFill="1" applyBorder="1" applyAlignment="1">
      <alignment horizontal="right" vertical="top" wrapText="1"/>
    </xf>
    <xf numFmtId="164" fontId="24" fillId="2" borderId="1" xfId="10" applyFont="1" applyFill="1" applyBorder="1" applyAlignment="1">
      <alignment horizontal="right" vertical="top" wrapText="1"/>
    </xf>
    <xf numFmtId="10" fontId="24" fillId="8" borderId="1" xfId="2" applyNumberFormat="1" applyFont="1" applyFill="1" applyBorder="1" applyAlignment="1">
      <alignment horizontal="center" vertical="top" wrapText="1"/>
    </xf>
    <xf numFmtId="164" fontId="24" fillId="10" borderId="1" xfId="1" applyFont="1" applyFill="1" applyBorder="1" applyAlignment="1">
      <alignment horizontal="center" vertical="top" wrapText="1"/>
    </xf>
    <xf numFmtId="164" fontId="24" fillId="2" borderId="1" xfId="1" applyFont="1" applyFill="1" applyBorder="1" applyAlignment="1">
      <alignment horizontal="right" vertical="top" wrapText="1"/>
    </xf>
    <xf numFmtId="0" fontId="25" fillId="15" borderId="1" xfId="0" applyFont="1" applyFill="1" applyBorder="1" applyAlignment="1">
      <alignment horizontal="right"/>
    </xf>
    <xf numFmtId="0" fontId="37" fillId="15" borderId="1" xfId="0" applyFont="1" applyFill="1" applyBorder="1" applyAlignment="1">
      <alignment horizontal="right"/>
    </xf>
    <xf numFmtId="0" fontId="24" fillId="16" borderId="1" xfId="0" applyFont="1" applyFill="1" applyBorder="1" applyAlignment="1">
      <alignment horizontal="right" vertical="top" wrapText="1"/>
    </xf>
    <xf numFmtId="0" fontId="32" fillId="16" borderId="1" xfId="0" applyFont="1" applyFill="1" applyBorder="1" applyAlignment="1">
      <alignment horizontal="right" vertical="top" wrapText="1"/>
    </xf>
    <xf numFmtId="164" fontId="32" fillId="16" borderId="1" xfId="1" applyFont="1" applyFill="1" applyBorder="1" applyAlignment="1">
      <alignment horizontal="right" vertical="top" wrapText="1"/>
    </xf>
    <xf numFmtId="164" fontId="38" fillId="16" borderId="1" xfId="1" applyFont="1" applyFill="1" applyBorder="1" applyAlignment="1">
      <alignment horizontal="right" vertical="top" wrapText="1"/>
    </xf>
    <xf numFmtId="4" fontId="38" fillId="16" borderId="1" xfId="0" applyNumberFormat="1" applyFont="1" applyFill="1" applyBorder="1" applyAlignment="1">
      <alignment horizontal="right"/>
    </xf>
    <xf numFmtId="0" fontId="3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40" fillId="0" borderId="0" xfId="0" applyFont="1"/>
    <xf numFmtId="43" fontId="0" fillId="0" borderId="0" xfId="0" applyNumberFormat="1"/>
    <xf numFmtId="0" fontId="41" fillId="0" borderId="0" xfId="0" applyFont="1"/>
    <xf numFmtId="0" fontId="34" fillId="2" borderId="0" xfId="0" applyFont="1" applyFill="1" applyAlignment="1">
      <alignment wrapText="1"/>
    </xf>
    <xf numFmtId="43" fontId="41" fillId="0" borderId="0" xfId="11" applyFont="1" applyBorder="1"/>
    <xf numFmtId="2" fontId="41" fillId="0" borderId="0" xfId="0" applyNumberFormat="1" applyFont="1"/>
    <xf numFmtId="9" fontId="24" fillId="15" borderId="1" xfId="2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top" wrapText="1"/>
    </xf>
    <xf numFmtId="9" fontId="38" fillId="16" borderId="1" xfId="2" applyFont="1" applyFill="1" applyBorder="1" applyAlignment="1">
      <alignment horizontal="center"/>
    </xf>
    <xf numFmtId="4" fontId="38" fillId="16" borderId="1" xfId="0" applyNumberFormat="1" applyFont="1" applyFill="1" applyBorder="1" applyAlignment="1">
      <alignment horizontal="center"/>
    </xf>
    <xf numFmtId="10" fontId="41" fillId="0" borderId="0" xfId="2" applyNumberFormat="1" applyFont="1" applyBorder="1"/>
    <xf numFmtId="10" fontId="42" fillId="0" borderId="0" xfId="2" applyNumberFormat="1" applyFont="1" applyBorder="1"/>
    <xf numFmtId="10" fontId="22" fillId="15" borderId="1" xfId="2" applyNumberFormat="1" applyFont="1" applyFill="1" applyBorder="1" applyAlignment="1">
      <alignment horizontal="center" vertical="top" wrapText="1"/>
    </xf>
    <xf numFmtId="166" fontId="22" fillId="15" borderId="1" xfId="2" applyNumberFormat="1" applyFont="1" applyFill="1" applyBorder="1" applyAlignment="1">
      <alignment horizontal="center" vertical="top" wrapText="1"/>
    </xf>
    <xf numFmtId="10" fontId="22" fillId="15" borderId="1" xfId="1" applyNumberFormat="1" applyFont="1" applyFill="1" applyBorder="1" applyAlignment="1">
      <alignment horizontal="center" vertical="top" wrapText="1"/>
    </xf>
    <xf numFmtId="10" fontId="38" fillId="16" borderId="1" xfId="2" applyNumberFormat="1" applyFont="1" applyFill="1" applyBorder="1" applyAlignment="1">
      <alignment horizontal="center" vertical="top" wrapText="1"/>
    </xf>
    <xf numFmtId="166" fontId="38" fillId="16" borderId="1" xfId="2" applyNumberFormat="1" applyFont="1" applyFill="1" applyBorder="1" applyAlignment="1">
      <alignment horizontal="center" vertical="top" wrapText="1"/>
    </xf>
    <xf numFmtId="166" fontId="24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50" fillId="2" borderId="1" xfId="10" applyFont="1" applyFill="1" applyBorder="1"/>
    <xf numFmtId="0" fontId="51" fillId="3" borderId="1" xfId="0" applyFont="1" applyFill="1" applyBorder="1" applyAlignment="1">
      <alignment horizontal="center" vertical="top" wrapText="1"/>
    </xf>
    <xf numFmtId="10" fontId="50" fillId="10" borderId="1" xfId="2" applyNumberFormat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54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164" fontId="8" fillId="0" borderId="0" xfId="1" applyFont="1" applyBorder="1"/>
    <xf numFmtId="0" fontId="53" fillId="0" borderId="0" xfId="0" applyFont="1"/>
    <xf numFmtId="16" fontId="55" fillId="2" borderId="0" xfId="0" applyNumberFormat="1" applyFont="1" applyFill="1"/>
    <xf numFmtId="164" fontId="56" fillId="0" borderId="0" xfId="1" applyFont="1"/>
    <xf numFmtId="43" fontId="56" fillId="0" borderId="0" xfId="0" applyNumberFormat="1" applyFont="1"/>
    <xf numFmtId="4" fontId="56" fillId="0" borderId="0" xfId="0" applyNumberFormat="1" applyFont="1"/>
    <xf numFmtId="0" fontId="39" fillId="6" borderId="1" xfId="0" applyFont="1" applyFill="1" applyBorder="1" applyAlignment="1">
      <alignment horizontal="left"/>
    </xf>
    <xf numFmtId="0" fontId="57" fillId="0" borderId="0" xfId="0" applyFont="1"/>
    <xf numFmtId="4" fontId="24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9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center" wrapText="1"/>
    </xf>
    <xf numFmtId="0" fontId="35" fillId="9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wrapText="1"/>
    </xf>
    <xf numFmtId="4" fontId="24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/>
    </xf>
  </cellXfs>
  <cellStyles count="30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November 22,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1568.5114634132885</c:v>
                </c:pt>
                <c:pt idx="1">
                  <c:v>211.30871801890351</c:v>
                </c:pt>
                <c:pt idx="2">
                  <c:v>1806.7945870197611</c:v>
                </c:pt>
                <c:pt idx="3">
                  <c:v>99.71236588885381</c:v>
                </c:pt>
                <c:pt idx="4" formatCode="_-* #,##0.00_-;\-* #,##0.00_-;_-* &quot;-&quot;??_-;_-@_-">
                  <c:v>53.247703123154459</c:v>
                </c:pt>
                <c:pt idx="5">
                  <c:v>5.6522069194699993</c:v>
                </c:pt>
                <c:pt idx="6">
                  <c:v>51.456186883054208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November 29,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1581.147259519779</c:v>
                </c:pt>
                <c:pt idx="1">
                  <c:v>211.81708627375338</c:v>
                </c:pt>
                <c:pt idx="2">
                  <c:v>1817.8268801037505</c:v>
                </c:pt>
                <c:pt idx="3">
                  <c:v>99.287613486429763</c:v>
                </c:pt>
                <c:pt idx="4" formatCode="_-* #,##0.00_-;\-* #,##0.00_-;_-* &quot;-&quot;??_-;_-@_-">
                  <c:v>53.277880968774504</c:v>
                </c:pt>
                <c:pt idx="5">
                  <c:v>5.6453872829300007</c:v>
                </c:pt>
                <c:pt idx="6">
                  <c:v>51.417030730333892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29TH NOVEMBER,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29-Nov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5645387282.9300003</c:v>
                </c:pt>
                <c:pt idx="1">
                  <c:v>29963223384.749996</c:v>
                </c:pt>
                <c:pt idx="2" formatCode="_-* #,##0.00_-;\-* #,##0.00_-;_-* &quot;-&quot;??_-;_-@_-">
                  <c:v>51417030730.333893</c:v>
                </c:pt>
                <c:pt idx="3">
                  <c:v>53277880968.774506</c:v>
                </c:pt>
                <c:pt idx="4">
                  <c:v>99287613486.429764</c:v>
                </c:pt>
                <c:pt idx="5">
                  <c:v>211817086273.75339</c:v>
                </c:pt>
                <c:pt idx="6">
                  <c:v>1581147259519.7791</c:v>
                </c:pt>
                <c:pt idx="7">
                  <c:v>1817826880103.7505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45576</c:v>
                </c:pt>
                <c:pt idx="1">
                  <c:v>45583</c:v>
                </c:pt>
                <c:pt idx="2">
                  <c:v>45590</c:v>
                </c:pt>
                <c:pt idx="3">
                  <c:v>45597</c:v>
                </c:pt>
                <c:pt idx="4">
                  <c:v>45604</c:v>
                </c:pt>
                <c:pt idx="5">
                  <c:v>45611</c:v>
                </c:pt>
                <c:pt idx="6">
                  <c:v>45618</c:v>
                </c:pt>
                <c:pt idx="7">
                  <c:v>45625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3608.6485199322269</c:v>
                </c:pt>
                <c:pt idx="1">
                  <c:v>3649.8560176552623</c:v>
                </c:pt>
                <c:pt idx="2">
                  <c:v>3681.0930784539851</c:v>
                </c:pt>
                <c:pt idx="3">
                  <c:v>3756.0739614136678</c:v>
                </c:pt>
                <c:pt idx="4">
                  <c:v>3781.6039580427923</c:v>
                </c:pt>
                <c:pt idx="5">
                  <c:v>3775.5209725078448</c:v>
                </c:pt>
                <c:pt idx="6">
                  <c:v>3826.7471799710661</c:v>
                </c:pt>
                <c:pt idx="7">
                  <c:v>3850.3823617505013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45576</c:v>
                </c:pt>
                <c:pt idx="1">
                  <c:v>45583</c:v>
                </c:pt>
                <c:pt idx="2">
                  <c:v>45590</c:v>
                </c:pt>
                <c:pt idx="3">
                  <c:v>45597</c:v>
                </c:pt>
                <c:pt idx="4">
                  <c:v>45604</c:v>
                </c:pt>
                <c:pt idx="5">
                  <c:v>45611</c:v>
                </c:pt>
                <c:pt idx="6">
                  <c:v>45618</c:v>
                </c:pt>
                <c:pt idx="7">
                  <c:v>45625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12.697813827940001</c:v>
                </c:pt>
                <c:pt idx="1">
                  <c:v>12.701048297550301</c:v>
                </c:pt>
                <c:pt idx="2">
                  <c:v>12.789155111611999</c:v>
                </c:pt>
                <c:pt idx="3">
                  <c:v>13.1600670153069</c:v>
                </c:pt>
                <c:pt idx="4">
                  <c:v>12.888080361994271</c:v>
                </c:pt>
                <c:pt idx="5">
                  <c:v>12.879805353681869</c:v>
                </c:pt>
                <c:pt idx="6">
                  <c:v>12.922326068600094</c:v>
                </c:pt>
                <c:pt idx="7">
                  <c:v>12.578926303585625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8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69" t="s">
        <v>296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5" ht="15" customHeight="1">
      <c r="A2" s="43"/>
      <c r="B2" s="44"/>
      <c r="C2" s="44"/>
      <c r="D2" s="170" t="s">
        <v>294</v>
      </c>
      <c r="E2" s="170"/>
      <c r="F2" s="170"/>
      <c r="G2" s="170"/>
      <c r="H2" s="170"/>
      <c r="I2" s="170"/>
      <c r="J2" s="170"/>
      <c r="K2" s="170" t="s">
        <v>297</v>
      </c>
      <c r="L2" s="170"/>
      <c r="M2" s="170"/>
      <c r="N2" s="170"/>
      <c r="O2" s="170"/>
      <c r="P2" s="170"/>
      <c r="Q2" s="170"/>
      <c r="R2" s="170" t="s">
        <v>0</v>
      </c>
      <c r="S2" s="170"/>
      <c r="T2" s="170"/>
      <c r="U2" s="170" t="s">
        <v>1</v>
      </c>
      <c r="V2" s="170"/>
    </row>
    <row r="3" spans="1:25" ht="20.399999999999999">
      <c r="A3" s="45" t="s">
        <v>2</v>
      </c>
      <c r="B3" s="46" t="s">
        <v>3</v>
      </c>
      <c r="C3" s="47" t="s">
        <v>4</v>
      </c>
      <c r="D3" s="48" t="s">
        <v>5</v>
      </c>
      <c r="E3" s="49" t="s">
        <v>6</v>
      </c>
      <c r="F3" s="152" t="s">
        <v>293</v>
      </c>
      <c r="G3" s="49" t="s">
        <v>8</v>
      </c>
      <c r="H3" s="49" t="s">
        <v>9</v>
      </c>
      <c r="I3" s="49" t="s">
        <v>10</v>
      </c>
      <c r="J3" s="49" t="s">
        <v>11</v>
      </c>
      <c r="K3" s="72" t="s">
        <v>5</v>
      </c>
      <c r="L3" s="49" t="s">
        <v>6</v>
      </c>
      <c r="M3" s="49" t="s">
        <v>7</v>
      </c>
      <c r="N3" s="49" t="s">
        <v>8</v>
      </c>
      <c r="O3" s="49" t="s">
        <v>9</v>
      </c>
      <c r="P3" s="49" t="s">
        <v>10</v>
      </c>
      <c r="Q3" s="49" t="s">
        <v>11</v>
      </c>
      <c r="R3" s="48" t="s">
        <v>12</v>
      </c>
      <c r="S3" s="49" t="s">
        <v>13</v>
      </c>
      <c r="T3" s="49" t="s">
        <v>14</v>
      </c>
      <c r="U3" s="49" t="s">
        <v>15</v>
      </c>
      <c r="V3" s="49" t="s">
        <v>16</v>
      </c>
    </row>
    <row r="4" spans="1:25" ht="5.25" customHeight="1">
      <c r="A4" s="5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</row>
    <row r="5" spans="1:25" ht="15" customHeight="1">
      <c r="A5" s="172" t="s">
        <v>17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5">
      <c r="A6" s="182">
        <v>1</v>
      </c>
      <c r="B6" s="167" t="s">
        <v>18</v>
      </c>
      <c r="C6" s="168" t="s">
        <v>19</v>
      </c>
      <c r="D6" s="51">
        <v>1190194521.9200001</v>
      </c>
      <c r="E6" s="52">
        <f t="shared" ref="E6:E23" si="0">(D6/$D$24)</f>
        <v>3.9588762394963888E-2</v>
      </c>
      <c r="F6" s="53">
        <v>375.73020000000002</v>
      </c>
      <c r="G6" s="53">
        <v>375.73020000000002</v>
      </c>
      <c r="H6" s="54">
        <v>1948</v>
      </c>
      <c r="I6" s="73">
        <v>4.7000000000000002E-3</v>
      </c>
      <c r="J6" s="73">
        <v>0.24840000000000001</v>
      </c>
      <c r="K6" s="51">
        <v>1202941396.47</v>
      </c>
      <c r="L6" s="52">
        <f>(K6/$K$24)</f>
        <v>4.0147262563287697E-2</v>
      </c>
      <c r="M6" s="53">
        <v>376.67360000000002</v>
      </c>
      <c r="N6" s="53">
        <v>376.67360000000002</v>
      </c>
      <c r="O6" s="54">
        <v>1948</v>
      </c>
      <c r="P6" s="73">
        <v>2.5000000000000001E-3</v>
      </c>
      <c r="Q6" s="73">
        <v>0.25140000000000001</v>
      </c>
      <c r="R6" s="79">
        <f>((K6-D6)/D6)</f>
        <v>1.0709908603374285E-2</v>
      </c>
      <c r="S6" s="79">
        <f>((N6-G6)/G6)</f>
        <v>2.5108442174730612E-3</v>
      </c>
      <c r="T6" s="79">
        <f>((O6-H6)/H6)</f>
        <v>0</v>
      </c>
      <c r="U6" s="80">
        <f>P6-I6</f>
        <v>-2.2000000000000001E-3</v>
      </c>
      <c r="V6" s="81">
        <f>Q6-J6</f>
        <v>3.0000000000000027E-3</v>
      </c>
    </row>
    <row r="7" spans="1:25">
      <c r="A7" s="182">
        <v>2</v>
      </c>
      <c r="B7" s="167" t="s">
        <v>20</v>
      </c>
      <c r="C7" s="168" t="s">
        <v>21</v>
      </c>
      <c r="D7" s="55">
        <v>632083981.60000002</v>
      </c>
      <c r="E7" s="52">
        <f t="shared" si="0"/>
        <v>2.1024649416851456E-2</v>
      </c>
      <c r="F7" s="55">
        <v>242.6079</v>
      </c>
      <c r="G7" s="55">
        <v>245.41130000000001</v>
      </c>
      <c r="H7" s="54">
        <v>456</v>
      </c>
      <c r="I7" s="73">
        <v>-4.6119999999999998E-3</v>
      </c>
      <c r="J7" s="73">
        <v>0.25409999999999999</v>
      </c>
      <c r="K7" s="55">
        <v>632443230.50999999</v>
      </c>
      <c r="L7" s="52">
        <f t="shared" ref="L7:L23" si="1">(K7/$K$24)</f>
        <v>2.1107316205234671E-2</v>
      </c>
      <c r="M7" s="55">
        <v>243.0078</v>
      </c>
      <c r="N7" s="55">
        <v>245.8203</v>
      </c>
      <c r="O7" s="54">
        <v>459</v>
      </c>
      <c r="P7" s="73">
        <v>-3.48E-4</v>
      </c>
      <c r="Q7" s="73">
        <v>0.25609999999999999</v>
      </c>
      <c r="R7" s="79">
        <f t="shared" ref="R7:R24" si="2">((K7-D7)/D7)</f>
        <v>5.6835629514071298E-4</v>
      </c>
      <c r="S7" s="79">
        <f t="shared" ref="S7:S24" si="3">((N7-G7)/G7)</f>
        <v>1.6665899247507829E-3</v>
      </c>
      <c r="T7" s="79">
        <f t="shared" ref="T7:T24" si="4">((O7-H7)/H7)</f>
        <v>6.5789473684210523E-3</v>
      </c>
      <c r="U7" s="80">
        <f t="shared" ref="U7:U24" si="5">P7-I7</f>
        <v>4.2639999999999996E-3</v>
      </c>
      <c r="V7" s="81">
        <f t="shared" ref="V7:V24" si="6">Q7-J7</f>
        <v>2.0000000000000018E-3</v>
      </c>
    </row>
    <row r="8" spans="1:25">
      <c r="A8" s="182">
        <v>3</v>
      </c>
      <c r="B8" s="167" t="s">
        <v>22</v>
      </c>
      <c r="C8" s="168" t="s">
        <v>23</v>
      </c>
      <c r="D8" s="55">
        <v>3876264524.3200002</v>
      </c>
      <c r="E8" s="52">
        <f t="shared" si="0"/>
        <v>0.12893397878002241</v>
      </c>
      <c r="F8" s="55">
        <v>35.102899999999998</v>
      </c>
      <c r="G8" s="55">
        <v>36.161299999999997</v>
      </c>
      <c r="H8" s="56">
        <v>6612</v>
      </c>
      <c r="I8" s="74">
        <v>-0.56720000000000004</v>
      </c>
      <c r="J8" s="74">
        <v>0.1668</v>
      </c>
      <c r="K8" s="55">
        <v>3874020429.3800001</v>
      </c>
      <c r="L8" s="52">
        <f t="shared" si="1"/>
        <v>0.12929251234537442</v>
      </c>
      <c r="M8" s="55">
        <v>35.076500000000003</v>
      </c>
      <c r="N8" s="55">
        <v>36.134099999999997</v>
      </c>
      <c r="O8" s="56">
        <v>6616</v>
      </c>
      <c r="P8" s="74">
        <v>-3.9300000000000002E-2</v>
      </c>
      <c r="Q8" s="74">
        <v>0.16239999999999999</v>
      </c>
      <c r="R8" s="79">
        <f t="shared" si="2"/>
        <v>-5.7893235250598154E-4</v>
      </c>
      <c r="S8" s="79">
        <f t="shared" si="3"/>
        <v>-7.5218534731883422E-4</v>
      </c>
      <c r="T8" s="79">
        <f t="shared" si="4"/>
        <v>6.0496067755595891E-4</v>
      </c>
      <c r="U8" s="80">
        <f t="shared" si="5"/>
        <v>0.52790000000000004</v>
      </c>
      <c r="V8" s="81">
        <f t="shared" si="6"/>
        <v>-4.400000000000015E-3</v>
      </c>
      <c r="X8" s="82"/>
      <c r="Y8" s="82"/>
    </row>
    <row r="9" spans="1:25">
      <c r="A9" s="182">
        <v>4</v>
      </c>
      <c r="B9" s="167" t="s">
        <v>24</v>
      </c>
      <c r="C9" s="168" t="s">
        <v>25</v>
      </c>
      <c r="D9" s="55">
        <v>575846073.72000003</v>
      </c>
      <c r="E9" s="52">
        <f t="shared" si="0"/>
        <v>1.9154039922649101E-2</v>
      </c>
      <c r="F9" s="55">
        <v>209.82900000000001</v>
      </c>
      <c r="G9" s="55">
        <v>209.82900000000001</v>
      </c>
      <c r="H9" s="54">
        <v>1843</v>
      </c>
      <c r="I9" s="73">
        <v>2.2000000000000001E-3</v>
      </c>
      <c r="J9" s="73">
        <v>0.20383000000000001</v>
      </c>
      <c r="K9" s="55">
        <v>576701516.57000005</v>
      </c>
      <c r="L9" s="52">
        <f t="shared" si="1"/>
        <v>1.924697850977931E-2</v>
      </c>
      <c r="M9" s="55">
        <v>210.14420000000001</v>
      </c>
      <c r="N9" s="55">
        <v>210.14420000000001</v>
      </c>
      <c r="O9" s="54">
        <v>1848</v>
      </c>
      <c r="P9" s="73">
        <v>1.5E-3</v>
      </c>
      <c r="Q9" s="73">
        <v>0.2099</v>
      </c>
      <c r="R9" s="79">
        <f t="shared" si="2"/>
        <v>1.4855408225219145E-3</v>
      </c>
      <c r="S9" s="79">
        <f t="shared" si="3"/>
        <v>1.5021755810684144E-3</v>
      </c>
      <c r="T9" s="79">
        <f t="shared" si="4"/>
        <v>2.7129679869777536E-3</v>
      </c>
      <c r="U9" s="80">
        <f t="shared" si="5"/>
        <v>-7.000000000000001E-4</v>
      </c>
      <c r="V9" s="81">
        <f t="shared" si="6"/>
        <v>6.0699999999999921E-3</v>
      </c>
    </row>
    <row r="10" spans="1:25">
      <c r="A10" s="182">
        <v>5</v>
      </c>
      <c r="B10" s="167" t="s">
        <v>26</v>
      </c>
      <c r="C10" s="168" t="s">
        <v>27</v>
      </c>
      <c r="D10" s="55">
        <v>914158929.48000002</v>
      </c>
      <c r="E10" s="52">
        <f t="shared" si="0"/>
        <v>3.0407147725765485E-2</v>
      </c>
      <c r="F10" s="55">
        <v>1.1657</v>
      </c>
      <c r="G10" s="55">
        <v>1.1768000000000001</v>
      </c>
      <c r="H10" s="54">
        <v>508</v>
      </c>
      <c r="I10" s="73">
        <v>-2.1899999999999999E-2</v>
      </c>
      <c r="J10" s="73">
        <v>0.17130000000000001</v>
      </c>
      <c r="K10" s="55">
        <v>912278717.23000002</v>
      </c>
      <c r="L10" s="52">
        <f t="shared" si="1"/>
        <v>3.0446614688802508E-2</v>
      </c>
      <c r="M10" s="55">
        <v>1.1651</v>
      </c>
      <c r="N10" s="55">
        <v>1.1765000000000001</v>
      </c>
      <c r="O10" s="54">
        <v>506</v>
      </c>
      <c r="P10" s="73">
        <v>-2.0999999999999999E-3</v>
      </c>
      <c r="Q10" s="73">
        <v>0.17080000000000001</v>
      </c>
      <c r="R10" s="79">
        <f t="shared" si="2"/>
        <v>-2.0567673621801398E-3</v>
      </c>
      <c r="S10" s="79">
        <f t="shared" si="3"/>
        <v>-2.5492861998637574E-4</v>
      </c>
      <c r="T10" s="79">
        <f t="shared" si="4"/>
        <v>-3.937007874015748E-3</v>
      </c>
      <c r="U10" s="80">
        <f t="shared" si="5"/>
        <v>1.9799999999999998E-2</v>
      </c>
      <c r="V10" s="81">
        <f t="shared" si="6"/>
        <v>-5.0000000000000044E-4</v>
      </c>
    </row>
    <row r="11" spans="1:25">
      <c r="A11" s="182">
        <v>6</v>
      </c>
      <c r="B11" s="167" t="s">
        <v>28</v>
      </c>
      <c r="C11" s="168" t="s">
        <v>29</v>
      </c>
      <c r="D11" s="57">
        <v>93349061.900000006</v>
      </c>
      <c r="E11" s="52">
        <f t="shared" si="0"/>
        <v>3.1050166702080296E-3</v>
      </c>
      <c r="F11" s="55">
        <v>167.49260000000001</v>
      </c>
      <c r="G11" s="55">
        <v>168.04349999999999</v>
      </c>
      <c r="H11" s="56">
        <v>94</v>
      </c>
      <c r="I11" s="74">
        <v>5.2499999999999997E-4</v>
      </c>
      <c r="J11" s="74">
        <v>0.2084</v>
      </c>
      <c r="K11" s="57">
        <v>93557363.230000004</v>
      </c>
      <c r="L11" s="52">
        <f t="shared" si="1"/>
        <v>3.1224064924075131E-3</v>
      </c>
      <c r="M11" s="55">
        <v>167.8306</v>
      </c>
      <c r="N11" s="55">
        <v>168.38220000000001</v>
      </c>
      <c r="O11" s="56">
        <v>94</v>
      </c>
      <c r="P11" s="74">
        <v>2.0900000000000001E-4</v>
      </c>
      <c r="Q11" s="74">
        <v>0.20979999999999999</v>
      </c>
      <c r="R11" s="79">
        <f t="shared" si="2"/>
        <v>2.2314239239290975E-3</v>
      </c>
      <c r="S11" s="79">
        <f t="shared" si="3"/>
        <v>2.0155495452071465E-3</v>
      </c>
      <c r="T11" s="79">
        <f t="shared" si="4"/>
        <v>0</v>
      </c>
      <c r="U11" s="80">
        <f t="shared" si="5"/>
        <v>-3.1599999999999998E-4</v>
      </c>
      <c r="V11" s="81">
        <f t="shared" si="6"/>
        <v>1.3999999999999846E-3</v>
      </c>
    </row>
    <row r="12" spans="1:25">
      <c r="A12" s="182">
        <v>7</v>
      </c>
      <c r="B12" s="167" t="s">
        <v>30</v>
      </c>
      <c r="C12" s="168" t="s">
        <v>31</v>
      </c>
      <c r="D12" s="55">
        <v>1128169271.54</v>
      </c>
      <c r="E12" s="52">
        <f t="shared" si="0"/>
        <v>3.7525651823911356E-2</v>
      </c>
      <c r="F12" s="55">
        <v>300.56</v>
      </c>
      <c r="G12" s="55">
        <v>304.75</v>
      </c>
      <c r="H12" s="56">
        <v>1634</v>
      </c>
      <c r="I12" s="74">
        <v>-3.0999999999999999E-3</v>
      </c>
      <c r="J12" s="74">
        <v>0.33860000000000001</v>
      </c>
      <c r="K12" s="55">
        <v>1077468093.75</v>
      </c>
      <c r="L12" s="52">
        <f t="shared" si="1"/>
        <v>3.5959685642446108E-2</v>
      </c>
      <c r="M12" s="55">
        <v>299.68</v>
      </c>
      <c r="N12" s="55">
        <v>303.86</v>
      </c>
      <c r="O12" s="56">
        <v>1638</v>
      </c>
      <c r="P12" s="74">
        <v>-2.8999999999999998E-3</v>
      </c>
      <c r="Q12" s="74">
        <v>0.33500000000000002</v>
      </c>
      <c r="R12" s="79">
        <f t="shared" si="2"/>
        <v>-4.4941108634159711E-2</v>
      </c>
      <c r="S12" s="79">
        <f t="shared" si="3"/>
        <v>-2.9204265791632038E-3</v>
      </c>
      <c r="T12" s="79">
        <f t="shared" si="4"/>
        <v>2.4479804161566705E-3</v>
      </c>
      <c r="U12" s="80">
        <f t="shared" si="5"/>
        <v>2.0000000000000009E-4</v>
      </c>
      <c r="V12" s="81">
        <f t="shared" si="6"/>
        <v>-3.5999999999999921E-3</v>
      </c>
    </row>
    <row r="13" spans="1:25">
      <c r="A13" s="182">
        <v>8</v>
      </c>
      <c r="B13" s="167" t="s">
        <v>32</v>
      </c>
      <c r="C13" s="168" t="s">
        <v>33</v>
      </c>
      <c r="D13" s="51">
        <v>412184037.86000001</v>
      </c>
      <c r="E13" s="52">
        <f t="shared" si="0"/>
        <v>1.3710242853002442E-2</v>
      </c>
      <c r="F13" s="55">
        <v>206.78</v>
      </c>
      <c r="G13" s="55">
        <v>215.78</v>
      </c>
      <c r="H13" s="54">
        <v>2466</v>
      </c>
      <c r="I13" s="73">
        <v>1.3899999999999999E-2</v>
      </c>
      <c r="J13" s="73">
        <v>0.23236999999999999</v>
      </c>
      <c r="K13" s="51">
        <v>404992542.31</v>
      </c>
      <c r="L13" s="52">
        <f t="shared" si="1"/>
        <v>1.351632089477142E-2</v>
      </c>
      <c r="M13" s="55">
        <v>203.17</v>
      </c>
      <c r="N13" s="55">
        <v>212.18</v>
      </c>
      <c r="O13" s="54">
        <v>2465</v>
      </c>
      <c r="P13" s="73">
        <v>1.01E-2</v>
      </c>
      <c r="Q13" s="73">
        <v>0.61619999999999997</v>
      </c>
      <c r="R13" s="79">
        <f t="shared" si="2"/>
        <v>-1.7447292688327325E-2</v>
      </c>
      <c r="S13" s="79">
        <f t="shared" si="3"/>
        <v>-1.6683659282602625E-2</v>
      </c>
      <c r="T13" s="79">
        <f t="shared" si="4"/>
        <v>-4.0551500405515005E-4</v>
      </c>
      <c r="U13" s="80">
        <f t="shared" si="5"/>
        <v>-3.7999999999999996E-3</v>
      </c>
      <c r="V13" s="81">
        <f t="shared" si="6"/>
        <v>0.38383</v>
      </c>
    </row>
    <row r="14" spans="1:25">
      <c r="A14" s="182">
        <v>9</v>
      </c>
      <c r="B14" s="167" t="s">
        <v>34</v>
      </c>
      <c r="C14" s="168" t="s">
        <v>35</v>
      </c>
      <c r="D14" s="57">
        <v>57232556.009999998</v>
      </c>
      <c r="E14" s="52">
        <f t="shared" si="0"/>
        <v>1.9036939083547956E-3</v>
      </c>
      <c r="F14" s="55">
        <v>203.83</v>
      </c>
      <c r="G14" s="55">
        <v>210.27</v>
      </c>
      <c r="H14" s="54">
        <v>16</v>
      </c>
      <c r="I14" s="73">
        <v>9.7999999999999997E-3</v>
      </c>
      <c r="J14" s="73">
        <v>0.13150000000000001</v>
      </c>
      <c r="K14" s="57">
        <v>56937494.689999998</v>
      </c>
      <c r="L14" s="52">
        <f t="shared" si="1"/>
        <v>1.9002459768390192E-3</v>
      </c>
      <c r="M14" s="55">
        <v>202.79</v>
      </c>
      <c r="N14" s="55">
        <v>209.18</v>
      </c>
      <c r="O14" s="54">
        <v>16</v>
      </c>
      <c r="P14" s="73">
        <v>-5.1999999999999998E-3</v>
      </c>
      <c r="Q14" s="73">
        <v>0.12570000000000001</v>
      </c>
      <c r="R14" s="79">
        <f t="shared" si="2"/>
        <v>-5.1554803868701145E-3</v>
      </c>
      <c r="S14" s="79">
        <f t="shared" si="3"/>
        <v>-5.1838112902458907E-3</v>
      </c>
      <c r="T14" s="79">
        <f t="shared" si="4"/>
        <v>0</v>
      </c>
      <c r="U14" s="80">
        <f t="shared" si="5"/>
        <v>-1.4999999999999999E-2</v>
      </c>
      <c r="V14" s="81">
        <f t="shared" si="6"/>
        <v>-5.7999999999999996E-3</v>
      </c>
    </row>
    <row r="15" spans="1:25" ht="14.25" customHeight="1">
      <c r="A15" s="182">
        <v>10</v>
      </c>
      <c r="B15" s="167" t="s">
        <v>36</v>
      </c>
      <c r="C15" s="168" t="s">
        <v>37</v>
      </c>
      <c r="D15" s="51">
        <v>581827643.07000005</v>
      </c>
      <c r="E15" s="52">
        <f t="shared" si="0"/>
        <v>1.9353001456570582E-2</v>
      </c>
      <c r="F15" s="55">
        <v>1.993614</v>
      </c>
      <c r="G15" s="55">
        <v>2.0261809999999998</v>
      </c>
      <c r="H15" s="54">
        <v>468</v>
      </c>
      <c r="I15" s="73">
        <v>-4.7361565892084512E-3</v>
      </c>
      <c r="J15" s="73">
        <v>0.17638166047087966</v>
      </c>
      <c r="K15" s="51">
        <v>575271382.72000003</v>
      </c>
      <c r="L15" s="52">
        <f t="shared" si="1"/>
        <v>1.9199248870293062E-2</v>
      </c>
      <c r="M15" s="55">
        <v>1.971538</v>
      </c>
      <c r="N15" s="55">
        <v>2.0050150000000002</v>
      </c>
      <c r="O15" s="54">
        <v>472</v>
      </c>
      <c r="P15" s="73">
        <v>-1.1073357229634199E-2</v>
      </c>
      <c r="Q15" s="73">
        <v>0.16335516610609499</v>
      </c>
      <c r="R15" s="79">
        <f t="shared" si="2"/>
        <v>-1.1268389235351672E-2</v>
      </c>
      <c r="S15" s="79">
        <f t="shared" si="3"/>
        <v>-1.0446253320902514E-2</v>
      </c>
      <c r="T15" s="79">
        <f t="shared" si="4"/>
        <v>8.5470085470085479E-3</v>
      </c>
      <c r="U15" s="80">
        <f t="shared" si="5"/>
        <v>-6.3372006404257483E-3</v>
      </c>
      <c r="V15" s="81">
        <f t="shared" si="6"/>
        <v>-1.3026494364784674E-2</v>
      </c>
    </row>
    <row r="16" spans="1:25" ht="14.25" customHeight="1">
      <c r="A16" s="182">
        <v>11</v>
      </c>
      <c r="B16" s="167" t="s">
        <v>38</v>
      </c>
      <c r="C16" s="168" t="s">
        <v>39</v>
      </c>
      <c r="D16" s="51">
        <v>14182558.289999999</v>
      </c>
      <c r="E16" s="52">
        <f t="shared" si="0"/>
        <v>4.717463573851628E-4</v>
      </c>
      <c r="F16" s="55">
        <v>12.26</v>
      </c>
      <c r="G16" s="55">
        <v>12.97</v>
      </c>
      <c r="H16" s="54">
        <v>28</v>
      </c>
      <c r="I16" s="73">
        <v>3.4099999999999998E-2</v>
      </c>
      <c r="J16" s="73">
        <v>0.77680000000000005</v>
      </c>
      <c r="K16" s="51">
        <v>14574905.789999999</v>
      </c>
      <c r="L16" s="52">
        <f t="shared" si="1"/>
        <v>4.8642649700425772E-4</v>
      </c>
      <c r="M16" s="55">
        <v>12.6</v>
      </c>
      <c r="N16" s="55">
        <v>13.32</v>
      </c>
      <c r="O16" s="54">
        <v>28</v>
      </c>
      <c r="P16" s="73">
        <v>8.8400000000000006E-2</v>
      </c>
      <c r="Q16" s="73">
        <v>0.85270000000000001</v>
      </c>
      <c r="R16" s="79">
        <f t="shared" ref="R16" si="7">((K16-D16)/D16)</f>
        <v>2.7664085137350775E-2</v>
      </c>
      <c r="S16" s="79">
        <f t="shared" ref="S16" si="8">((N16-G16)/G16)</f>
        <v>2.6985350809560497E-2</v>
      </c>
      <c r="T16" s="79">
        <f t="shared" ref="T16" si="9">((O16-H16)/H16)</f>
        <v>0</v>
      </c>
      <c r="U16" s="80">
        <f t="shared" ref="U16" si="10">P16-I16</f>
        <v>5.4300000000000008E-2</v>
      </c>
      <c r="V16" s="81">
        <f t="shared" ref="V16" si="11">Q16-J16</f>
        <v>7.5899999999999967E-2</v>
      </c>
    </row>
    <row r="17" spans="1:22">
      <c r="A17" s="182">
        <v>12</v>
      </c>
      <c r="B17" s="167" t="s">
        <v>40</v>
      </c>
      <c r="C17" s="168" t="s">
        <v>41</v>
      </c>
      <c r="D17" s="51">
        <v>1719470625.3199999</v>
      </c>
      <c r="E17" s="52">
        <f t="shared" si="0"/>
        <v>5.7193771923182278E-2</v>
      </c>
      <c r="F17" s="55">
        <v>3.5</v>
      </c>
      <c r="G17" s="55">
        <v>3.57</v>
      </c>
      <c r="H17" s="54">
        <v>3661</v>
      </c>
      <c r="I17" s="73">
        <v>-6.6E-3</v>
      </c>
      <c r="J17" s="73">
        <v>0.26290000000000002</v>
      </c>
      <c r="K17" s="51">
        <v>1713908039.3099999</v>
      </c>
      <c r="L17" s="52">
        <f t="shared" si="1"/>
        <v>5.720038920052594E-2</v>
      </c>
      <c r="M17" s="55">
        <v>3.49</v>
      </c>
      <c r="N17" s="55">
        <v>3.56</v>
      </c>
      <c r="O17" s="54">
        <v>3661</v>
      </c>
      <c r="P17" s="73">
        <v>-1.3599999999999999E-2</v>
      </c>
      <c r="Q17" s="73">
        <v>0.25879999999999997</v>
      </c>
      <c r="R17" s="79">
        <f t="shared" si="2"/>
        <v>-3.2350573066433005E-3</v>
      </c>
      <c r="S17" s="79">
        <f t="shared" si="3"/>
        <v>-2.8011204481792123E-3</v>
      </c>
      <c r="T17" s="79">
        <f t="shared" si="4"/>
        <v>0</v>
      </c>
      <c r="U17" s="80">
        <f t="shared" si="5"/>
        <v>-6.9999999999999993E-3</v>
      </c>
      <c r="V17" s="81">
        <f t="shared" si="6"/>
        <v>-4.1000000000000481E-3</v>
      </c>
    </row>
    <row r="18" spans="1:22">
      <c r="A18" s="182">
        <v>13</v>
      </c>
      <c r="B18" s="167" t="s">
        <v>42</v>
      </c>
      <c r="C18" s="168" t="s">
        <v>43</v>
      </c>
      <c r="D18" s="55">
        <v>671216557.85000002</v>
      </c>
      <c r="E18" s="52">
        <f t="shared" si="0"/>
        <v>2.2326294009001737E-2</v>
      </c>
      <c r="F18" s="55">
        <v>22.502258999999999</v>
      </c>
      <c r="G18" s="55">
        <v>22.618040000000001</v>
      </c>
      <c r="H18" s="54">
        <v>347</v>
      </c>
      <c r="I18" s="73">
        <v>1.7800309262631542E-2</v>
      </c>
      <c r="J18" s="73">
        <v>0.28010156820245746</v>
      </c>
      <c r="K18" s="55">
        <v>667615825.75</v>
      </c>
      <c r="L18" s="52">
        <f t="shared" si="1"/>
        <v>2.2281175065089559E-2</v>
      </c>
      <c r="M18" s="55">
        <v>22.447818000000002</v>
      </c>
      <c r="N18" s="55">
        <v>22.571918</v>
      </c>
      <c r="O18" s="54">
        <v>350</v>
      </c>
      <c r="P18" s="73">
        <v>-2.4193570965473899E-3</v>
      </c>
      <c r="Q18" s="73">
        <v>0.27713632092667401</v>
      </c>
      <c r="R18" s="79">
        <f t="shared" si="2"/>
        <v>-5.3644864058980746E-3</v>
      </c>
      <c r="S18" s="79">
        <f t="shared" si="3"/>
        <v>-2.0391687343377426E-3</v>
      </c>
      <c r="T18" s="79">
        <f t="shared" si="4"/>
        <v>8.6455331412103754E-3</v>
      </c>
      <c r="U18" s="80">
        <f t="shared" si="5"/>
        <v>-2.021966635917893E-2</v>
      </c>
      <c r="V18" s="81">
        <f t="shared" si="6"/>
        <v>-2.9652472757834558E-3</v>
      </c>
    </row>
    <row r="19" spans="1:22">
      <c r="A19" s="182">
        <v>14</v>
      </c>
      <c r="B19" s="167" t="s">
        <v>44</v>
      </c>
      <c r="C19" s="168" t="s">
        <v>45</v>
      </c>
      <c r="D19" s="55">
        <v>127607777.31999999</v>
      </c>
      <c r="E19" s="52">
        <f t="shared" si="0"/>
        <v>4.2445448059376173E-3</v>
      </c>
      <c r="F19" s="55">
        <v>1.3786750000000001</v>
      </c>
      <c r="G19" s="55">
        <v>1.427859</v>
      </c>
      <c r="H19" s="54">
        <v>21</v>
      </c>
      <c r="I19" s="73">
        <v>6.0000000000000001E-3</v>
      </c>
      <c r="J19" s="73">
        <v>-0.35360000000000003</v>
      </c>
      <c r="K19" s="55">
        <v>128245497.19</v>
      </c>
      <c r="L19" s="52">
        <f t="shared" si="1"/>
        <v>4.2800968221353474E-3</v>
      </c>
      <c r="M19" s="55">
        <v>1.3854610000000001</v>
      </c>
      <c r="N19" s="55">
        <v>1.4352590000000001</v>
      </c>
      <c r="O19" s="54">
        <v>22</v>
      </c>
      <c r="P19" s="73">
        <v>6.8999999999999999E-3</v>
      </c>
      <c r="Q19" s="73">
        <v>-0.3503</v>
      </c>
      <c r="R19" s="79">
        <f t="shared" si="2"/>
        <v>4.9975000222815952E-3</v>
      </c>
      <c r="S19" s="79">
        <f t="shared" si="3"/>
        <v>5.1825845549175889E-3</v>
      </c>
      <c r="T19" s="79">
        <f t="shared" si="4"/>
        <v>4.7619047619047616E-2</v>
      </c>
      <c r="U19" s="80">
        <f t="shared" si="5"/>
        <v>8.9999999999999976E-4</v>
      </c>
      <c r="V19" s="81">
        <f t="shared" si="6"/>
        <v>3.3000000000000251E-3</v>
      </c>
    </row>
    <row r="20" spans="1:22">
      <c r="A20" s="182">
        <v>15</v>
      </c>
      <c r="B20" s="167" t="s">
        <v>46</v>
      </c>
      <c r="C20" s="168" t="s">
        <v>47</v>
      </c>
      <c r="D20" s="51">
        <v>1660903021.3</v>
      </c>
      <c r="E20" s="52">
        <f t="shared" si="0"/>
        <v>5.5245671073373498E-2</v>
      </c>
      <c r="F20" s="55">
        <v>29.36</v>
      </c>
      <c r="G20" s="55">
        <v>29.95</v>
      </c>
      <c r="H20" s="54">
        <v>8834</v>
      </c>
      <c r="I20" s="73">
        <v>-1.6000000000000001E-3</v>
      </c>
      <c r="J20" s="73">
        <v>0.16639999999999999</v>
      </c>
      <c r="K20" s="51">
        <v>1651111995.1800001</v>
      </c>
      <c r="L20" s="52">
        <f t="shared" si="1"/>
        <v>5.5104618551165149E-2</v>
      </c>
      <c r="M20" s="55">
        <v>29.19</v>
      </c>
      <c r="N20" s="55">
        <v>29.77</v>
      </c>
      <c r="O20" s="54">
        <v>8834</v>
      </c>
      <c r="P20" s="73">
        <v>-2E-3</v>
      </c>
      <c r="Q20" s="73">
        <v>0.15959999999999999</v>
      </c>
      <c r="R20" s="79">
        <f t="shared" si="2"/>
        <v>-5.8950016915113946E-3</v>
      </c>
      <c r="S20" s="79">
        <f t="shared" si="3"/>
        <v>-6.0100166944908086E-3</v>
      </c>
      <c r="T20" s="79">
        <f t="shared" si="4"/>
        <v>0</v>
      </c>
      <c r="U20" s="80">
        <f t="shared" si="5"/>
        <v>-3.9999999999999996E-4</v>
      </c>
      <c r="V20" s="81">
        <f t="shared" si="6"/>
        <v>-6.8000000000000005E-3</v>
      </c>
    </row>
    <row r="21" spans="1:22" ht="12.75" customHeight="1">
      <c r="A21" s="182">
        <v>16</v>
      </c>
      <c r="B21" s="167" t="s">
        <v>48</v>
      </c>
      <c r="C21" s="168" t="s">
        <v>49</v>
      </c>
      <c r="D21" s="55">
        <v>711733855.11000001</v>
      </c>
      <c r="E21" s="52">
        <f t="shared" si="0"/>
        <v>2.367399778730906E-2</v>
      </c>
      <c r="F21" s="55">
        <v>7565.89</v>
      </c>
      <c r="G21" s="55">
        <v>7667.18</v>
      </c>
      <c r="H21" s="54">
        <v>19</v>
      </c>
      <c r="I21" s="73">
        <v>1.26E-2</v>
      </c>
      <c r="J21" s="73">
        <v>0.40739999999999998</v>
      </c>
      <c r="K21" s="55">
        <v>709654326.03999996</v>
      </c>
      <c r="L21" s="52">
        <f t="shared" si="1"/>
        <v>2.3684178331800702E-2</v>
      </c>
      <c r="M21" s="55">
        <v>7512.72</v>
      </c>
      <c r="N21" s="55">
        <v>7612.44</v>
      </c>
      <c r="O21" s="54">
        <v>19</v>
      </c>
      <c r="P21" s="73">
        <v>-7.1000000000000004E-3</v>
      </c>
      <c r="Q21" s="73">
        <v>0.39739999999999998</v>
      </c>
      <c r="R21" s="79">
        <f t="shared" si="2"/>
        <v>-2.9217790541643642E-3</v>
      </c>
      <c r="S21" s="79">
        <f t="shared" si="3"/>
        <v>-7.139521962442605E-3</v>
      </c>
      <c r="T21" s="79">
        <f t="shared" si="4"/>
        <v>0</v>
      </c>
      <c r="U21" s="80">
        <f t="shared" si="5"/>
        <v>-1.9700000000000002E-2</v>
      </c>
      <c r="V21" s="81">
        <f t="shared" si="6"/>
        <v>-1.0000000000000009E-2</v>
      </c>
    </row>
    <row r="22" spans="1:22">
      <c r="A22" s="182">
        <v>17</v>
      </c>
      <c r="B22" s="167" t="s">
        <v>50</v>
      </c>
      <c r="C22" s="168" t="s">
        <v>49</v>
      </c>
      <c r="D22" s="55">
        <v>12197921622.959999</v>
      </c>
      <c r="E22" s="52">
        <f t="shared" si="0"/>
        <v>0.40573251846660263</v>
      </c>
      <c r="F22" s="55">
        <v>24231.06</v>
      </c>
      <c r="G22" s="55">
        <v>24601.15</v>
      </c>
      <c r="H22" s="54">
        <v>17444</v>
      </c>
      <c r="I22" s="73">
        <v>-6.1000000000000004E-3</v>
      </c>
      <c r="J22" s="73">
        <v>0.3397</v>
      </c>
      <c r="K22" s="55">
        <v>12151769051.15</v>
      </c>
      <c r="L22" s="52">
        <f t="shared" si="1"/>
        <v>0.40555613443561389</v>
      </c>
      <c r="M22" s="55">
        <v>24151.37</v>
      </c>
      <c r="N22" s="55">
        <v>24520.2</v>
      </c>
      <c r="O22" s="54">
        <v>17448</v>
      </c>
      <c r="P22" s="73">
        <v>-3.3E-3</v>
      </c>
      <c r="Q22" s="73">
        <v>0.33529999999999999</v>
      </c>
      <c r="R22" s="79">
        <f t="shared" si="2"/>
        <v>-3.7836422660010409E-3</v>
      </c>
      <c r="S22" s="79">
        <f t="shared" si="3"/>
        <v>-3.2904965824768649E-3</v>
      </c>
      <c r="T22" s="79">
        <f t="shared" si="4"/>
        <v>2.2930520522815867E-4</v>
      </c>
      <c r="U22" s="80">
        <f t="shared" si="5"/>
        <v>2.8000000000000004E-3</v>
      </c>
      <c r="V22" s="81">
        <f t="shared" si="6"/>
        <v>-4.400000000000015E-3</v>
      </c>
    </row>
    <row r="23" spans="1:22">
      <c r="A23" s="182">
        <v>18</v>
      </c>
      <c r="B23" s="168" t="s">
        <v>51</v>
      </c>
      <c r="C23" s="168" t="s">
        <v>52</v>
      </c>
      <c r="D23" s="55">
        <v>3499602085.0100002</v>
      </c>
      <c r="E23" s="52">
        <f t="shared" si="0"/>
        <v>0.11640527062490842</v>
      </c>
      <c r="F23" s="55">
        <v>1.4054</v>
      </c>
      <c r="G23" s="53">
        <v>1.4189000000000001</v>
      </c>
      <c r="H23" s="54">
        <v>4436</v>
      </c>
      <c r="I23" s="73">
        <v>-8.3000000000000001E-3</v>
      </c>
      <c r="J23" s="73">
        <v>0.25430000000000003</v>
      </c>
      <c r="K23" s="55">
        <v>3519731577.48</v>
      </c>
      <c r="L23" s="52">
        <f t="shared" si="1"/>
        <v>0.11746838890742954</v>
      </c>
      <c r="M23" s="55">
        <v>1.4105000000000001</v>
      </c>
      <c r="N23" s="53">
        <v>1.4239999999999999</v>
      </c>
      <c r="O23" s="54">
        <v>4464</v>
      </c>
      <c r="P23" s="73">
        <v>3.5999999999999999E-3</v>
      </c>
      <c r="Q23" s="73">
        <v>0.25800000000000001</v>
      </c>
      <c r="R23" s="79">
        <f t="shared" si="2"/>
        <v>5.7519375006150932E-3</v>
      </c>
      <c r="S23" s="79">
        <f t="shared" si="3"/>
        <v>3.5943336387341479E-3</v>
      </c>
      <c r="T23" s="79">
        <f t="shared" si="4"/>
        <v>6.3119927862939585E-3</v>
      </c>
      <c r="U23" s="80">
        <f t="shared" si="5"/>
        <v>1.1900000000000001E-2</v>
      </c>
      <c r="V23" s="81">
        <f t="shared" si="6"/>
        <v>3.6999999999999811E-3</v>
      </c>
    </row>
    <row r="24" spans="1:22">
      <c r="A24" s="58"/>
      <c r="B24" s="59"/>
      <c r="C24" s="60" t="s">
        <v>53</v>
      </c>
      <c r="D24" s="61">
        <f>SUM(D6:D23)</f>
        <v>30063948704.580002</v>
      </c>
      <c r="E24" s="62">
        <f>(D24/$D$206)</f>
        <v>7.8562672919529827E-3</v>
      </c>
      <c r="F24" s="63"/>
      <c r="G24" s="64"/>
      <c r="H24" s="65">
        <f>SUM(H6:H23)</f>
        <v>50835</v>
      </c>
      <c r="I24" s="75"/>
      <c r="J24" s="54">
        <v>0</v>
      </c>
      <c r="K24" s="61">
        <f>SUM(K6:K23)</f>
        <v>29963223384.749996</v>
      </c>
      <c r="L24" s="62">
        <f>(K24/$K$206)</f>
        <v>7.7818825689633065E-3</v>
      </c>
      <c r="M24" s="63"/>
      <c r="N24" s="64"/>
      <c r="O24" s="65">
        <f>SUM(O6:O23)</f>
        <v>50888</v>
      </c>
      <c r="P24" s="75"/>
      <c r="Q24" s="65"/>
      <c r="R24" s="79">
        <f t="shared" si="2"/>
        <v>-3.3503689358896807E-3</v>
      </c>
      <c r="S24" s="79" t="e">
        <f t="shared" si="3"/>
        <v>#DIV/0!</v>
      </c>
      <c r="T24" s="79">
        <f t="shared" si="4"/>
        <v>1.0425887675813907E-3</v>
      </c>
      <c r="U24" s="80">
        <f t="shared" si="5"/>
        <v>0</v>
      </c>
      <c r="V24" s="81">
        <f t="shared" si="6"/>
        <v>0</v>
      </c>
    </row>
    <row r="25" spans="1:22" ht="4.5" customHeight="1">
      <c r="A25" s="58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2" ht="15" customHeight="1">
      <c r="A26" s="172" t="s">
        <v>54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</row>
    <row r="27" spans="1:22">
      <c r="A27" s="183">
        <v>19</v>
      </c>
      <c r="B27" s="167" t="s">
        <v>55</v>
      </c>
      <c r="C27" s="168" t="s">
        <v>19</v>
      </c>
      <c r="D27" s="67">
        <v>1549343887.55</v>
      </c>
      <c r="E27" s="52">
        <f>(D27/$K$63)</f>
        <v>9.7988588869360699E-4</v>
      </c>
      <c r="F27" s="53">
        <v>100</v>
      </c>
      <c r="G27" s="53">
        <v>100</v>
      </c>
      <c r="H27" s="54">
        <v>876</v>
      </c>
      <c r="I27" s="73">
        <v>0.21690000000000001</v>
      </c>
      <c r="J27" s="73">
        <v>0.21690000000000001</v>
      </c>
      <c r="K27" s="67">
        <v>1553452918.73</v>
      </c>
      <c r="L27" s="52">
        <f t="shared" ref="L27:L62" si="12">(K27/$K$63)</f>
        <v>9.824846543400453E-4</v>
      </c>
      <c r="M27" s="53">
        <v>100</v>
      </c>
      <c r="N27" s="53">
        <v>100</v>
      </c>
      <c r="O27" s="54">
        <v>876</v>
      </c>
      <c r="P27" s="73">
        <v>0.21010000000000001</v>
      </c>
      <c r="Q27" s="73">
        <v>0.21010000000000001</v>
      </c>
      <c r="R27" s="79">
        <f>((K27-D27)/D27)</f>
        <v>2.6521104920727043E-3</v>
      </c>
      <c r="S27" s="79">
        <f>((N27-G27)/G27)</f>
        <v>0</v>
      </c>
      <c r="T27" s="79">
        <f>((O27-H27)/H27)</f>
        <v>0</v>
      </c>
      <c r="U27" s="80">
        <f>P27-I27</f>
        <v>-6.8000000000000005E-3</v>
      </c>
      <c r="V27" s="81">
        <f>Q27-J27</f>
        <v>-6.8000000000000005E-3</v>
      </c>
    </row>
    <row r="28" spans="1:22">
      <c r="A28" s="183">
        <v>20</v>
      </c>
      <c r="B28" s="167" t="s">
        <v>56</v>
      </c>
      <c r="C28" s="168" t="s">
        <v>57</v>
      </c>
      <c r="D28" s="67">
        <v>9568262133.2399998</v>
      </c>
      <c r="E28" s="52">
        <f t="shared" ref="E28:E62" si="13">(D28/$K$63)</f>
        <v>6.0514680562682322E-3</v>
      </c>
      <c r="F28" s="53">
        <v>100</v>
      </c>
      <c r="G28" s="53">
        <v>100</v>
      </c>
      <c r="H28" s="54">
        <v>1822</v>
      </c>
      <c r="I28" s="73">
        <v>0.215417</v>
      </c>
      <c r="J28" s="73">
        <v>0.215417</v>
      </c>
      <c r="K28" s="67">
        <v>9887160419.5400009</v>
      </c>
      <c r="L28" s="52">
        <f t="shared" si="12"/>
        <v>6.2531559663474342E-3</v>
      </c>
      <c r="M28" s="53">
        <v>100</v>
      </c>
      <c r="N28" s="53">
        <v>100</v>
      </c>
      <c r="O28" s="54">
        <v>1851</v>
      </c>
      <c r="P28" s="73">
        <v>0.23100699999999999</v>
      </c>
      <c r="Q28" s="73">
        <v>0.23100699999999999</v>
      </c>
      <c r="R28" s="79">
        <f t="shared" ref="R28:R63" si="14">((K28-D28)/D28)</f>
        <v>3.3328757287298102E-2</v>
      </c>
      <c r="S28" s="79">
        <f t="shared" ref="S28:S63" si="15">((N28-G28)/G28)</f>
        <v>0</v>
      </c>
      <c r="T28" s="79">
        <f t="shared" ref="T28:T63" si="16">((O28-H28)/H28)</f>
        <v>1.5916575192096598E-2</v>
      </c>
      <c r="U28" s="80">
        <f t="shared" ref="U28:U63" si="17">P28-I28</f>
        <v>1.5589999999999993E-2</v>
      </c>
      <c r="V28" s="81">
        <f t="shared" ref="V28:V63" si="18">Q28-J28</f>
        <v>1.5589999999999993E-2</v>
      </c>
    </row>
    <row r="29" spans="1:22">
      <c r="A29" s="183">
        <v>21</v>
      </c>
      <c r="B29" s="167" t="s">
        <v>58</v>
      </c>
      <c r="C29" s="168" t="s">
        <v>21</v>
      </c>
      <c r="D29" s="67">
        <v>988362670.58000004</v>
      </c>
      <c r="E29" s="52">
        <f t="shared" si="13"/>
        <v>6.2509210614587686E-4</v>
      </c>
      <c r="F29" s="53">
        <v>100</v>
      </c>
      <c r="G29" s="53">
        <v>100</v>
      </c>
      <c r="H29" s="54">
        <v>1772</v>
      </c>
      <c r="I29" s="73">
        <v>0.21079999999999999</v>
      </c>
      <c r="J29" s="73">
        <v>0.21079999999999999</v>
      </c>
      <c r="K29" s="67">
        <v>1015458514.92</v>
      </c>
      <c r="L29" s="52">
        <f t="shared" si="12"/>
        <v>6.4222893143325041E-4</v>
      </c>
      <c r="M29" s="53">
        <v>100</v>
      </c>
      <c r="N29" s="53">
        <v>100</v>
      </c>
      <c r="O29" s="54">
        <v>1779</v>
      </c>
      <c r="P29" s="73">
        <v>0.21379999999999999</v>
      </c>
      <c r="Q29" s="73">
        <v>0.21379999999999999</v>
      </c>
      <c r="R29" s="79">
        <f t="shared" si="14"/>
        <v>2.7414880333450152E-2</v>
      </c>
      <c r="S29" s="79">
        <f t="shared" si="15"/>
        <v>0</v>
      </c>
      <c r="T29" s="79">
        <f t="shared" si="16"/>
        <v>3.9503386004514675E-3</v>
      </c>
      <c r="U29" s="80">
        <f t="shared" si="17"/>
        <v>3.0000000000000027E-3</v>
      </c>
      <c r="V29" s="81">
        <f t="shared" si="18"/>
        <v>3.0000000000000027E-3</v>
      </c>
    </row>
    <row r="30" spans="1:22">
      <c r="A30" s="183">
        <v>22</v>
      </c>
      <c r="B30" s="167" t="s">
        <v>59</v>
      </c>
      <c r="C30" s="168" t="s">
        <v>23</v>
      </c>
      <c r="D30" s="67">
        <v>113089362229.78</v>
      </c>
      <c r="E30" s="52">
        <f t="shared" si="13"/>
        <v>7.1523611446619548E-2</v>
      </c>
      <c r="F30" s="53">
        <v>1</v>
      </c>
      <c r="G30" s="53">
        <v>1</v>
      </c>
      <c r="H30" s="54">
        <v>63077</v>
      </c>
      <c r="I30" s="73">
        <v>0.20710000000000001</v>
      </c>
      <c r="J30" s="73">
        <v>0.20710000000000001</v>
      </c>
      <c r="K30" s="67">
        <v>113347259247.42</v>
      </c>
      <c r="L30" s="52">
        <f t="shared" si="12"/>
        <v>7.1686718972555075E-2</v>
      </c>
      <c r="M30" s="53">
        <v>1</v>
      </c>
      <c r="N30" s="53">
        <v>1</v>
      </c>
      <c r="O30" s="54">
        <v>63257</v>
      </c>
      <c r="P30" s="73">
        <v>0.2162</v>
      </c>
      <c r="Q30" s="73">
        <v>0.2162</v>
      </c>
      <c r="R30" s="79">
        <f t="shared" si="14"/>
        <v>2.2804710589488758E-3</v>
      </c>
      <c r="S30" s="79">
        <f t="shared" si="15"/>
        <v>0</v>
      </c>
      <c r="T30" s="79">
        <f t="shared" si="16"/>
        <v>2.8536550565182238E-3</v>
      </c>
      <c r="U30" s="80">
        <f t="shared" si="17"/>
        <v>9.099999999999997E-3</v>
      </c>
      <c r="V30" s="81">
        <f t="shared" si="18"/>
        <v>9.099999999999997E-3</v>
      </c>
    </row>
    <row r="31" spans="1:22">
      <c r="A31" s="183">
        <v>23</v>
      </c>
      <c r="B31" s="167" t="s">
        <v>60</v>
      </c>
      <c r="C31" s="168" t="s">
        <v>25</v>
      </c>
      <c r="D31" s="67">
        <v>75586761600.080002</v>
      </c>
      <c r="E31" s="52">
        <f t="shared" si="13"/>
        <v>4.7805010662344612E-2</v>
      </c>
      <c r="F31" s="53">
        <v>1</v>
      </c>
      <c r="G31" s="53">
        <v>1</v>
      </c>
      <c r="H31" s="54">
        <v>30148</v>
      </c>
      <c r="I31" s="73">
        <v>0.20374999999999999</v>
      </c>
      <c r="J31" s="73">
        <v>0.20749999999999999</v>
      </c>
      <c r="K31" s="67">
        <v>76747703878.529999</v>
      </c>
      <c r="L31" s="52">
        <f t="shared" si="12"/>
        <v>4.8539251114307701E-2</v>
      </c>
      <c r="M31" s="53">
        <v>1</v>
      </c>
      <c r="N31" s="53">
        <v>1</v>
      </c>
      <c r="O31" s="54">
        <v>30235</v>
      </c>
      <c r="P31" s="73">
        <v>0.20799999999999999</v>
      </c>
      <c r="Q31" s="73">
        <v>0.20799999999999999</v>
      </c>
      <c r="R31" s="79">
        <f t="shared" si="14"/>
        <v>1.5359068888179067E-2</v>
      </c>
      <c r="S31" s="79">
        <f t="shared" si="15"/>
        <v>0</v>
      </c>
      <c r="T31" s="79">
        <f t="shared" si="16"/>
        <v>2.8857635664057317E-3</v>
      </c>
      <c r="U31" s="80">
        <f t="shared" si="17"/>
        <v>4.2500000000000038E-3</v>
      </c>
      <c r="V31" s="81">
        <f t="shared" si="18"/>
        <v>5.0000000000000044E-4</v>
      </c>
    </row>
    <row r="32" spans="1:22" ht="15" customHeight="1">
      <c r="A32" s="183">
        <v>24</v>
      </c>
      <c r="B32" s="167" t="s">
        <v>61</v>
      </c>
      <c r="C32" s="168" t="s">
        <v>47</v>
      </c>
      <c r="D32" s="67">
        <v>9716483027</v>
      </c>
      <c r="E32" s="52">
        <f t="shared" si="13"/>
        <v>6.1452106807249936E-3</v>
      </c>
      <c r="F32" s="53">
        <v>100</v>
      </c>
      <c r="G32" s="53">
        <v>100</v>
      </c>
      <c r="H32" s="54">
        <v>2891</v>
      </c>
      <c r="I32" s="73">
        <v>0.21199999999999999</v>
      </c>
      <c r="J32" s="73">
        <v>0.21199999999999999</v>
      </c>
      <c r="K32" s="67">
        <v>10036180168</v>
      </c>
      <c r="L32" s="52">
        <f t="shared" si="12"/>
        <v>6.3474038281849578E-3</v>
      </c>
      <c r="M32" s="53">
        <v>100</v>
      </c>
      <c r="N32" s="53">
        <v>100</v>
      </c>
      <c r="O32" s="54">
        <v>2891</v>
      </c>
      <c r="P32" s="73">
        <v>0.221</v>
      </c>
      <c r="Q32" s="73">
        <v>0.221</v>
      </c>
      <c r="R32" s="79">
        <f t="shared" si="14"/>
        <v>3.2902557449195451E-2</v>
      </c>
      <c r="S32" s="79">
        <f t="shared" si="15"/>
        <v>0</v>
      </c>
      <c r="T32" s="79">
        <f t="shared" si="16"/>
        <v>0</v>
      </c>
      <c r="U32" s="80">
        <f t="shared" si="17"/>
        <v>9.000000000000008E-3</v>
      </c>
      <c r="V32" s="81">
        <f t="shared" si="18"/>
        <v>9.000000000000008E-3</v>
      </c>
    </row>
    <row r="33" spans="1:22" ht="15" customHeight="1">
      <c r="A33" s="183">
        <v>25</v>
      </c>
      <c r="B33" s="167" t="s">
        <v>62</v>
      </c>
      <c r="C33" s="168" t="s">
        <v>63</v>
      </c>
      <c r="D33" s="67">
        <v>328167405.52999997</v>
      </c>
      <c r="E33" s="52">
        <f t="shared" si="13"/>
        <v>2.0755018456008323E-4</v>
      </c>
      <c r="F33" s="53">
        <v>1</v>
      </c>
      <c r="G33" s="53">
        <v>1</v>
      </c>
      <c r="H33" s="54">
        <v>277</v>
      </c>
      <c r="I33" s="73">
        <v>0.21</v>
      </c>
      <c r="J33" s="73">
        <v>0.21</v>
      </c>
      <c r="K33" s="67">
        <v>327472505.52999997</v>
      </c>
      <c r="L33" s="52">
        <f t="shared" si="12"/>
        <v>2.0711069355390646E-4</v>
      </c>
      <c r="M33" s="53">
        <v>1</v>
      </c>
      <c r="N33" s="53">
        <v>1</v>
      </c>
      <c r="O33" s="54">
        <v>279</v>
      </c>
      <c r="P33" s="73">
        <v>0.21049999999999999</v>
      </c>
      <c r="Q33" s="73">
        <v>0.21049999999999999</v>
      </c>
      <c r="R33" s="79">
        <f t="shared" si="14"/>
        <v>-2.1175168169968498E-3</v>
      </c>
      <c r="S33" s="79">
        <f t="shared" si="15"/>
        <v>0</v>
      </c>
      <c r="T33" s="79">
        <f t="shared" si="16"/>
        <v>7.2202166064981952E-3</v>
      </c>
      <c r="U33" s="80">
        <f t="shared" si="17"/>
        <v>5.0000000000000044E-4</v>
      </c>
      <c r="V33" s="81">
        <f t="shared" si="18"/>
        <v>5.0000000000000044E-4</v>
      </c>
    </row>
    <row r="34" spans="1:22">
      <c r="A34" s="183">
        <v>26</v>
      </c>
      <c r="B34" s="167" t="s">
        <v>64</v>
      </c>
      <c r="C34" s="168" t="s">
        <v>65</v>
      </c>
      <c r="D34" s="67">
        <v>31445255801.93</v>
      </c>
      <c r="E34" s="52">
        <f t="shared" si="13"/>
        <v>1.988761996240657E-2</v>
      </c>
      <c r="F34" s="53">
        <v>100</v>
      </c>
      <c r="G34" s="53">
        <v>100</v>
      </c>
      <c r="H34" s="54">
        <v>3166</v>
      </c>
      <c r="I34" s="73">
        <v>0.23176953059219799</v>
      </c>
      <c r="J34" s="73">
        <v>0.23176953059219799</v>
      </c>
      <c r="K34" s="67">
        <v>31161435873.220001</v>
      </c>
      <c r="L34" s="52">
        <f t="shared" si="12"/>
        <v>1.9708117435364148E-2</v>
      </c>
      <c r="M34" s="53">
        <v>100</v>
      </c>
      <c r="N34" s="53">
        <v>100</v>
      </c>
      <c r="O34" s="54">
        <v>3192</v>
      </c>
      <c r="P34" s="73">
        <v>0.23280320533870499</v>
      </c>
      <c r="Q34" s="73">
        <v>0.23280320533870499</v>
      </c>
      <c r="R34" s="79">
        <f t="shared" si="14"/>
        <v>-9.0258425785354618E-3</v>
      </c>
      <c r="S34" s="79">
        <f t="shared" si="15"/>
        <v>0</v>
      </c>
      <c r="T34" s="79">
        <f t="shared" si="16"/>
        <v>8.2122552116234999E-3</v>
      </c>
      <c r="U34" s="80">
        <f t="shared" si="17"/>
        <v>1.0336747465070073E-3</v>
      </c>
      <c r="V34" s="81">
        <f t="shared" si="18"/>
        <v>1.0336747465070073E-3</v>
      </c>
    </row>
    <row r="35" spans="1:22">
      <c r="A35" s="183">
        <v>27</v>
      </c>
      <c r="B35" s="167" t="s">
        <v>66</v>
      </c>
      <c r="C35" s="168" t="s">
        <v>67</v>
      </c>
      <c r="D35" s="67">
        <v>13711291393.92</v>
      </c>
      <c r="E35" s="52">
        <f t="shared" si="13"/>
        <v>8.6717358622778427E-3</v>
      </c>
      <c r="F35" s="53">
        <v>100</v>
      </c>
      <c r="G35" s="53">
        <v>100</v>
      </c>
      <c r="H35" s="54">
        <v>6417</v>
      </c>
      <c r="I35" s="73">
        <v>0.22409999999999999</v>
      </c>
      <c r="J35" s="73">
        <v>0.22409999999999999</v>
      </c>
      <c r="K35" s="67">
        <v>13668914500.93</v>
      </c>
      <c r="L35" s="52">
        <f t="shared" si="12"/>
        <v>8.644934504760473E-3</v>
      </c>
      <c r="M35" s="53">
        <v>100</v>
      </c>
      <c r="N35" s="53">
        <v>100</v>
      </c>
      <c r="O35" s="54">
        <v>6427</v>
      </c>
      <c r="P35" s="73">
        <v>0.22969999999999999</v>
      </c>
      <c r="Q35" s="73">
        <v>0.22969999999999999</v>
      </c>
      <c r="R35" s="79">
        <f t="shared" si="14"/>
        <v>-3.0906565816835431E-3</v>
      </c>
      <c r="S35" s="79">
        <f t="shared" si="15"/>
        <v>0</v>
      </c>
      <c r="T35" s="79">
        <f t="shared" si="16"/>
        <v>1.5583606046439145E-3</v>
      </c>
      <c r="U35" s="80">
        <f t="shared" si="17"/>
        <v>5.5999999999999939E-3</v>
      </c>
      <c r="V35" s="81">
        <f t="shared" si="18"/>
        <v>5.5999999999999939E-3</v>
      </c>
    </row>
    <row r="36" spans="1:22">
      <c r="A36" s="183">
        <v>28</v>
      </c>
      <c r="B36" s="167" t="s">
        <v>68</v>
      </c>
      <c r="C36" s="168" t="s">
        <v>69</v>
      </c>
      <c r="D36" s="67">
        <v>44514190.369999997</v>
      </c>
      <c r="E36" s="52">
        <f t="shared" si="13"/>
        <v>2.8153095862506636E-5</v>
      </c>
      <c r="F36" s="53">
        <v>100</v>
      </c>
      <c r="G36" s="53">
        <v>100</v>
      </c>
      <c r="H36" s="54">
        <v>0</v>
      </c>
      <c r="I36" s="73">
        <v>0</v>
      </c>
      <c r="J36" s="73">
        <v>0</v>
      </c>
      <c r="K36" s="67">
        <v>44514190.369999997</v>
      </c>
      <c r="L36" s="52">
        <f t="shared" si="12"/>
        <v>2.8153095862506636E-5</v>
      </c>
      <c r="M36" s="53">
        <v>100</v>
      </c>
      <c r="N36" s="53">
        <v>100</v>
      </c>
      <c r="O36" s="54">
        <v>0</v>
      </c>
      <c r="P36" s="73">
        <v>0</v>
      </c>
      <c r="Q36" s="73">
        <v>0</v>
      </c>
      <c r="R36" s="79">
        <f t="shared" si="14"/>
        <v>0</v>
      </c>
      <c r="S36" s="79">
        <f t="shared" si="15"/>
        <v>0</v>
      </c>
      <c r="T36" s="79" t="e">
        <f t="shared" si="16"/>
        <v>#DIV/0!</v>
      </c>
      <c r="U36" s="80">
        <f t="shared" si="17"/>
        <v>0</v>
      </c>
      <c r="V36" s="81">
        <f t="shared" si="18"/>
        <v>0</v>
      </c>
    </row>
    <row r="37" spans="1:22">
      <c r="A37" s="183">
        <v>29</v>
      </c>
      <c r="B37" s="167" t="s">
        <v>70</v>
      </c>
      <c r="C37" s="168" t="s">
        <v>71</v>
      </c>
      <c r="D37" s="67">
        <v>7806365704.29</v>
      </c>
      <c r="E37" s="52">
        <f t="shared" si="13"/>
        <v>4.937152853593741E-3</v>
      </c>
      <c r="F37" s="53">
        <v>1</v>
      </c>
      <c r="G37" s="53">
        <v>1</v>
      </c>
      <c r="H37" s="54">
        <v>3190</v>
      </c>
      <c r="I37" s="73">
        <v>0.2001</v>
      </c>
      <c r="J37" s="73">
        <v>0.2001</v>
      </c>
      <c r="K37" s="67">
        <v>8156546240.2799997</v>
      </c>
      <c r="L37" s="52">
        <f t="shared" si="12"/>
        <v>5.158625290067719E-3</v>
      </c>
      <c r="M37" s="53">
        <v>1</v>
      </c>
      <c r="N37" s="53">
        <v>1</v>
      </c>
      <c r="O37" s="54">
        <v>3250</v>
      </c>
      <c r="P37" s="73">
        <v>0.22289999999999999</v>
      </c>
      <c r="Q37" s="73">
        <v>0.22289999999999999</v>
      </c>
      <c r="R37" s="79">
        <f t="shared" si="14"/>
        <v>4.4858330912880183E-2</v>
      </c>
      <c r="S37" s="79">
        <f t="shared" si="15"/>
        <v>0</v>
      </c>
      <c r="T37" s="79">
        <f t="shared" si="16"/>
        <v>1.8808777429467086E-2</v>
      </c>
      <c r="U37" s="80">
        <f t="shared" si="17"/>
        <v>2.2799999999999987E-2</v>
      </c>
      <c r="V37" s="81">
        <f t="shared" si="18"/>
        <v>2.2799999999999987E-2</v>
      </c>
    </row>
    <row r="38" spans="1:22">
      <c r="A38" s="183">
        <v>30</v>
      </c>
      <c r="B38" s="167" t="s">
        <v>72</v>
      </c>
      <c r="C38" s="168" t="s">
        <v>73</v>
      </c>
      <c r="D38" s="67">
        <v>29087344125.93</v>
      </c>
      <c r="E38" s="52">
        <f t="shared" si="13"/>
        <v>1.8396353629177027E-2</v>
      </c>
      <c r="F38" s="68">
        <v>100</v>
      </c>
      <c r="G38" s="68">
        <v>100</v>
      </c>
      <c r="H38" s="54">
        <v>3009</v>
      </c>
      <c r="I38" s="73">
        <v>0.20730000000000001</v>
      </c>
      <c r="J38" s="73">
        <v>0.20730000000000001</v>
      </c>
      <c r="K38" s="67">
        <v>29458877757.650002</v>
      </c>
      <c r="L38" s="52">
        <f t="shared" si="12"/>
        <v>1.8631330877174057E-2</v>
      </c>
      <c r="M38" s="68">
        <v>100</v>
      </c>
      <c r="N38" s="68">
        <v>100</v>
      </c>
      <c r="O38" s="54">
        <v>3042</v>
      </c>
      <c r="P38" s="73">
        <v>0.2109</v>
      </c>
      <c r="Q38" s="73">
        <v>0.2109</v>
      </c>
      <c r="R38" s="79">
        <f t="shared" si="14"/>
        <v>1.277303387038339E-2</v>
      </c>
      <c r="S38" s="79">
        <f t="shared" si="15"/>
        <v>0</v>
      </c>
      <c r="T38" s="79">
        <f t="shared" si="16"/>
        <v>1.0967098703888335E-2</v>
      </c>
      <c r="U38" s="80">
        <f t="shared" si="17"/>
        <v>3.5999999999999921E-3</v>
      </c>
      <c r="V38" s="81">
        <f t="shared" si="18"/>
        <v>3.5999999999999921E-3</v>
      </c>
    </row>
    <row r="39" spans="1:22">
      <c r="A39" s="183">
        <v>31</v>
      </c>
      <c r="B39" s="167" t="s">
        <v>74</v>
      </c>
      <c r="C39" s="168" t="s">
        <v>73</v>
      </c>
      <c r="D39" s="67">
        <v>948984304.90999997</v>
      </c>
      <c r="E39" s="52">
        <f t="shared" si="13"/>
        <v>6.0018717370969134E-4</v>
      </c>
      <c r="F39" s="68">
        <v>1000000</v>
      </c>
      <c r="G39" s="68">
        <v>1000000</v>
      </c>
      <c r="H39" s="54">
        <v>4</v>
      </c>
      <c r="I39" s="73">
        <v>0.23019999999999999</v>
      </c>
      <c r="J39" s="73">
        <v>0.23019999999999999</v>
      </c>
      <c r="K39" s="67">
        <v>1400380491.6199999</v>
      </c>
      <c r="L39" s="52">
        <f t="shared" si="12"/>
        <v>8.8567366713541843E-4</v>
      </c>
      <c r="M39" s="68">
        <v>1000000</v>
      </c>
      <c r="N39" s="68">
        <v>1000000</v>
      </c>
      <c r="O39" s="54">
        <v>6</v>
      </c>
      <c r="P39" s="73">
        <v>0.2089</v>
      </c>
      <c r="Q39" s="73">
        <v>0.2089</v>
      </c>
      <c r="R39" s="79">
        <f t="shared" si="14"/>
        <v>0.47566243653819917</v>
      </c>
      <c r="S39" s="79">
        <f t="shared" si="15"/>
        <v>0</v>
      </c>
      <c r="T39" s="79">
        <f t="shared" si="16"/>
        <v>0.5</v>
      </c>
      <c r="U39" s="80">
        <f t="shared" si="17"/>
        <v>-2.1299999999999986E-2</v>
      </c>
      <c r="V39" s="81">
        <f t="shared" si="18"/>
        <v>-2.1299999999999986E-2</v>
      </c>
    </row>
    <row r="40" spans="1:22">
      <c r="A40" s="183">
        <v>32</v>
      </c>
      <c r="B40" s="167" t="s">
        <v>75</v>
      </c>
      <c r="C40" s="168" t="s">
        <v>76</v>
      </c>
      <c r="D40" s="67">
        <v>3669760500.6599998</v>
      </c>
      <c r="E40" s="52">
        <f t="shared" si="13"/>
        <v>2.3209479563431478E-3</v>
      </c>
      <c r="F40" s="53">
        <v>1</v>
      </c>
      <c r="G40" s="53">
        <v>1</v>
      </c>
      <c r="H40" s="54">
        <v>667</v>
      </c>
      <c r="I40" s="73">
        <v>0.21290000000000001</v>
      </c>
      <c r="J40" s="73">
        <v>0.21290000000000001</v>
      </c>
      <c r="K40" s="67">
        <v>3636122834.9000001</v>
      </c>
      <c r="L40" s="52">
        <f t="shared" si="12"/>
        <v>2.2996737419665463E-3</v>
      </c>
      <c r="M40" s="53">
        <v>1</v>
      </c>
      <c r="N40" s="53">
        <v>1</v>
      </c>
      <c r="O40" s="54">
        <v>685</v>
      </c>
      <c r="P40" s="73">
        <v>0.20899999999999999</v>
      </c>
      <c r="Q40" s="73">
        <v>0.20899999999999999</v>
      </c>
      <c r="R40" s="79">
        <f t="shared" si="14"/>
        <v>-9.166174673783228E-3</v>
      </c>
      <c r="S40" s="79">
        <f t="shared" si="15"/>
        <v>0</v>
      </c>
      <c r="T40" s="79">
        <f t="shared" si="16"/>
        <v>2.6986506746626688E-2</v>
      </c>
      <c r="U40" s="80">
        <f t="shared" si="17"/>
        <v>-3.9000000000000146E-3</v>
      </c>
      <c r="V40" s="81">
        <f t="shared" si="18"/>
        <v>-3.9000000000000146E-3</v>
      </c>
    </row>
    <row r="41" spans="1:22">
      <c r="A41" s="183">
        <v>33</v>
      </c>
      <c r="B41" s="167" t="s">
        <v>77</v>
      </c>
      <c r="C41" s="168" t="s">
        <v>31</v>
      </c>
      <c r="D41" s="67">
        <v>337768614704.42999</v>
      </c>
      <c r="E41" s="52">
        <f t="shared" si="13"/>
        <v>0.21362249004372685</v>
      </c>
      <c r="F41" s="53">
        <v>100</v>
      </c>
      <c r="G41" s="53">
        <v>100</v>
      </c>
      <c r="H41" s="54">
        <v>15559</v>
      </c>
      <c r="I41" s="73">
        <v>0.22839999999999999</v>
      </c>
      <c r="J41" s="73">
        <v>0.22839999999999999</v>
      </c>
      <c r="K41" s="67">
        <v>338711176691.63</v>
      </c>
      <c r="L41" s="52">
        <f t="shared" si="12"/>
        <v>0.21421861540872686</v>
      </c>
      <c r="M41" s="53">
        <v>100</v>
      </c>
      <c r="N41" s="53">
        <v>100</v>
      </c>
      <c r="O41" s="54">
        <v>15756</v>
      </c>
      <c r="P41" s="73">
        <v>0.2606</v>
      </c>
      <c r="Q41" s="73">
        <v>0.2606</v>
      </c>
      <c r="R41" s="79">
        <f t="shared" si="14"/>
        <v>2.7905552682116917E-3</v>
      </c>
      <c r="S41" s="79">
        <f t="shared" si="15"/>
        <v>0</v>
      </c>
      <c r="T41" s="79">
        <f t="shared" si="16"/>
        <v>1.2661482100392056E-2</v>
      </c>
      <c r="U41" s="80">
        <f t="shared" si="17"/>
        <v>3.2200000000000006E-2</v>
      </c>
      <c r="V41" s="81">
        <f t="shared" si="18"/>
        <v>3.2200000000000006E-2</v>
      </c>
    </row>
    <row r="42" spans="1:22">
      <c r="A42" s="183">
        <v>34</v>
      </c>
      <c r="B42" s="167" t="s">
        <v>78</v>
      </c>
      <c r="C42" s="168" t="s">
        <v>79</v>
      </c>
      <c r="D42" s="67">
        <v>641041272.82000005</v>
      </c>
      <c r="E42" s="52">
        <f t="shared" si="13"/>
        <v>4.0542793782199327E-4</v>
      </c>
      <c r="F42" s="53">
        <v>1</v>
      </c>
      <c r="G42" s="53">
        <v>1</v>
      </c>
      <c r="H42" s="69">
        <v>745</v>
      </c>
      <c r="I42" s="76">
        <v>0.22159999999999999</v>
      </c>
      <c r="J42" s="76">
        <v>0.22159999999999999</v>
      </c>
      <c r="K42" s="67">
        <v>677330633.75999999</v>
      </c>
      <c r="L42" s="52">
        <f t="shared" si="12"/>
        <v>4.2837922254358312E-4</v>
      </c>
      <c r="M42" s="53">
        <v>1</v>
      </c>
      <c r="N42" s="53">
        <v>1</v>
      </c>
      <c r="O42" s="69">
        <v>752</v>
      </c>
      <c r="P42" s="76">
        <v>0.22869999999999999</v>
      </c>
      <c r="Q42" s="76">
        <v>0.22869999999999999</v>
      </c>
      <c r="R42" s="79">
        <f t="shared" si="14"/>
        <v>5.6610022597078147E-2</v>
      </c>
      <c r="S42" s="79">
        <f t="shared" si="15"/>
        <v>0</v>
      </c>
      <c r="T42" s="79">
        <f t="shared" si="16"/>
        <v>9.3959731543624154E-3</v>
      </c>
      <c r="U42" s="80">
        <f t="shared" si="17"/>
        <v>7.0999999999999952E-3</v>
      </c>
      <c r="V42" s="81">
        <f t="shared" si="18"/>
        <v>7.0999999999999952E-3</v>
      </c>
    </row>
    <row r="43" spans="1:22">
      <c r="A43" s="183">
        <v>35</v>
      </c>
      <c r="B43" s="167" t="s">
        <v>80</v>
      </c>
      <c r="C43" s="168" t="s">
        <v>81</v>
      </c>
      <c r="D43" s="67">
        <v>732179896.46000004</v>
      </c>
      <c r="E43" s="52">
        <f t="shared" si="13"/>
        <v>4.6306875722782164E-4</v>
      </c>
      <c r="F43" s="53">
        <v>10</v>
      </c>
      <c r="G43" s="53">
        <v>10</v>
      </c>
      <c r="H43" s="54">
        <v>396</v>
      </c>
      <c r="I43" s="73">
        <v>0.18360000000000001</v>
      </c>
      <c r="J43" s="73">
        <v>0.18360000000000001</v>
      </c>
      <c r="K43" s="67">
        <v>731554941.22000003</v>
      </c>
      <c r="L43" s="52">
        <f t="shared" si="12"/>
        <v>4.6267350293620693E-4</v>
      </c>
      <c r="M43" s="53">
        <v>10</v>
      </c>
      <c r="N43" s="53">
        <v>10</v>
      </c>
      <c r="O43" s="54">
        <v>398</v>
      </c>
      <c r="P43" s="73">
        <v>0.1903</v>
      </c>
      <c r="Q43" s="73">
        <v>0.1903</v>
      </c>
      <c r="R43" s="79">
        <f t="shared" si="14"/>
        <v>-8.5355421942283783E-4</v>
      </c>
      <c r="S43" s="79">
        <f t="shared" si="15"/>
        <v>0</v>
      </c>
      <c r="T43" s="79">
        <f t="shared" si="16"/>
        <v>5.0505050505050509E-3</v>
      </c>
      <c r="U43" s="80">
        <f t="shared" si="17"/>
        <v>6.6999999999999837E-3</v>
      </c>
      <c r="V43" s="81">
        <f t="shared" si="18"/>
        <v>6.6999999999999837E-3</v>
      </c>
    </row>
    <row r="44" spans="1:22">
      <c r="A44" s="183">
        <v>36</v>
      </c>
      <c r="B44" s="167" t="s">
        <v>82</v>
      </c>
      <c r="C44" s="168" t="s">
        <v>83</v>
      </c>
      <c r="D44" s="67">
        <v>4849072210.4399996</v>
      </c>
      <c r="E44" s="52">
        <f t="shared" si="13"/>
        <v>3.0668061948339615E-3</v>
      </c>
      <c r="F44" s="53">
        <v>100</v>
      </c>
      <c r="G44" s="53">
        <v>100</v>
      </c>
      <c r="H44" s="54">
        <v>702</v>
      </c>
      <c r="I44" s="73">
        <v>0.20380000000000001</v>
      </c>
      <c r="J44" s="73">
        <v>0.20380000000000001</v>
      </c>
      <c r="K44" s="67">
        <v>4837169819.3999996</v>
      </c>
      <c r="L44" s="52">
        <f t="shared" si="12"/>
        <v>3.0592785019082466E-3</v>
      </c>
      <c r="M44" s="53">
        <v>100</v>
      </c>
      <c r="N44" s="53">
        <v>100</v>
      </c>
      <c r="O44" s="54">
        <v>702</v>
      </c>
      <c r="P44" s="73">
        <v>0.2049</v>
      </c>
      <c r="Q44" s="73">
        <v>0.2049</v>
      </c>
      <c r="R44" s="79">
        <f t="shared" si="14"/>
        <v>-2.4545707969401329E-3</v>
      </c>
      <c r="S44" s="79">
        <f t="shared" si="15"/>
        <v>0</v>
      </c>
      <c r="T44" s="79">
        <f t="shared" si="16"/>
        <v>0</v>
      </c>
      <c r="U44" s="80">
        <f t="shared" si="17"/>
        <v>1.0999999999999899E-3</v>
      </c>
      <c r="V44" s="81">
        <f t="shared" si="18"/>
        <v>1.0999999999999899E-3</v>
      </c>
    </row>
    <row r="45" spans="1:22">
      <c r="A45" s="183">
        <v>37</v>
      </c>
      <c r="B45" s="167" t="s">
        <v>84</v>
      </c>
      <c r="C45" s="167" t="s">
        <v>85</v>
      </c>
      <c r="D45" s="55">
        <v>63427743.850000001</v>
      </c>
      <c r="E45" s="52">
        <f t="shared" ref="E45" si="19">(D45/$D$176)</f>
        <v>1.191182720187959E-3</v>
      </c>
      <c r="F45" s="55">
        <v>1</v>
      </c>
      <c r="G45" s="55">
        <v>1</v>
      </c>
      <c r="H45" s="54">
        <v>41</v>
      </c>
      <c r="I45" s="73">
        <v>0.1883</v>
      </c>
      <c r="J45" s="73">
        <v>0.1883</v>
      </c>
      <c r="K45" s="55">
        <v>63613752.619999997</v>
      </c>
      <c r="L45" s="77">
        <f t="shared" ref="L45" si="20">(K45/$K$176)</f>
        <v>1.193999300709486E-3</v>
      </c>
      <c r="M45" s="55">
        <v>1</v>
      </c>
      <c r="N45" s="55">
        <v>1</v>
      </c>
      <c r="O45" s="54">
        <v>41</v>
      </c>
      <c r="P45" s="73">
        <v>0.1847</v>
      </c>
      <c r="Q45" s="73">
        <v>0.1847</v>
      </c>
      <c r="R45" s="80">
        <f t="shared" si="14"/>
        <v>2.9326089611493539E-3</v>
      </c>
      <c r="S45" s="80">
        <f t="shared" si="15"/>
        <v>0</v>
      </c>
      <c r="T45" s="80">
        <f t="shared" si="16"/>
        <v>0</v>
      </c>
      <c r="U45" s="80">
        <f t="shared" si="17"/>
        <v>-3.5999999999999921E-3</v>
      </c>
      <c r="V45" s="81">
        <f t="shared" si="18"/>
        <v>-3.5999999999999921E-3</v>
      </c>
    </row>
    <row r="46" spans="1:22">
      <c r="A46" s="183">
        <v>38</v>
      </c>
      <c r="B46" s="167" t="s">
        <v>86</v>
      </c>
      <c r="C46" s="168" t="s">
        <v>37</v>
      </c>
      <c r="D46" s="67">
        <v>38684565101.470001</v>
      </c>
      <c r="E46" s="52">
        <f t="shared" si="13"/>
        <v>2.4466136767817028E-2</v>
      </c>
      <c r="F46" s="53">
        <v>100</v>
      </c>
      <c r="G46" s="53">
        <v>100</v>
      </c>
      <c r="H46" s="54">
        <v>12735</v>
      </c>
      <c r="I46" s="73">
        <v>0.19651278</v>
      </c>
      <c r="J46" s="73">
        <v>0.19651278</v>
      </c>
      <c r="K46" s="67">
        <v>40366072779.370003</v>
      </c>
      <c r="L46" s="52">
        <f t="shared" si="12"/>
        <v>2.5529609931227947E-2</v>
      </c>
      <c r="M46" s="53">
        <v>100</v>
      </c>
      <c r="N46" s="53">
        <v>100</v>
      </c>
      <c r="O46" s="54">
        <v>12780</v>
      </c>
      <c r="P46" s="73">
        <v>0.21859999999999999</v>
      </c>
      <c r="Q46" s="73">
        <v>0.21859999999999999</v>
      </c>
      <c r="R46" s="79">
        <f t="shared" si="14"/>
        <v>4.3467147000086213E-2</v>
      </c>
      <c r="S46" s="79">
        <f t="shared" si="15"/>
        <v>0</v>
      </c>
      <c r="T46" s="79">
        <f t="shared" si="16"/>
        <v>3.5335689045936395E-3</v>
      </c>
      <c r="U46" s="80">
        <f t="shared" si="17"/>
        <v>2.2087219999999991E-2</v>
      </c>
      <c r="V46" s="81">
        <f t="shared" si="18"/>
        <v>2.2087219999999991E-2</v>
      </c>
    </row>
    <row r="47" spans="1:22">
      <c r="A47" s="183">
        <v>39</v>
      </c>
      <c r="B47" s="167" t="s">
        <v>87</v>
      </c>
      <c r="C47" s="168" t="s">
        <v>41</v>
      </c>
      <c r="D47" s="67">
        <v>7229106690</v>
      </c>
      <c r="E47" s="52">
        <f t="shared" si="13"/>
        <v>4.5720641429664189E-3</v>
      </c>
      <c r="F47" s="53">
        <v>1</v>
      </c>
      <c r="G47" s="53">
        <v>1</v>
      </c>
      <c r="H47" s="54">
        <v>1123</v>
      </c>
      <c r="I47" s="73">
        <v>0.25659999999999999</v>
      </c>
      <c r="J47" s="73">
        <v>0.25659999999999999</v>
      </c>
      <c r="K47" s="67">
        <v>7186671083.1199999</v>
      </c>
      <c r="L47" s="52">
        <f t="shared" si="12"/>
        <v>4.5452256517224789E-3</v>
      </c>
      <c r="M47" s="53">
        <v>1</v>
      </c>
      <c r="N47" s="53">
        <v>1</v>
      </c>
      <c r="O47" s="54">
        <v>1134</v>
      </c>
      <c r="P47" s="73">
        <v>0.22389999999999999</v>
      </c>
      <c r="Q47" s="73">
        <v>0.22389999999999999</v>
      </c>
      <c r="R47" s="79">
        <f t="shared" si="14"/>
        <v>-5.8701038315980524E-3</v>
      </c>
      <c r="S47" s="79">
        <f t="shared" si="15"/>
        <v>0</v>
      </c>
      <c r="T47" s="79">
        <f t="shared" si="16"/>
        <v>9.7951914514692786E-3</v>
      </c>
      <c r="U47" s="80">
        <f t="shared" si="17"/>
        <v>-3.2700000000000007E-2</v>
      </c>
      <c r="V47" s="81">
        <f t="shared" si="18"/>
        <v>-3.2700000000000007E-2</v>
      </c>
    </row>
    <row r="48" spans="1:22">
      <c r="A48" s="183">
        <v>40</v>
      </c>
      <c r="B48" s="167" t="s">
        <v>88</v>
      </c>
      <c r="C48" s="168" t="s">
        <v>43</v>
      </c>
      <c r="D48" s="70">
        <v>15521223873.33</v>
      </c>
      <c r="E48" s="52">
        <f t="shared" si="13"/>
        <v>9.8164315688369572E-3</v>
      </c>
      <c r="F48" s="53">
        <v>10</v>
      </c>
      <c r="G48" s="53">
        <v>10</v>
      </c>
      <c r="H48" s="54">
        <v>2966</v>
      </c>
      <c r="I48" s="73">
        <v>0.24079999999999999</v>
      </c>
      <c r="J48" s="73">
        <v>0.24079999999999999</v>
      </c>
      <c r="K48" s="70">
        <v>15872290129.9</v>
      </c>
      <c r="L48" s="52">
        <f t="shared" si="12"/>
        <v>1.0038464181205159E-2</v>
      </c>
      <c r="M48" s="53">
        <v>10</v>
      </c>
      <c r="N48" s="53">
        <v>10</v>
      </c>
      <c r="O48" s="54">
        <v>350</v>
      </c>
      <c r="P48" s="73">
        <v>0.24460000000000001</v>
      </c>
      <c r="Q48" s="73">
        <v>0.24460000000000001</v>
      </c>
      <c r="R48" s="79">
        <f t="shared" si="14"/>
        <v>2.2618464847558455E-2</v>
      </c>
      <c r="S48" s="79">
        <f t="shared" si="15"/>
        <v>0</v>
      </c>
      <c r="T48" s="79">
        <f t="shared" si="16"/>
        <v>-0.88199595414699927</v>
      </c>
      <c r="U48" s="80">
        <f t="shared" si="17"/>
        <v>3.8000000000000256E-3</v>
      </c>
      <c r="V48" s="81">
        <f t="shared" si="18"/>
        <v>3.8000000000000256E-3</v>
      </c>
    </row>
    <row r="49" spans="1:22">
      <c r="A49" s="183">
        <v>41</v>
      </c>
      <c r="B49" s="167" t="s">
        <v>89</v>
      </c>
      <c r="C49" s="168" t="s">
        <v>90</v>
      </c>
      <c r="D49" s="67">
        <v>10914844965.610001</v>
      </c>
      <c r="E49" s="52">
        <f t="shared" si="13"/>
        <v>6.9031172775931206E-3</v>
      </c>
      <c r="F49" s="53">
        <v>100</v>
      </c>
      <c r="G49" s="53">
        <v>100</v>
      </c>
      <c r="H49" s="54">
        <v>3067</v>
      </c>
      <c r="I49" s="73">
        <v>0.22309999999999999</v>
      </c>
      <c r="J49" s="73">
        <v>0.22309999999999999</v>
      </c>
      <c r="K49" s="67">
        <v>11882958865.639999</v>
      </c>
      <c r="L49" s="52">
        <f t="shared" si="12"/>
        <v>7.5154030050616875E-3</v>
      </c>
      <c r="M49" s="53">
        <v>100</v>
      </c>
      <c r="N49" s="53">
        <v>100</v>
      </c>
      <c r="O49" s="54">
        <v>3109</v>
      </c>
      <c r="P49" s="73">
        <v>0.21840000000000001</v>
      </c>
      <c r="Q49" s="73">
        <v>0.21840000000000001</v>
      </c>
      <c r="R49" s="79">
        <f t="shared" si="14"/>
        <v>8.8696990482254962E-2</v>
      </c>
      <c r="S49" s="79">
        <f t="shared" si="15"/>
        <v>0</v>
      </c>
      <c r="T49" s="79">
        <f t="shared" si="16"/>
        <v>1.3694163677861103E-2</v>
      </c>
      <c r="U49" s="80">
        <f t="shared" si="17"/>
        <v>-4.699999999999982E-3</v>
      </c>
      <c r="V49" s="81">
        <f t="shared" si="18"/>
        <v>-4.699999999999982E-3</v>
      </c>
    </row>
    <row r="50" spans="1:22">
      <c r="A50" s="183">
        <v>42</v>
      </c>
      <c r="B50" s="167" t="s">
        <v>91</v>
      </c>
      <c r="C50" s="168" t="s">
        <v>92</v>
      </c>
      <c r="D50" s="67">
        <v>194522614.33000001</v>
      </c>
      <c r="E50" s="52">
        <f t="shared" si="13"/>
        <v>1.2302624765581909E-4</v>
      </c>
      <c r="F50" s="53">
        <v>1</v>
      </c>
      <c r="G50" s="53">
        <v>1</v>
      </c>
      <c r="H50" s="54">
        <v>83</v>
      </c>
      <c r="I50" s="73">
        <v>0.30669999999999997</v>
      </c>
      <c r="J50" s="73">
        <v>0.30669999999999997</v>
      </c>
      <c r="K50" s="67">
        <v>194188677.05000001</v>
      </c>
      <c r="L50" s="52">
        <f t="shared" si="12"/>
        <v>1.2281504830168594E-4</v>
      </c>
      <c r="M50" s="53">
        <v>1</v>
      </c>
      <c r="N50" s="53">
        <v>1</v>
      </c>
      <c r="O50" s="54">
        <v>83</v>
      </c>
      <c r="P50" s="73">
        <v>0.1807</v>
      </c>
      <c r="Q50" s="73">
        <v>0.1807</v>
      </c>
      <c r="R50" s="79">
        <f t="shared" si="14"/>
        <v>-1.7167015832590532E-3</v>
      </c>
      <c r="S50" s="79">
        <f t="shared" si="15"/>
        <v>0</v>
      </c>
      <c r="T50" s="79">
        <f t="shared" si="16"/>
        <v>0</v>
      </c>
      <c r="U50" s="80">
        <f t="shared" si="17"/>
        <v>-0.12599999999999997</v>
      </c>
      <c r="V50" s="81">
        <f t="shared" si="18"/>
        <v>-0.12599999999999997</v>
      </c>
    </row>
    <row r="51" spans="1:22">
      <c r="A51" s="183">
        <v>43</v>
      </c>
      <c r="B51" s="167" t="s">
        <v>93</v>
      </c>
      <c r="C51" s="168" t="s">
        <v>45</v>
      </c>
      <c r="D51" s="70">
        <v>937828987.54999995</v>
      </c>
      <c r="E51" s="52">
        <f t="shared" si="13"/>
        <v>5.931319691467791E-4</v>
      </c>
      <c r="F51" s="53">
        <v>10</v>
      </c>
      <c r="G51" s="53">
        <v>10</v>
      </c>
      <c r="H51" s="54">
        <v>734</v>
      </c>
      <c r="I51" s="73">
        <v>0.1855</v>
      </c>
      <c r="J51" s="153">
        <v>0.1855</v>
      </c>
      <c r="K51" s="70">
        <v>956639052.73000002</v>
      </c>
      <c r="L51" s="52">
        <f t="shared" si="12"/>
        <v>6.0502843550482922E-4</v>
      </c>
      <c r="M51" s="53">
        <v>10</v>
      </c>
      <c r="N51" s="53">
        <v>10</v>
      </c>
      <c r="O51" s="54">
        <v>736</v>
      </c>
      <c r="P51" s="73">
        <v>0.18099999999999999</v>
      </c>
      <c r="Q51" s="153">
        <v>0.18099999999999999</v>
      </c>
      <c r="R51" s="79">
        <f t="shared" si="14"/>
        <v>2.0057031110906259E-2</v>
      </c>
      <c r="S51" s="79">
        <f t="shared" si="15"/>
        <v>0</v>
      </c>
      <c r="T51" s="79">
        <f t="shared" si="16"/>
        <v>2.7247956403269754E-3</v>
      </c>
      <c r="U51" s="80">
        <f t="shared" si="17"/>
        <v>-4.500000000000004E-3</v>
      </c>
      <c r="V51" s="81">
        <f t="shared" si="18"/>
        <v>-4.500000000000004E-3</v>
      </c>
    </row>
    <row r="52" spans="1:22">
      <c r="A52" s="183">
        <v>44</v>
      </c>
      <c r="B52" s="167" t="s">
        <v>94</v>
      </c>
      <c r="C52" s="168" t="s">
        <v>95</v>
      </c>
      <c r="D52" s="70">
        <v>705123381.51999998</v>
      </c>
      <c r="E52" s="52">
        <f t="shared" si="13"/>
        <v>4.4595680590444041E-4</v>
      </c>
      <c r="F52" s="53">
        <v>1</v>
      </c>
      <c r="G52" s="53">
        <v>1</v>
      </c>
      <c r="H52" s="54">
        <v>61</v>
      </c>
      <c r="I52" s="73">
        <v>0.2253</v>
      </c>
      <c r="J52" s="73">
        <v>0.2253</v>
      </c>
      <c r="K52" s="70">
        <v>703973381.51999998</v>
      </c>
      <c r="L52" s="52">
        <f t="shared" si="12"/>
        <v>4.4522948592012136E-4</v>
      </c>
      <c r="M52" s="53">
        <v>1</v>
      </c>
      <c r="N52" s="53">
        <v>1</v>
      </c>
      <c r="O52" s="54">
        <v>61</v>
      </c>
      <c r="P52" s="73">
        <v>0.2099</v>
      </c>
      <c r="Q52" s="73">
        <v>0.2099</v>
      </c>
      <c r="R52" s="79">
        <f t="shared" si="14"/>
        <v>-1.630920247632409E-3</v>
      </c>
      <c r="S52" s="79">
        <f t="shared" si="15"/>
        <v>0</v>
      </c>
      <c r="T52" s="79">
        <f t="shared" si="16"/>
        <v>0</v>
      </c>
      <c r="U52" s="80">
        <f t="shared" si="17"/>
        <v>-1.5399999999999997E-2</v>
      </c>
      <c r="V52" s="81">
        <f t="shared" si="18"/>
        <v>-1.5399999999999997E-2</v>
      </c>
    </row>
    <row r="53" spans="1:22">
      <c r="A53" s="183">
        <v>45</v>
      </c>
      <c r="B53" s="167" t="s">
        <v>96</v>
      </c>
      <c r="C53" s="168" t="s">
        <v>97</v>
      </c>
      <c r="D53" s="70">
        <v>5491773802.0092001</v>
      </c>
      <c r="E53" s="52">
        <f t="shared" si="13"/>
        <v>3.4732842048356355E-3</v>
      </c>
      <c r="F53" s="53">
        <v>100</v>
      </c>
      <c r="G53" s="53">
        <v>100</v>
      </c>
      <c r="H53" s="54">
        <v>74</v>
      </c>
      <c r="I53" s="73">
        <v>0.23350000000000001</v>
      </c>
      <c r="J53" s="73">
        <v>0.23350000000000001</v>
      </c>
      <c r="K53" s="70">
        <v>5757944222.0093002</v>
      </c>
      <c r="L53" s="52">
        <f t="shared" si="12"/>
        <v>3.6416242619666458E-3</v>
      </c>
      <c r="M53" s="53">
        <v>100</v>
      </c>
      <c r="N53" s="53">
        <v>100</v>
      </c>
      <c r="O53" s="54">
        <v>75</v>
      </c>
      <c r="P53" s="73">
        <v>0.2329</v>
      </c>
      <c r="Q53" s="73">
        <v>0.2329</v>
      </c>
      <c r="R53" s="79">
        <f t="shared" si="14"/>
        <v>4.8467112739188203E-2</v>
      </c>
      <c r="S53" s="79">
        <f t="shared" si="15"/>
        <v>0</v>
      </c>
      <c r="T53" s="79">
        <f t="shared" si="16"/>
        <v>1.3513513513513514E-2</v>
      </c>
      <c r="U53" s="80">
        <f t="shared" si="17"/>
        <v>-6.0000000000001719E-4</v>
      </c>
      <c r="V53" s="81">
        <f t="shared" si="18"/>
        <v>-6.0000000000001719E-4</v>
      </c>
    </row>
    <row r="54" spans="1:22">
      <c r="A54" s="183">
        <v>46</v>
      </c>
      <c r="B54" s="167" t="s">
        <v>98</v>
      </c>
      <c r="C54" s="168" t="s">
        <v>99</v>
      </c>
      <c r="D54" s="70">
        <v>57455492.920000002</v>
      </c>
      <c r="E54" s="52">
        <f t="shared" si="13"/>
        <v>3.6337850617057769E-5</v>
      </c>
      <c r="F54" s="53">
        <v>1000</v>
      </c>
      <c r="G54" s="53">
        <v>1000</v>
      </c>
      <c r="H54" s="54">
        <v>21</v>
      </c>
      <c r="I54" s="73">
        <v>0.19500000000000001</v>
      </c>
      <c r="J54" s="73">
        <v>0.19500000000000001</v>
      </c>
      <c r="K54" s="70">
        <v>57601346.350000001</v>
      </c>
      <c r="L54" s="52">
        <f t="shared" si="12"/>
        <v>3.6430095933945136E-5</v>
      </c>
      <c r="M54" s="53">
        <v>1000</v>
      </c>
      <c r="N54" s="53">
        <v>1000</v>
      </c>
      <c r="O54" s="54">
        <v>21</v>
      </c>
      <c r="P54" s="73">
        <v>0.19400000000000001</v>
      </c>
      <c r="Q54" s="73">
        <v>0.19400000000000001</v>
      </c>
      <c r="R54" s="79">
        <f t="shared" si="14"/>
        <v>2.5385463179836156E-3</v>
      </c>
      <c r="S54" s="79">
        <f t="shared" si="15"/>
        <v>0</v>
      </c>
      <c r="T54" s="79">
        <f t="shared" si="16"/>
        <v>0</v>
      </c>
      <c r="U54" s="80">
        <f t="shared" si="17"/>
        <v>-1.0000000000000009E-3</v>
      </c>
      <c r="V54" s="81">
        <f t="shared" si="18"/>
        <v>-1.0000000000000009E-3</v>
      </c>
    </row>
    <row r="55" spans="1:22">
      <c r="A55" s="183">
        <v>47</v>
      </c>
      <c r="B55" s="167" t="s">
        <v>100</v>
      </c>
      <c r="C55" s="168" t="s">
        <v>49</v>
      </c>
      <c r="D55" s="67">
        <v>722292444121.09998</v>
      </c>
      <c r="E55" s="52">
        <f t="shared" si="13"/>
        <v>0.45681541663644432</v>
      </c>
      <c r="F55" s="53">
        <v>100</v>
      </c>
      <c r="G55" s="53">
        <v>100</v>
      </c>
      <c r="H55" s="54">
        <v>143463</v>
      </c>
      <c r="I55" s="73">
        <v>0.20499999999999999</v>
      </c>
      <c r="J55" s="73">
        <v>0.20499999999999999</v>
      </c>
      <c r="K55" s="67">
        <v>728451199703.51001</v>
      </c>
      <c r="L55" s="52">
        <f t="shared" si="12"/>
        <v>0.46071053490916009</v>
      </c>
      <c r="M55" s="53">
        <v>100</v>
      </c>
      <c r="N55" s="53">
        <v>100</v>
      </c>
      <c r="O55" s="54">
        <v>144216</v>
      </c>
      <c r="P55" s="73">
        <v>0.2064</v>
      </c>
      <c r="Q55" s="73">
        <v>0.2064</v>
      </c>
      <c r="R55" s="79">
        <f t="shared" si="14"/>
        <v>8.5266786777814518E-3</v>
      </c>
      <c r="S55" s="79">
        <f t="shared" si="15"/>
        <v>0</v>
      </c>
      <c r="T55" s="79">
        <f t="shared" si="16"/>
        <v>5.2487400932644656E-3</v>
      </c>
      <c r="U55" s="80">
        <f t="shared" si="17"/>
        <v>1.4000000000000123E-3</v>
      </c>
      <c r="V55" s="81">
        <f t="shared" si="18"/>
        <v>1.4000000000000123E-3</v>
      </c>
    </row>
    <row r="56" spans="1:22">
      <c r="A56" s="183">
        <v>48</v>
      </c>
      <c r="B56" s="167" t="s">
        <v>101</v>
      </c>
      <c r="C56" s="167" t="s">
        <v>102</v>
      </c>
      <c r="D56" s="67">
        <v>1596920704.1400001</v>
      </c>
      <c r="E56" s="52">
        <f t="shared" si="13"/>
        <v>1.009975949125075E-3</v>
      </c>
      <c r="F56" s="53">
        <v>100</v>
      </c>
      <c r="G56" s="53">
        <v>100</v>
      </c>
      <c r="H56" s="54">
        <v>295</v>
      </c>
      <c r="I56" s="73">
        <v>0.21640000000000001</v>
      </c>
      <c r="J56" s="73">
        <v>0.21640000000000001</v>
      </c>
      <c r="K56" s="67">
        <v>1563098194.28</v>
      </c>
      <c r="L56" s="52">
        <f t="shared" si="12"/>
        <v>9.8858482969811363E-4</v>
      </c>
      <c r="M56" s="53">
        <v>100</v>
      </c>
      <c r="N56" s="53">
        <v>100</v>
      </c>
      <c r="O56" s="54">
        <v>300</v>
      </c>
      <c r="P56" s="73">
        <v>0.22059999999999999</v>
      </c>
      <c r="Q56" s="73">
        <v>0.22059999999999999</v>
      </c>
      <c r="R56" s="79">
        <f t="shared" si="14"/>
        <v>-2.1179830515263301E-2</v>
      </c>
      <c r="S56" s="79">
        <f t="shared" si="15"/>
        <v>0</v>
      </c>
      <c r="T56" s="79">
        <f t="shared" si="16"/>
        <v>1.6949152542372881E-2</v>
      </c>
      <c r="U56" s="80">
        <f t="shared" si="17"/>
        <v>4.1999999999999815E-3</v>
      </c>
      <c r="V56" s="81">
        <f t="shared" si="18"/>
        <v>4.1999999999999815E-3</v>
      </c>
    </row>
    <row r="57" spans="1:22">
      <c r="A57" s="183">
        <v>49</v>
      </c>
      <c r="B57" s="167" t="s">
        <v>103</v>
      </c>
      <c r="C57" s="168" t="s">
        <v>104</v>
      </c>
      <c r="D57" s="67">
        <v>3228217112.8899999</v>
      </c>
      <c r="E57" s="52">
        <f t="shared" si="13"/>
        <v>2.0416928868918025E-3</v>
      </c>
      <c r="F57" s="53">
        <v>1</v>
      </c>
      <c r="G57" s="53">
        <v>1</v>
      </c>
      <c r="H57" s="54">
        <v>390</v>
      </c>
      <c r="I57" s="73">
        <v>0.21753098309999999</v>
      </c>
      <c r="J57" s="73">
        <v>0.21753098309999999</v>
      </c>
      <c r="K57" s="67">
        <v>3485175497.9699998</v>
      </c>
      <c r="L57" s="52">
        <f t="shared" si="12"/>
        <v>2.2042067726370444E-3</v>
      </c>
      <c r="M57" s="53">
        <v>1</v>
      </c>
      <c r="N57" s="53">
        <v>1</v>
      </c>
      <c r="O57" s="54">
        <v>388</v>
      </c>
      <c r="P57" s="73">
        <v>0.20599648549999999</v>
      </c>
      <c r="Q57" s="73">
        <v>0.20599648549999999</v>
      </c>
      <c r="R57" s="79">
        <f t="shared" si="14"/>
        <v>7.9597615678941372E-2</v>
      </c>
      <c r="S57" s="79">
        <f t="shared" si="15"/>
        <v>0</v>
      </c>
      <c r="T57" s="79">
        <f t="shared" si="16"/>
        <v>-5.1282051282051282E-3</v>
      </c>
      <c r="U57" s="80">
        <f t="shared" si="17"/>
        <v>-1.1534497599999999E-2</v>
      </c>
      <c r="V57" s="81">
        <f t="shared" si="18"/>
        <v>-1.1534497599999999E-2</v>
      </c>
    </row>
    <row r="58" spans="1:22">
      <c r="A58" s="183">
        <v>50</v>
      </c>
      <c r="B58" s="167" t="s">
        <v>105</v>
      </c>
      <c r="C58" s="168" t="s">
        <v>52</v>
      </c>
      <c r="D58" s="67">
        <v>65401780683.93</v>
      </c>
      <c r="E58" s="52">
        <f t="shared" si="13"/>
        <v>4.1363497479541288E-2</v>
      </c>
      <c r="F58" s="53">
        <v>1</v>
      </c>
      <c r="G58" s="53">
        <v>1</v>
      </c>
      <c r="H58" s="54">
        <v>37420</v>
      </c>
      <c r="I58" s="73">
        <v>0.21879999999999999</v>
      </c>
      <c r="J58" s="73">
        <v>0.21879999999999999</v>
      </c>
      <c r="K58" s="67">
        <v>64559193713.040001</v>
      </c>
      <c r="L58" s="52">
        <f t="shared" si="12"/>
        <v>4.0830601529580304E-2</v>
      </c>
      <c r="M58" s="53">
        <v>1</v>
      </c>
      <c r="N58" s="53">
        <v>1</v>
      </c>
      <c r="O58" s="54">
        <v>37851</v>
      </c>
      <c r="P58" s="73">
        <v>0.21990000000000001</v>
      </c>
      <c r="Q58" s="73">
        <v>0.21990000000000001</v>
      </c>
      <c r="R58" s="79">
        <f t="shared" si="14"/>
        <v>-1.2883242047521698E-2</v>
      </c>
      <c r="S58" s="79">
        <f t="shared" si="15"/>
        <v>0</v>
      </c>
      <c r="T58" s="79">
        <f t="shared" si="16"/>
        <v>1.1517904863709247E-2</v>
      </c>
      <c r="U58" s="80">
        <f t="shared" si="17"/>
        <v>1.1000000000000176E-3</v>
      </c>
      <c r="V58" s="81">
        <f t="shared" si="18"/>
        <v>1.1000000000000176E-3</v>
      </c>
    </row>
    <row r="59" spans="1:22">
      <c r="A59" s="183">
        <v>51</v>
      </c>
      <c r="B59" s="167" t="s">
        <v>106</v>
      </c>
      <c r="C59" s="168" t="s">
        <v>107</v>
      </c>
      <c r="D59" s="67">
        <v>1184373365.9400001</v>
      </c>
      <c r="E59" s="52">
        <f t="shared" si="13"/>
        <v>7.4905949386378727E-4</v>
      </c>
      <c r="F59" s="53">
        <v>1</v>
      </c>
      <c r="G59" s="53">
        <v>1</v>
      </c>
      <c r="H59" s="54">
        <v>131</v>
      </c>
      <c r="I59" s="73">
        <v>0.22220000000000001</v>
      </c>
      <c r="J59" s="73">
        <v>0.22220000000000001</v>
      </c>
      <c r="K59" s="67">
        <v>1193179992.22</v>
      </c>
      <c r="L59" s="52">
        <f t="shared" si="12"/>
        <v>7.5462926367932917E-4</v>
      </c>
      <c r="M59" s="53">
        <v>1</v>
      </c>
      <c r="N59" s="53">
        <v>1</v>
      </c>
      <c r="O59" s="54">
        <v>131</v>
      </c>
      <c r="P59" s="73">
        <v>0.22209999999999999</v>
      </c>
      <c r="Q59" s="73">
        <v>0.22209999999999999</v>
      </c>
      <c r="R59" s="79">
        <f t="shared" si="14"/>
        <v>7.4356841628319022E-3</v>
      </c>
      <c r="S59" s="79">
        <f t="shared" si="15"/>
        <v>0</v>
      </c>
      <c r="T59" s="79">
        <f t="shared" si="16"/>
        <v>0</v>
      </c>
      <c r="U59" s="80">
        <f t="shared" si="17"/>
        <v>-1.0000000000001674E-4</v>
      </c>
      <c r="V59" s="81">
        <f t="shared" si="18"/>
        <v>-1.0000000000001674E-4</v>
      </c>
    </row>
    <row r="60" spans="1:22">
      <c r="A60" s="183">
        <v>52</v>
      </c>
      <c r="B60" s="167" t="s">
        <v>108</v>
      </c>
      <c r="C60" s="168" t="s">
        <v>109</v>
      </c>
      <c r="D60" s="67">
        <v>2942046981.5300002</v>
      </c>
      <c r="E60" s="52">
        <f t="shared" si="13"/>
        <v>1.8607039691062989E-3</v>
      </c>
      <c r="F60" s="53">
        <v>1</v>
      </c>
      <c r="G60" s="53">
        <v>1</v>
      </c>
      <c r="H60" s="54">
        <v>332</v>
      </c>
      <c r="I60" s="73">
        <v>0.20019999999999999</v>
      </c>
      <c r="J60" s="73">
        <v>0.20019999999999999</v>
      </c>
      <c r="K60" s="67">
        <v>2959464901.1700001</v>
      </c>
      <c r="L60" s="52">
        <f t="shared" si="12"/>
        <v>1.8717199700101553E-3</v>
      </c>
      <c r="M60" s="53">
        <v>1</v>
      </c>
      <c r="N60" s="53">
        <v>1</v>
      </c>
      <c r="O60" s="54">
        <v>325</v>
      </c>
      <c r="P60" s="73">
        <v>0.2044</v>
      </c>
      <c r="Q60" s="73">
        <v>0.2044</v>
      </c>
      <c r="R60" s="79">
        <f t="shared" si="14"/>
        <v>5.9203404124232393E-3</v>
      </c>
      <c r="S60" s="79">
        <f t="shared" si="15"/>
        <v>0</v>
      </c>
      <c r="T60" s="79">
        <f t="shared" si="16"/>
        <v>-2.1084337349397589E-2</v>
      </c>
      <c r="U60" s="80">
        <f t="shared" si="17"/>
        <v>4.2000000000000093E-3</v>
      </c>
      <c r="V60" s="81">
        <f t="shared" si="18"/>
        <v>4.2000000000000093E-3</v>
      </c>
    </row>
    <row r="61" spans="1:22">
      <c r="A61" s="183">
        <v>53</v>
      </c>
      <c r="B61" s="167" t="s">
        <v>110</v>
      </c>
      <c r="C61" s="168" t="s">
        <v>111</v>
      </c>
      <c r="D61" s="67">
        <v>2491979949.2800002</v>
      </c>
      <c r="E61" s="52">
        <f t="shared" si="13"/>
        <v>1.5760581022901412E-3</v>
      </c>
      <c r="F61" s="53">
        <v>1</v>
      </c>
      <c r="G61" s="53">
        <v>1</v>
      </c>
      <c r="H61" s="54">
        <v>1620</v>
      </c>
      <c r="I61" s="73">
        <v>0.22950000000000001</v>
      </c>
      <c r="J61" s="73">
        <v>0.22950000000000001</v>
      </c>
      <c r="K61" s="67">
        <v>2640510697.1300001</v>
      </c>
      <c r="L61" s="52">
        <f t="shared" si="12"/>
        <v>1.6699966946354936E-3</v>
      </c>
      <c r="M61" s="53">
        <v>1</v>
      </c>
      <c r="N61" s="53">
        <v>1</v>
      </c>
      <c r="O61" s="54">
        <v>1667</v>
      </c>
      <c r="P61" s="73">
        <v>0.2339</v>
      </c>
      <c r="Q61" s="73">
        <v>0.2339</v>
      </c>
      <c r="R61" s="79">
        <f t="shared" si="14"/>
        <v>5.9603508404196599E-2</v>
      </c>
      <c r="S61" s="79">
        <f t="shared" si="15"/>
        <v>0</v>
      </c>
      <c r="T61" s="79">
        <f t="shared" si="16"/>
        <v>2.9012345679012345E-2</v>
      </c>
      <c r="U61" s="80">
        <f t="shared" si="17"/>
        <v>4.3999999999999873E-3</v>
      </c>
      <c r="V61" s="81">
        <f t="shared" si="18"/>
        <v>4.3999999999999873E-3</v>
      </c>
    </row>
    <row r="62" spans="1:22">
      <c r="A62" s="183">
        <v>54</v>
      </c>
      <c r="B62" s="167" t="s">
        <v>112</v>
      </c>
      <c r="C62" s="168" t="s">
        <v>113</v>
      </c>
      <c r="D62" s="67">
        <v>48042660781.970001</v>
      </c>
      <c r="E62" s="52">
        <f t="shared" si="13"/>
        <v>3.0384684597032009E-2</v>
      </c>
      <c r="F62" s="53">
        <v>1</v>
      </c>
      <c r="G62" s="53">
        <v>1</v>
      </c>
      <c r="H62" s="54">
        <v>4156</v>
      </c>
      <c r="I62" s="73">
        <v>0.219</v>
      </c>
      <c r="J62" s="73">
        <v>0.219</v>
      </c>
      <c r="K62" s="67">
        <v>47854771902.5</v>
      </c>
      <c r="L62" s="52">
        <f t="shared" si="12"/>
        <v>3.0265853869319102E-2</v>
      </c>
      <c r="M62" s="53">
        <v>1</v>
      </c>
      <c r="N62" s="53">
        <v>1</v>
      </c>
      <c r="O62" s="54">
        <v>4181</v>
      </c>
      <c r="P62" s="73">
        <v>0.22059999999999999</v>
      </c>
      <c r="Q62" s="73">
        <v>0.22059999999999999</v>
      </c>
      <c r="R62" s="79">
        <f t="shared" si="14"/>
        <v>-3.9108758010446059E-3</v>
      </c>
      <c r="S62" s="79">
        <f t="shared" si="15"/>
        <v>0</v>
      </c>
      <c r="T62" s="79">
        <f t="shared" si="16"/>
        <v>6.0153994225216551E-3</v>
      </c>
      <c r="U62" s="80">
        <f t="shared" si="17"/>
        <v>1.5999999999999903E-3</v>
      </c>
      <c r="V62" s="81">
        <f t="shared" si="18"/>
        <v>1.5999999999999903E-3</v>
      </c>
    </row>
    <row r="63" spans="1:22">
      <c r="A63" s="58"/>
      <c r="B63" s="59"/>
      <c r="C63" s="60" t="s">
        <v>53</v>
      </c>
      <c r="D63" s="71">
        <f>SUM(D27:D62)</f>
        <v>1568511463413.2886</v>
      </c>
      <c r="E63" s="62">
        <f>(D63/$D$206)</f>
        <v>0.40988113132290804</v>
      </c>
      <c r="F63" s="63"/>
      <c r="G63" s="68"/>
      <c r="H63" s="65">
        <f>SUM(H27:H62)</f>
        <v>343430</v>
      </c>
      <c r="I63" s="78"/>
      <c r="J63" s="78"/>
      <c r="K63" s="71">
        <f>SUM(K27:K62)</f>
        <v>1581147259519.7791</v>
      </c>
      <c r="L63" s="62">
        <f>(K63/$K$206)</f>
        <v>0.41064681659328534</v>
      </c>
      <c r="M63" s="63"/>
      <c r="N63" s="68"/>
      <c r="O63" s="65">
        <f>SUM(O27:O62)</f>
        <v>342827</v>
      </c>
      <c r="P63" s="78"/>
      <c r="Q63" s="78"/>
      <c r="R63" s="79">
        <f t="shared" si="14"/>
        <v>8.0559156890019235E-3</v>
      </c>
      <c r="S63" s="79" t="e">
        <f t="shared" si="15"/>
        <v>#DIV/0!</v>
      </c>
      <c r="T63" s="79">
        <f t="shared" si="16"/>
        <v>-1.7558163235593862E-3</v>
      </c>
      <c r="U63" s="80">
        <f t="shared" si="17"/>
        <v>0</v>
      </c>
      <c r="V63" s="81">
        <f t="shared" si="18"/>
        <v>0</v>
      </c>
    </row>
    <row r="64" spans="1:22" ht="3" customHeight="1">
      <c r="A64" s="58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</row>
    <row r="65" spans="1:22" ht="15" customHeight="1">
      <c r="A65" s="172" t="s">
        <v>114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</row>
    <row r="66" spans="1:22">
      <c r="A66" s="183">
        <v>55</v>
      </c>
      <c r="B66" s="167" t="s">
        <v>115</v>
      </c>
      <c r="C66" s="168" t="s">
        <v>21</v>
      </c>
      <c r="D66" s="51">
        <v>498836394.25</v>
      </c>
      <c r="E66" s="52">
        <f>(D66/$D$102)</f>
        <v>2.3606995439032219E-3</v>
      </c>
      <c r="F66" s="83">
        <v>1.3009999999999999</v>
      </c>
      <c r="G66" s="83">
        <v>1.3009999999999999</v>
      </c>
      <c r="H66" s="54">
        <v>465</v>
      </c>
      <c r="I66" s="73">
        <v>1.2999999999999999E-2</v>
      </c>
      <c r="J66" s="73">
        <v>1.6299999999999999E-2</v>
      </c>
      <c r="K66" s="51">
        <v>495974878.04000002</v>
      </c>
      <c r="L66" s="52">
        <f t="shared" ref="L66:L87" si="21">(K66/$K$102)</f>
        <v>2.3415244103537512E-3</v>
      </c>
      <c r="M66" s="83">
        <v>1.294</v>
      </c>
      <c r="N66" s="83">
        <v>1.294</v>
      </c>
      <c r="O66" s="54">
        <v>466</v>
      </c>
      <c r="P66" s="73">
        <v>4.64E-4</v>
      </c>
      <c r="Q66" s="73">
        <v>1.09E-2</v>
      </c>
      <c r="R66" s="79">
        <f>((K66-D66)/D66)</f>
        <v>-5.7363821946116523E-3</v>
      </c>
      <c r="S66" s="79">
        <f>((N66-G66)/G66)</f>
        <v>-5.3804765564949234E-3</v>
      </c>
      <c r="T66" s="79">
        <f>((O66-H66)/H66)</f>
        <v>2.1505376344086021E-3</v>
      </c>
      <c r="U66" s="80">
        <f>P66-I66</f>
        <v>-1.2535999999999999E-2</v>
      </c>
      <c r="V66" s="81">
        <f>Q66-J66</f>
        <v>-5.3999999999999986E-3</v>
      </c>
    </row>
    <row r="67" spans="1:22">
      <c r="A67" s="183">
        <v>56</v>
      </c>
      <c r="B67" s="167" t="s">
        <v>116</v>
      </c>
      <c r="C67" s="168" t="s">
        <v>23</v>
      </c>
      <c r="D67" s="51">
        <v>1394846445.9000001</v>
      </c>
      <c r="E67" s="52">
        <f>(D67/$D$102)</f>
        <v>6.6009886339626475E-3</v>
      </c>
      <c r="F67" s="83">
        <v>1.214</v>
      </c>
      <c r="G67" s="83">
        <v>1.214</v>
      </c>
      <c r="H67" s="54">
        <v>781</v>
      </c>
      <c r="I67" s="73">
        <v>9.4899999999999998E-2</v>
      </c>
      <c r="J67" s="73">
        <v>5.1900000000000002E-2</v>
      </c>
      <c r="K67" s="51">
        <v>1400124116.0599999</v>
      </c>
      <c r="L67" s="52">
        <f t="shared" si="21"/>
        <v>6.6100622036244661E-3</v>
      </c>
      <c r="M67" s="83">
        <v>1.2171000000000001</v>
      </c>
      <c r="N67" s="83">
        <v>1.2171000000000001</v>
      </c>
      <c r="O67" s="54">
        <v>795</v>
      </c>
      <c r="P67" s="73">
        <v>0.13350000000000001</v>
      </c>
      <c r="Q67" s="73">
        <v>5.3699999999999998E-2</v>
      </c>
      <c r="R67" s="79">
        <f t="shared" ref="R67:R102" si="22">((K67-D67)/D67)</f>
        <v>3.7836925888960656E-3</v>
      </c>
      <c r="S67" s="79">
        <f t="shared" ref="S67:S102" si="23">((N67-G67)/G67)</f>
        <v>2.5535420098847634E-3</v>
      </c>
      <c r="T67" s="79">
        <f t="shared" ref="T67:T102" si="24">((O67-H67)/H67)</f>
        <v>1.7925736235595392E-2</v>
      </c>
      <c r="U67" s="80">
        <f t="shared" ref="U67:U102" si="25">P67-I67</f>
        <v>3.8600000000000009E-2</v>
      </c>
      <c r="V67" s="81">
        <f t="shared" ref="V67:V102" si="26">Q67-J67</f>
        <v>1.799999999999996E-3</v>
      </c>
    </row>
    <row r="68" spans="1:22">
      <c r="A68" s="183">
        <v>57</v>
      </c>
      <c r="B68" s="167" t="s">
        <v>117</v>
      </c>
      <c r="C68" s="168" t="s">
        <v>23</v>
      </c>
      <c r="D68" s="51">
        <v>838969419.35000002</v>
      </c>
      <c r="E68" s="52">
        <f>(D68/$D$102)</f>
        <v>3.9703492937520285E-3</v>
      </c>
      <c r="F68" s="83">
        <v>1.1037999999999999</v>
      </c>
      <c r="G68" s="83">
        <v>1.1037999999999999</v>
      </c>
      <c r="H68" s="54">
        <v>198</v>
      </c>
      <c r="I68" s="73">
        <v>0.1139</v>
      </c>
      <c r="J68" s="73">
        <v>3.5099999999999999E-2</v>
      </c>
      <c r="K68" s="51">
        <v>841166677.63999999</v>
      </c>
      <c r="L68" s="52">
        <f t="shared" si="21"/>
        <v>3.9711936956439492E-3</v>
      </c>
      <c r="M68" s="83">
        <v>1.1063000000000001</v>
      </c>
      <c r="N68" s="83">
        <v>1.1063000000000001</v>
      </c>
      <c r="O68" s="54">
        <v>199</v>
      </c>
      <c r="P68" s="73">
        <v>0.11840000000000001</v>
      </c>
      <c r="Q68" s="73">
        <v>3.6999999999999998E-2</v>
      </c>
      <c r="R68" s="79">
        <f t="shared" si="22"/>
        <v>2.6189968779819291E-3</v>
      </c>
      <c r="S68" s="79">
        <f t="shared" si="23"/>
        <v>2.2649030621490931E-3</v>
      </c>
      <c r="T68" s="79">
        <f t="shared" si="24"/>
        <v>5.0505050505050509E-3</v>
      </c>
      <c r="U68" s="80">
        <f t="shared" si="25"/>
        <v>4.500000000000004E-3</v>
      </c>
      <c r="V68" s="81">
        <f t="shared" si="26"/>
        <v>1.8999999999999989E-3</v>
      </c>
    </row>
    <row r="69" spans="1:22">
      <c r="A69" s="183">
        <v>58</v>
      </c>
      <c r="B69" s="167" t="s">
        <v>118</v>
      </c>
      <c r="C69" s="168" t="s">
        <v>119</v>
      </c>
      <c r="D69" s="51">
        <v>277922609.85000002</v>
      </c>
      <c r="E69" s="52">
        <f>(D69/$D$102)</f>
        <v>1.3152444085394398E-3</v>
      </c>
      <c r="F69" s="57">
        <v>1096.9000000000001</v>
      </c>
      <c r="G69" s="57">
        <v>1096.9000000000001</v>
      </c>
      <c r="H69" s="54">
        <v>110</v>
      </c>
      <c r="I69" s="73">
        <v>3.6000000000000001E-5</v>
      </c>
      <c r="J69" s="73">
        <v>6.0042999999999999E-2</v>
      </c>
      <c r="K69" s="51">
        <v>276081029.41000003</v>
      </c>
      <c r="L69" s="52">
        <f t="shared" si="21"/>
        <v>1.3033935754039768E-3</v>
      </c>
      <c r="M69" s="57">
        <v>1099.57</v>
      </c>
      <c r="N69" s="57">
        <v>1099.57</v>
      </c>
      <c r="O69" s="54">
        <v>110</v>
      </c>
      <c r="P69" s="73">
        <v>2.434E-3</v>
      </c>
      <c r="Q69" s="73">
        <v>6.2880000000000005E-2</v>
      </c>
      <c r="R69" s="79">
        <f t="shared" si="22"/>
        <v>-6.6262346953129599E-3</v>
      </c>
      <c r="S69" s="79">
        <f t="shared" si="23"/>
        <v>2.434132555383212E-3</v>
      </c>
      <c r="T69" s="79">
        <f t="shared" si="24"/>
        <v>0</v>
      </c>
      <c r="U69" s="80">
        <f t="shared" si="25"/>
        <v>2.398E-3</v>
      </c>
      <c r="V69" s="81">
        <f t="shared" si="26"/>
        <v>2.8370000000000062E-3</v>
      </c>
    </row>
    <row r="70" spans="1:22" ht="15" customHeight="1">
      <c r="A70" s="183">
        <v>59</v>
      </c>
      <c r="B70" s="167" t="s">
        <v>120</v>
      </c>
      <c r="C70" s="168" t="s">
        <v>27</v>
      </c>
      <c r="D70" s="51">
        <v>1484270306.45</v>
      </c>
      <c r="E70" s="52">
        <f>(D70/$K$102)</f>
        <v>7.0073209511140296E-3</v>
      </c>
      <c r="F70" s="57">
        <v>1.0867</v>
      </c>
      <c r="G70" s="57">
        <v>1.0867</v>
      </c>
      <c r="H70" s="54">
        <v>892</v>
      </c>
      <c r="I70" s="73">
        <v>2.5999999999999999E-3</v>
      </c>
      <c r="J70" s="73">
        <v>0.1087</v>
      </c>
      <c r="K70" s="51">
        <v>1487469656.48</v>
      </c>
      <c r="L70" s="52">
        <f t="shared" si="21"/>
        <v>7.022425256844423E-3</v>
      </c>
      <c r="M70" s="57">
        <v>1.0899000000000001</v>
      </c>
      <c r="N70" s="57">
        <v>1.0899000000000001</v>
      </c>
      <c r="O70" s="54">
        <v>896</v>
      </c>
      <c r="P70" s="73">
        <v>2.8999999999999998E-3</v>
      </c>
      <c r="Q70" s="73">
        <v>0.1118</v>
      </c>
      <c r="R70" s="79">
        <f t="shared" si="22"/>
        <v>2.1555036276727849E-3</v>
      </c>
      <c r="S70" s="79">
        <f t="shared" si="23"/>
        <v>2.944694948007814E-3</v>
      </c>
      <c r="T70" s="79">
        <f t="shared" si="24"/>
        <v>4.4843049327354259E-3</v>
      </c>
      <c r="U70" s="80">
        <f t="shared" si="25"/>
        <v>2.9999999999999992E-4</v>
      </c>
      <c r="V70" s="81">
        <v>7.87</v>
      </c>
    </row>
    <row r="71" spans="1:22">
      <c r="A71" s="183">
        <v>60</v>
      </c>
      <c r="B71" s="167" t="s">
        <v>121</v>
      </c>
      <c r="C71" s="168" t="s">
        <v>122</v>
      </c>
      <c r="D71" s="51">
        <v>421773320.73871017</v>
      </c>
      <c r="E71" s="52">
        <f t="shared" ref="E71:E87" si="27">(D71/$D$102)</f>
        <v>1.9960052982810612E-3</v>
      </c>
      <c r="F71" s="57">
        <v>2.4276</v>
      </c>
      <c r="G71" s="57">
        <v>2.4276</v>
      </c>
      <c r="H71" s="54">
        <v>1390</v>
      </c>
      <c r="I71" s="73">
        <v>0.12740000000000001</v>
      </c>
      <c r="J71" s="73">
        <v>0.12529999999999999</v>
      </c>
      <c r="K71" s="51">
        <v>422875416.20678401</v>
      </c>
      <c r="L71" s="52">
        <f t="shared" si="21"/>
        <v>1.9964178699930649E-3</v>
      </c>
      <c r="M71" s="57">
        <v>2.4340000000000002</v>
      </c>
      <c r="N71" s="57">
        <v>2.4276</v>
      </c>
      <c r="O71" s="54">
        <v>1390</v>
      </c>
      <c r="P71" s="73">
        <v>0.137843372643179</v>
      </c>
      <c r="Q71" s="73">
        <v>0.12583843978932299</v>
      </c>
      <c r="R71" s="79">
        <f t="shared" si="22"/>
        <v>2.6130042226084668E-3</v>
      </c>
      <c r="S71" s="79">
        <f t="shared" si="23"/>
        <v>0</v>
      </c>
      <c r="T71" s="79">
        <f t="shared" si="24"/>
        <v>0</v>
      </c>
      <c r="U71" s="80">
        <f t="shared" si="25"/>
        <v>1.0443372643178989E-2</v>
      </c>
      <c r="V71" s="81">
        <f t="shared" si="26"/>
        <v>5.3843978932299752E-4</v>
      </c>
    </row>
    <row r="72" spans="1:22">
      <c r="A72" s="183">
        <v>61</v>
      </c>
      <c r="B72" s="167" t="s">
        <v>123</v>
      </c>
      <c r="C72" s="168" t="s">
        <v>63</v>
      </c>
      <c r="D72" s="51">
        <v>140048672.74000001</v>
      </c>
      <c r="E72" s="52">
        <f t="shared" si="27"/>
        <v>6.6276807721426514E-4</v>
      </c>
      <c r="F72" s="57">
        <v>11.2</v>
      </c>
      <c r="G72" s="57">
        <v>11.24</v>
      </c>
      <c r="H72" s="54">
        <v>29</v>
      </c>
      <c r="I72" s="73">
        <v>0.34699999999999998</v>
      </c>
      <c r="J72" s="73">
        <v>7.5999999999999998E-2</v>
      </c>
      <c r="K72" s="51">
        <v>140259525</v>
      </c>
      <c r="L72" s="52">
        <f t="shared" si="21"/>
        <v>6.62172856153483E-4</v>
      </c>
      <c r="M72" s="57">
        <v>11.23</v>
      </c>
      <c r="N72" s="57">
        <v>11.25</v>
      </c>
      <c r="O72" s="54">
        <v>29</v>
      </c>
      <c r="P72" s="73">
        <v>0.16800000000000001</v>
      </c>
      <c r="Q72" s="73">
        <v>7.6999999999999999E-2</v>
      </c>
      <c r="R72" s="79">
        <f t="shared" si="22"/>
        <v>1.5055641433420587E-3</v>
      </c>
      <c r="S72" s="79">
        <f t="shared" si="23"/>
        <v>8.8967971530247208E-4</v>
      </c>
      <c r="T72" s="79">
        <f t="shared" si="24"/>
        <v>0</v>
      </c>
      <c r="U72" s="80">
        <f t="shared" si="25"/>
        <v>-0.17899999999999996</v>
      </c>
      <c r="V72" s="81">
        <f t="shared" si="26"/>
        <v>1.0000000000000009E-3</v>
      </c>
    </row>
    <row r="73" spans="1:22">
      <c r="A73" s="183">
        <v>62</v>
      </c>
      <c r="B73" s="167" t="s">
        <v>124</v>
      </c>
      <c r="C73" s="168" t="s">
        <v>65</v>
      </c>
      <c r="D73" s="51">
        <v>2116792400.977</v>
      </c>
      <c r="E73" s="52">
        <f t="shared" si="27"/>
        <v>1.001753463284763E-2</v>
      </c>
      <c r="F73" s="51">
        <v>4342.5763642415304</v>
      </c>
      <c r="G73" s="51">
        <v>4342.5763642415304</v>
      </c>
      <c r="H73" s="54">
        <v>1040</v>
      </c>
      <c r="I73" s="73">
        <v>9.4028012060896254E-2</v>
      </c>
      <c r="J73" s="73">
        <v>9.6258462736394088E-2</v>
      </c>
      <c r="K73" s="51">
        <v>2058028260.5855601</v>
      </c>
      <c r="L73" s="52">
        <f t="shared" si="21"/>
        <v>9.7160634998337894E-3</v>
      </c>
      <c r="M73" s="51">
        <v>4350.0653789056296</v>
      </c>
      <c r="N73" s="51">
        <v>4350.0653789056296</v>
      </c>
      <c r="O73" s="54">
        <v>1034</v>
      </c>
      <c r="P73" s="73">
        <v>9.0169624703192494E-2</v>
      </c>
      <c r="Q73" s="73">
        <v>9.6293376329139799E-2</v>
      </c>
      <c r="R73" s="79">
        <f t="shared" si="22"/>
        <v>-2.7760936955516978E-2</v>
      </c>
      <c r="S73" s="79">
        <f t="shared" si="23"/>
        <v>1.7245556637222618E-3</v>
      </c>
      <c r="T73" s="79">
        <f t="shared" si="24"/>
        <v>-5.7692307692307696E-3</v>
      </c>
      <c r="U73" s="80">
        <f t="shared" si="25"/>
        <v>-3.8583873577037603E-3</v>
      </c>
      <c r="V73" s="81">
        <f t="shared" si="26"/>
        <v>3.4913592745711153E-5</v>
      </c>
    </row>
    <row r="74" spans="1:22">
      <c r="A74" s="183">
        <v>63</v>
      </c>
      <c r="B74" s="167" t="s">
        <v>125</v>
      </c>
      <c r="C74" s="168" t="s">
        <v>67</v>
      </c>
      <c r="D74" s="51">
        <v>352416194.86000001</v>
      </c>
      <c r="E74" s="52">
        <f t="shared" si="27"/>
        <v>1.6677787748845892E-3</v>
      </c>
      <c r="F74" s="83">
        <v>108.44</v>
      </c>
      <c r="G74" s="83">
        <v>108.44</v>
      </c>
      <c r="H74" s="54">
        <v>135</v>
      </c>
      <c r="I74" s="73">
        <v>2.0999999999999999E-3</v>
      </c>
      <c r="J74" s="73">
        <v>0.1283</v>
      </c>
      <c r="K74" s="51">
        <v>354399516.61000001</v>
      </c>
      <c r="L74" s="52">
        <f t="shared" si="21"/>
        <v>1.6731394187528971E-3</v>
      </c>
      <c r="M74" s="83">
        <v>108.7</v>
      </c>
      <c r="N74" s="83">
        <v>108.7</v>
      </c>
      <c r="O74" s="54">
        <v>136</v>
      </c>
      <c r="P74" s="73">
        <v>2.3999999999999998E-3</v>
      </c>
      <c r="Q74" s="73">
        <v>0.128</v>
      </c>
      <c r="R74" s="79">
        <f t="shared" si="22"/>
        <v>5.6277826584782507E-3</v>
      </c>
      <c r="S74" s="79">
        <f t="shared" si="23"/>
        <v>2.3976392475101912E-3</v>
      </c>
      <c r="T74" s="79">
        <f t="shared" si="24"/>
        <v>7.4074074074074077E-3</v>
      </c>
      <c r="U74" s="80">
        <f t="shared" si="25"/>
        <v>2.9999999999999992E-4</v>
      </c>
      <c r="V74" s="81">
        <f t="shared" si="26"/>
        <v>-2.9999999999999472E-4</v>
      </c>
    </row>
    <row r="75" spans="1:22" ht="13.5" customHeight="1">
      <c r="A75" s="183">
        <v>64</v>
      </c>
      <c r="B75" s="167" t="s">
        <v>126</v>
      </c>
      <c r="C75" s="168" t="s">
        <v>127</v>
      </c>
      <c r="D75" s="51">
        <v>350585395.37</v>
      </c>
      <c r="E75" s="52">
        <f t="shared" si="27"/>
        <v>1.6591146766535062E-3</v>
      </c>
      <c r="F75" s="83">
        <v>1.3892</v>
      </c>
      <c r="G75" s="83">
        <v>1.3892</v>
      </c>
      <c r="H75" s="54">
        <v>365</v>
      </c>
      <c r="I75" s="73">
        <v>5.8641074724356979E-2</v>
      </c>
      <c r="J75" s="73">
        <v>5.4990107217967821E-2</v>
      </c>
      <c r="K75" s="51">
        <v>351792895.38</v>
      </c>
      <c r="L75" s="52">
        <f t="shared" si="21"/>
        <v>1.6608334179677141E-3</v>
      </c>
      <c r="M75" s="83">
        <v>1.3913</v>
      </c>
      <c r="N75" s="83">
        <v>1.3913</v>
      </c>
      <c r="O75" s="54">
        <v>367</v>
      </c>
      <c r="P75" s="73">
        <v>1.5116613878491947E-3</v>
      </c>
      <c r="Q75" s="73">
        <v>6.0174481077040487E-2</v>
      </c>
      <c r="R75" s="79">
        <f t="shared" si="22"/>
        <v>3.444239337824161E-3</v>
      </c>
      <c r="S75" s="79">
        <f t="shared" si="23"/>
        <v>1.5116613878491151E-3</v>
      </c>
      <c r="T75" s="79">
        <f t="shared" si="24"/>
        <v>5.4794520547945206E-3</v>
      </c>
      <c r="U75" s="80">
        <f t="shared" si="25"/>
        <v>-5.7129413336507784E-2</v>
      </c>
      <c r="V75" s="81">
        <f t="shared" si="26"/>
        <v>5.1843738590726662E-3</v>
      </c>
    </row>
    <row r="76" spans="1:22">
      <c r="A76" s="183">
        <v>65</v>
      </c>
      <c r="B76" s="167" t="s">
        <v>128</v>
      </c>
      <c r="C76" s="168" t="s">
        <v>29</v>
      </c>
      <c r="D76" s="51">
        <v>131780284.90000001</v>
      </c>
      <c r="E76" s="52">
        <f t="shared" si="27"/>
        <v>6.2363865596975067E-4</v>
      </c>
      <c r="F76" s="83">
        <v>128.57390000000001</v>
      </c>
      <c r="G76" s="83">
        <v>128.57390000000001</v>
      </c>
      <c r="H76" s="54">
        <v>164</v>
      </c>
      <c r="I76" s="73">
        <v>4.5100000000000001E-4</v>
      </c>
      <c r="J76" s="73">
        <v>0.18690000000000001</v>
      </c>
      <c r="K76" s="51">
        <v>128391864.72</v>
      </c>
      <c r="L76" s="52">
        <f t="shared" si="21"/>
        <v>6.0614498565080704E-4</v>
      </c>
      <c r="M76" s="83">
        <v>128.98009999999999</v>
      </c>
      <c r="N76" s="83">
        <v>128.98009999999999</v>
      </c>
      <c r="O76" s="54">
        <v>164</v>
      </c>
      <c r="P76" s="73">
        <v>4.6500000000000003E-4</v>
      </c>
      <c r="Q76" s="73">
        <v>0.189</v>
      </c>
      <c r="R76" s="79">
        <f t="shared" si="22"/>
        <v>-2.5712648766629029E-2</v>
      </c>
      <c r="S76" s="79">
        <f t="shared" si="23"/>
        <v>3.1592726050931339E-3</v>
      </c>
      <c r="T76" s="79">
        <f t="shared" si="24"/>
        <v>0</v>
      </c>
      <c r="U76" s="80">
        <f t="shared" si="25"/>
        <v>1.4000000000000015E-5</v>
      </c>
      <c r="V76" s="81">
        <f t="shared" si="26"/>
        <v>2.0999999999999908E-3</v>
      </c>
    </row>
    <row r="77" spans="1:22">
      <c r="A77" s="183">
        <v>66</v>
      </c>
      <c r="B77" s="167" t="s">
        <v>129</v>
      </c>
      <c r="C77" s="168" t="s">
        <v>99</v>
      </c>
      <c r="D77" s="51">
        <v>1600054989.0100002</v>
      </c>
      <c r="E77" s="52">
        <f t="shared" si="27"/>
        <v>7.5721200905059707E-3</v>
      </c>
      <c r="F77" s="57">
        <v>1000</v>
      </c>
      <c r="G77" s="57">
        <v>1000</v>
      </c>
      <c r="H77" s="54">
        <v>337</v>
      </c>
      <c r="I77" s="73">
        <v>1.14E-2</v>
      </c>
      <c r="J77" s="73">
        <v>0.20480000000000001</v>
      </c>
      <c r="K77" s="51">
        <v>1597365602.3699999</v>
      </c>
      <c r="L77" s="52">
        <f t="shared" si="21"/>
        <v>7.5412500023985651E-3</v>
      </c>
      <c r="M77" s="57">
        <v>1000</v>
      </c>
      <c r="N77" s="57">
        <v>1000</v>
      </c>
      <c r="O77" s="54">
        <v>337</v>
      </c>
      <c r="P77" s="73">
        <v>0.2049</v>
      </c>
      <c r="Q77" s="73">
        <v>1.12E-2</v>
      </c>
      <c r="R77" s="79">
        <f t="shared" si="22"/>
        <v>-1.6808088837398918E-3</v>
      </c>
      <c r="S77" s="79">
        <f t="shared" si="23"/>
        <v>0</v>
      </c>
      <c r="T77" s="79">
        <f t="shared" si="24"/>
        <v>0</v>
      </c>
      <c r="U77" s="80">
        <f t="shared" si="25"/>
        <v>0.19350000000000001</v>
      </c>
      <c r="V77" s="81">
        <f t="shared" si="26"/>
        <v>-0.19360000000000002</v>
      </c>
    </row>
    <row r="78" spans="1:22">
      <c r="A78" s="183">
        <v>67</v>
      </c>
      <c r="B78" s="167" t="s">
        <v>130</v>
      </c>
      <c r="C78" s="168" t="s">
        <v>73</v>
      </c>
      <c r="D78" s="51">
        <v>196039610.18000001</v>
      </c>
      <c r="E78" s="52">
        <f t="shared" si="27"/>
        <v>9.2774028453697051E-4</v>
      </c>
      <c r="F78" s="57">
        <v>1068.8800000000001</v>
      </c>
      <c r="G78" s="57">
        <v>1077.73</v>
      </c>
      <c r="H78" s="54">
        <v>74</v>
      </c>
      <c r="I78" s="73">
        <v>0</v>
      </c>
      <c r="J78" s="73">
        <v>6.8599999999999994E-2</v>
      </c>
      <c r="K78" s="51">
        <v>196979445.94999999</v>
      </c>
      <c r="L78" s="52">
        <f t="shared" si="21"/>
        <v>9.2995069196364472E-4</v>
      </c>
      <c r="M78" s="57">
        <v>1073.49</v>
      </c>
      <c r="N78" s="57">
        <v>1084.1300000000001</v>
      </c>
      <c r="O78" s="54">
        <v>73</v>
      </c>
      <c r="P78" s="73">
        <v>5.1999999999999998E-3</v>
      </c>
      <c r="Q78" s="73">
        <v>7.3800000000000004E-2</v>
      </c>
      <c r="R78" s="79">
        <f t="shared" si="22"/>
        <v>4.7941116039612649E-3</v>
      </c>
      <c r="S78" s="79">
        <f t="shared" si="23"/>
        <v>5.9384075788927572E-3</v>
      </c>
      <c r="T78" s="79">
        <f t="shared" si="24"/>
        <v>-1.3513513513513514E-2</v>
      </c>
      <c r="U78" s="80">
        <f t="shared" si="25"/>
        <v>5.1999999999999998E-3</v>
      </c>
      <c r="V78" s="81">
        <f t="shared" si="26"/>
        <v>5.2000000000000102E-3</v>
      </c>
    </row>
    <row r="79" spans="1:22">
      <c r="A79" s="183">
        <v>68</v>
      </c>
      <c r="B79" s="167" t="s">
        <v>131</v>
      </c>
      <c r="C79" s="168" t="s">
        <v>76</v>
      </c>
      <c r="D79" s="51">
        <v>772849695.94000006</v>
      </c>
      <c r="E79" s="52">
        <f t="shared" si="27"/>
        <v>3.6574434939823995E-3</v>
      </c>
      <c r="F79" s="84">
        <v>1.1509</v>
      </c>
      <c r="G79" s="84">
        <v>1.1509</v>
      </c>
      <c r="H79" s="54">
        <v>43</v>
      </c>
      <c r="I79" s="73">
        <v>-9.5500000000000001E-4</v>
      </c>
      <c r="J79" s="73">
        <v>0.1193</v>
      </c>
      <c r="K79" s="51">
        <v>672623928.15999997</v>
      </c>
      <c r="L79" s="52">
        <f t="shared" si="21"/>
        <v>3.1754941963968745E-3</v>
      </c>
      <c r="M79" s="84">
        <v>1.1359999999999999</v>
      </c>
      <c r="N79" s="84">
        <v>1.1359999999999999</v>
      </c>
      <c r="O79" s="54">
        <v>43</v>
      </c>
      <c r="P79" s="73">
        <v>-1.3599999999999999E-2</v>
      </c>
      <c r="Q79" s="73">
        <v>0.10174999999999999</v>
      </c>
      <c r="R79" s="79">
        <f t="shared" si="22"/>
        <v>-0.12968338902960647</v>
      </c>
      <c r="S79" s="79">
        <f t="shared" si="23"/>
        <v>-1.2946389781909927E-2</v>
      </c>
      <c r="T79" s="79">
        <f t="shared" si="24"/>
        <v>0</v>
      </c>
      <c r="U79" s="80">
        <f t="shared" si="25"/>
        <v>-1.2645E-2</v>
      </c>
      <c r="V79" s="81">
        <f t="shared" si="26"/>
        <v>-1.755000000000001E-2</v>
      </c>
    </row>
    <row r="80" spans="1:22">
      <c r="A80" s="183">
        <v>69</v>
      </c>
      <c r="B80" s="167" t="s">
        <v>132</v>
      </c>
      <c r="C80" s="168" t="s">
        <v>31</v>
      </c>
      <c r="D80" s="51">
        <v>23987273306.43</v>
      </c>
      <c r="E80" s="52">
        <f t="shared" si="27"/>
        <v>0.11351766993486809</v>
      </c>
      <c r="F80" s="84">
        <v>1687.44</v>
      </c>
      <c r="G80" s="84">
        <v>1687.44</v>
      </c>
      <c r="H80" s="54">
        <v>2237</v>
      </c>
      <c r="I80" s="73">
        <v>2.9999999999999997E-4</v>
      </c>
      <c r="J80" s="73">
        <v>9.0499999999999997E-2</v>
      </c>
      <c r="K80" s="51">
        <v>23610165945.049999</v>
      </c>
      <c r="L80" s="52">
        <f t="shared" si="21"/>
        <v>0.11146487925216812</v>
      </c>
      <c r="M80" s="84">
        <v>1687.9</v>
      </c>
      <c r="N80" s="84">
        <v>1687.9</v>
      </c>
      <c r="O80" s="54">
        <v>2220</v>
      </c>
      <c r="P80" s="73">
        <v>2.9999999999999997E-4</v>
      </c>
      <c r="Q80" s="73">
        <v>9.0800000000000006E-2</v>
      </c>
      <c r="R80" s="79">
        <f t="shared" si="22"/>
        <v>-1.5721143314730738E-2</v>
      </c>
      <c r="S80" s="79">
        <f t="shared" si="23"/>
        <v>2.7260228511830726E-4</v>
      </c>
      <c r="T80" s="79">
        <f t="shared" si="24"/>
        <v>-7.5994635672776041E-3</v>
      </c>
      <c r="U80" s="80">
        <f t="shared" si="25"/>
        <v>0</v>
      </c>
      <c r="V80" s="81">
        <f t="shared" si="26"/>
        <v>3.0000000000000859E-4</v>
      </c>
    </row>
    <row r="81" spans="1:22">
      <c r="A81" s="183">
        <v>70</v>
      </c>
      <c r="B81" s="167" t="s">
        <v>133</v>
      </c>
      <c r="C81" s="168" t="s">
        <v>81</v>
      </c>
      <c r="D81" s="51">
        <v>23218829.829999998</v>
      </c>
      <c r="E81" s="52">
        <f t="shared" si="27"/>
        <v>1.0988107848878654E-4</v>
      </c>
      <c r="F81" s="83">
        <v>0.70809999999999995</v>
      </c>
      <c r="G81" s="83">
        <v>0.70809999999999995</v>
      </c>
      <c r="H81" s="54">
        <v>746</v>
      </c>
      <c r="I81" s="73">
        <v>2.0999999999999999E-3</v>
      </c>
      <c r="J81" s="73">
        <v>-7.3700000000000002E-2</v>
      </c>
      <c r="K81" s="51">
        <v>23269211.629999999</v>
      </c>
      <c r="L81" s="52">
        <f t="shared" si="21"/>
        <v>1.0985521536221474E-4</v>
      </c>
      <c r="M81" s="83">
        <v>0.7097</v>
      </c>
      <c r="N81" s="83">
        <v>0.7097</v>
      </c>
      <c r="O81" s="54">
        <v>746</v>
      </c>
      <c r="P81" s="73">
        <v>2.3E-3</v>
      </c>
      <c r="Q81" s="73">
        <v>-7.1599999999999997E-2</v>
      </c>
      <c r="R81" s="79">
        <f t="shared" si="22"/>
        <v>2.1698681789253955E-3</v>
      </c>
      <c r="S81" s="79">
        <f t="shared" si="23"/>
        <v>2.2595678576472896E-3</v>
      </c>
      <c r="T81" s="79">
        <f t="shared" si="24"/>
        <v>0</v>
      </c>
      <c r="U81" s="80">
        <f t="shared" si="25"/>
        <v>2.0000000000000009E-4</v>
      </c>
      <c r="V81" s="81">
        <f t="shared" si="26"/>
        <v>2.1000000000000046E-3</v>
      </c>
    </row>
    <row r="82" spans="1:22">
      <c r="A82" s="183">
        <v>71</v>
      </c>
      <c r="B82" s="167" t="s">
        <v>134</v>
      </c>
      <c r="C82" s="168" t="s">
        <v>37</v>
      </c>
      <c r="D82" s="51">
        <v>10590714436.9</v>
      </c>
      <c r="E82" s="52">
        <f t="shared" si="27"/>
        <v>5.0119628457319793E-2</v>
      </c>
      <c r="F82" s="83">
        <v>1</v>
      </c>
      <c r="G82" s="83">
        <v>1</v>
      </c>
      <c r="H82" s="54">
        <v>5246</v>
      </c>
      <c r="I82" s="73">
        <v>0.06</v>
      </c>
      <c r="J82" s="73">
        <v>0.06</v>
      </c>
      <c r="K82" s="51">
        <v>10607725410.639999</v>
      </c>
      <c r="L82" s="52">
        <f t="shared" si="21"/>
        <v>5.0079649367523286E-2</v>
      </c>
      <c r="M82" s="83">
        <v>1</v>
      </c>
      <c r="N82" s="83">
        <v>1</v>
      </c>
      <c r="O82" s="54">
        <v>5247</v>
      </c>
      <c r="P82" s="73">
        <v>0.06</v>
      </c>
      <c r="Q82" s="73">
        <v>0.06</v>
      </c>
      <c r="R82" s="79">
        <f t="shared" si="22"/>
        <v>1.6062158829181915E-3</v>
      </c>
      <c r="S82" s="79">
        <f t="shared" si="23"/>
        <v>0</v>
      </c>
      <c r="T82" s="79">
        <f t="shared" si="24"/>
        <v>1.9062142584826535E-4</v>
      </c>
      <c r="U82" s="80">
        <f t="shared" si="25"/>
        <v>0</v>
      </c>
      <c r="V82" s="81">
        <f t="shared" si="26"/>
        <v>0</v>
      </c>
    </row>
    <row r="83" spans="1:22">
      <c r="A83" s="183">
        <v>72</v>
      </c>
      <c r="B83" s="167" t="s">
        <v>135</v>
      </c>
      <c r="C83" s="168" t="s">
        <v>136</v>
      </c>
      <c r="D83" s="51">
        <v>1126515173.8199999</v>
      </c>
      <c r="E83" s="52">
        <f t="shared" si="27"/>
        <v>5.3311343913374307E-3</v>
      </c>
      <c r="F83" s="51">
        <v>235.82</v>
      </c>
      <c r="G83" s="51">
        <v>238.2</v>
      </c>
      <c r="H83" s="54">
        <v>491</v>
      </c>
      <c r="I83" s="73">
        <v>1.2999999999999999E-3</v>
      </c>
      <c r="J83" s="73">
        <v>0.17899999999999999</v>
      </c>
      <c r="K83" s="51">
        <v>1124904402.1099999</v>
      </c>
      <c r="L83" s="52">
        <f t="shared" si="21"/>
        <v>5.3107349454149713E-3</v>
      </c>
      <c r="M83" s="51">
        <v>236.48</v>
      </c>
      <c r="N83" s="51">
        <v>238.96</v>
      </c>
      <c r="O83" s="54">
        <v>491</v>
      </c>
      <c r="P83" s="73">
        <v>1.4E-3</v>
      </c>
      <c r="Q83" s="73">
        <v>0.1794</v>
      </c>
      <c r="R83" s="79">
        <f t="shared" si="22"/>
        <v>-1.4298712946208525E-3</v>
      </c>
      <c r="S83" s="79">
        <f t="shared" si="23"/>
        <v>3.1905961376994937E-3</v>
      </c>
      <c r="T83" s="79">
        <f t="shared" si="24"/>
        <v>0</v>
      </c>
      <c r="U83" s="80">
        <f t="shared" si="25"/>
        <v>1.0000000000000005E-4</v>
      </c>
      <c r="V83" s="81">
        <f t="shared" si="26"/>
        <v>4.0000000000001146E-4</v>
      </c>
    </row>
    <row r="84" spans="1:22">
      <c r="A84" s="183">
        <v>73</v>
      </c>
      <c r="B84" s="167" t="s">
        <v>137</v>
      </c>
      <c r="C84" s="168" t="s">
        <v>41</v>
      </c>
      <c r="D84" s="51">
        <v>1073078685.9299999</v>
      </c>
      <c r="E84" s="52">
        <f t="shared" si="27"/>
        <v>5.0782508927719834E-3</v>
      </c>
      <c r="F84" s="83">
        <v>3.58</v>
      </c>
      <c r="G84" s="83">
        <v>3.58</v>
      </c>
      <c r="H84" s="69">
        <v>770</v>
      </c>
      <c r="I84" s="76">
        <v>3.5999999999999999E-3</v>
      </c>
      <c r="J84" s="76">
        <v>2.9999999999999997E-4</v>
      </c>
      <c r="K84" s="51">
        <v>1073552554.11</v>
      </c>
      <c r="L84" s="52">
        <f t="shared" si="21"/>
        <v>5.0683000743506389E-3</v>
      </c>
      <c r="M84" s="83">
        <v>3.58</v>
      </c>
      <c r="N84" s="83">
        <v>3.58</v>
      </c>
      <c r="O84" s="69">
        <v>770</v>
      </c>
      <c r="P84" s="76">
        <v>0</v>
      </c>
      <c r="Q84" s="76">
        <v>4.0000000000000002E-4</v>
      </c>
      <c r="R84" s="79">
        <f t="shared" si="22"/>
        <v>4.4159686164056244E-4</v>
      </c>
      <c r="S84" s="79">
        <f t="shared" si="23"/>
        <v>0</v>
      </c>
      <c r="T84" s="79">
        <f t="shared" si="24"/>
        <v>0</v>
      </c>
      <c r="U84" s="80">
        <f t="shared" si="25"/>
        <v>-3.5999999999999999E-3</v>
      </c>
      <c r="V84" s="81">
        <f t="shared" si="26"/>
        <v>1.0000000000000005E-4</v>
      </c>
    </row>
    <row r="85" spans="1:22">
      <c r="A85" s="183">
        <v>74</v>
      </c>
      <c r="B85" s="167" t="s">
        <v>138</v>
      </c>
      <c r="C85" s="168" t="s">
        <v>43</v>
      </c>
      <c r="D85" s="51">
        <v>551177309.28999996</v>
      </c>
      <c r="E85" s="52">
        <f t="shared" si="27"/>
        <v>2.608398339914646E-3</v>
      </c>
      <c r="F85" s="83">
        <v>109.85</v>
      </c>
      <c r="G85" s="83">
        <v>109.85</v>
      </c>
      <c r="H85" s="69">
        <v>59</v>
      </c>
      <c r="I85" s="76">
        <v>0.1469</v>
      </c>
      <c r="J85" s="76">
        <v>0.17050000000000001</v>
      </c>
      <c r="K85" s="51">
        <v>564354457.08000004</v>
      </c>
      <c r="L85" s="52">
        <f t="shared" si="21"/>
        <v>2.664348126999659E-3</v>
      </c>
      <c r="M85" s="83">
        <v>110.16</v>
      </c>
      <c r="N85" s="83">
        <v>110.16</v>
      </c>
      <c r="O85" s="69">
        <v>59</v>
      </c>
      <c r="P85" s="76">
        <v>0.14699999999999999</v>
      </c>
      <c r="Q85" s="76">
        <v>0.17050000000000001</v>
      </c>
      <c r="R85" s="79">
        <f t="shared" si="22"/>
        <v>2.3907275513526213E-2</v>
      </c>
      <c r="S85" s="79">
        <f t="shared" si="23"/>
        <v>2.8220300409649728E-3</v>
      </c>
      <c r="T85" s="79">
        <f t="shared" si="24"/>
        <v>0</v>
      </c>
      <c r="U85" s="80">
        <f t="shared" si="25"/>
        <v>9.9999999999988987E-5</v>
      </c>
      <c r="V85" s="81">
        <f t="shared" si="26"/>
        <v>0</v>
      </c>
    </row>
    <row r="86" spans="1:22">
      <c r="A86" s="183">
        <v>75</v>
      </c>
      <c r="B86" s="168" t="s">
        <v>139</v>
      </c>
      <c r="C86" s="184" t="s">
        <v>47</v>
      </c>
      <c r="D86" s="51">
        <v>1639034186.5</v>
      </c>
      <c r="E86" s="52">
        <f t="shared" si="27"/>
        <v>7.7565857285328537E-3</v>
      </c>
      <c r="F86" s="83">
        <v>102.68</v>
      </c>
      <c r="G86" s="83">
        <v>102.68</v>
      </c>
      <c r="H86" s="54">
        <v>139</v>
      </c>
      <c r="I86" s="73">
        <v>2.5000000000000001E-3</v>
      </c>
      <c r="J86" s="73">
        <v>9.7699999999999995E-2</v>
      </c>
      <c r="K86" s="51">
        <v>1643674662.52</v>
      </c>
      <c r="L86" s="52">
        <f t="shared" si="21"/>
        <v>7.7598775973894158E-3</v>
      </c>
      <c r="M86" s="83">
        <v>101.78</v>
      </c>
      <c r="N86" s="83">
        <v>101.78</v>
      </c>
      <c r="O86" s="54">
        <v>139</v>
      </c>
      <c r="P86" s="73">
        <v>1.2999999999999999E-3</v>
      </c>
      <c r="Q86" s="73">
        <v>9.9900000000000003E-2</v>
      </c>
      <c r="R86" s="79">
        <f t="shared" si="22"/>
        <v>2.8312258879171224E-3</v>
      </c>
      <c r="S86" s="79">
        <f t="shared" si="23"/>
        <v>-8.7650954421504244E-3</v>
      </c>
      <c r="T86" s="79">
        <f t="shared" si="24"/>
        <v>0</v>
      </c>
      <c r="U86" s="80">
        <f t="shared" si="25"/>
        <v>-1.2000000000000001E-3</v>
      </c>
      <c r="V86" s="81">
        <f t="shared" si="26"/>
        <v>2.2000000000000075E-3</v>
      </c>
    </row>
    <row r="87" spans="1:22">
      <c r="A87" s="183">
        <v>76</v>
      </c>
      <c r="B87" s="167" t="s">
        <v>140</v>
      </c>
      <c r="C87" s="168" t="s">
        <v>19</v>
      </c>
      <c r="D87" s="51">
        <v>1334858095.4400001</v>
      </c>
      <c r="E87" s="52">
        <f t="shared" si="27"/>
        <v>6.3170990196466234E-3</v>
      </c>
      <c r="F87" s="83">
        <v>349.73559999999998</v>
      </c>
      <c r="G87" s="83">
        <v>349.73559999999998</v>
      </c>
      <c r="H87" s="54">
        <v>105</v>
      </c>
      <c r="I87" s="73">
        <v>2.5999999999999999E-3</v>
      </c>
      <c r="J87" s="153">
        <v>0.1032</v>
      </c>
      <c r="K87" s="51">
        <v>1338398856.47</v>
      </c>
      <c r="L87" s="52">
        <f t="shared" si="21"/>
        <v>6.3186538915007409E-3</v>
      </c>
      <c r="M87" s="83">
        <v>350.55349999999999</v>
      </c>
      <c r="N87" s="83">
        <v>350.55349999999999</v>
      </c>
      <c r="O87" s="54">
        <v>105</v>
      </c>
      <c r="P87" s="73">
        <v>2.3E-3</v>
      </c>
      <c r="Q87" s="153">
        <v>0.1056</v>
      </c>
      <c r="R87" s="79">
        <f t="shared" si="22"/>
        <v>2.652537406107467E-3</v>
      </c>
      <c r="S87" s="79">
        <f t="shared" si="23"/>
        <v>2.3386238060981177E-3</v>
      </c>
      <c r="T87" s="79">
        <f t="shared" si="24"/>
        <v>0</v>
      </c>
      <c r="U87" s="80">
        <f t="shared" si="25"/>
        <v>-2.9999999999999992E-4</v>
      </c>
      <c r="V87" s="81">
        <f t="shared" si="26"/>
        <v>2.3999999999999994E-3</v>
      </c>
    </row>
    <row r="88" spans="1:22">
      <c r="A88" s="183">
        <v>77</v>
      </c>
      <c r="B88" s="167" t="s">
        <v>141</v>
      </c>
      <c r="C88" s="168" t="s">
        <v>90</v>
      </c>
      <c r="D88" s="67">
        <v>1469464129.49</v>
      </c>
      <c r="E88" s="52">
        <f>(D88/$K$63)</f>
        <v>9.2936576314612271E-4</v>
      </c>
      <c r="F88" s="83">
        <v>102.79</v>
      </c>
      <c r="G88" s="83">
        <v>102.79</v>
      </c>
      <c r="H88" s="54">
        <v>381</v>
      </c>
      <c r="I88" s="73">
        <v>2.8E-3</v>
      </c>
      <c r="J88" s="73">
        <v>0.1381</v>
      </c>
      <c r="K88" s="67">
        <v>1482235027.8699999</v>
      </c>
      <c r="L88" s="52">
        <f>(K88/$K$63)</f>
        <v>9.3744274541523694E-4</v>
      </c>
      <c r="M88" s="83">
        <v>103.08</v>
      </c>
      <c r="N88" s="83">
        <v>103.08</v>
      </c>
      <c r="O88" s="54">
        <v>381</v>
      </c>
      <c r="P88" s="73">
        <v>2.8E-3</v>
      </c>
      <c r="Q88" s="73">
        <v>0.13789999999999999</v>
      </c>
      <c r="R88" s="79">
        <f t="shared" si="22"/>
        <v>8.6908541172979921E-3</v>
      </c>
      <c r="S88" s="79">
        <f t="shared" si="23"/>
        <v>2.8212861173265106E-3</v>
      </c>
      <c r="T88" s="79">
        <f t="shared" si="24"/>
        <v>0</v>
      </c>
      <c r="U88" s="80">
        <f t="shared" si="25"/>
        <v>0</v>
      </c>
      <c r="V88" s="81">
        <f t="shared" si="26"/>
        <v>-2.0000000000000573E-4</v>
      </c>
    </row>
    <row r="89" spans="1:22">
      <c r="A89" s="183">
        <v>78</v>
      </c>
      <c r="B89" s="167" t="s">
        <v>142</v>
      </c>
      <c r="C89" s="168" t="s">
        <v>45</v>
      </c>
      <c r="D89" s="51">
        <v>58360635.210000001</v>
      </c>
      <c r="E89" s="52">
        <f t="shared" ref="E89:E101" si="28">(D89/$D$102)</f>
        <v>2.761865944630789E-4</v>
      </c>
      <c r="F89" s="51">
        <v>12.130407</v>
      </c>
      <c r="G89" s="51">
        <v>12.418384</v>
      </c>
      <c r="H89" s="54">
        <v>56</v>
      </c>
      <c r="I89" s="73">
        <v>1.1000000000000001E-3</v>
      </c>
      <c r="J89" s="73">
        <v>1.3100000000000001E-2</v>
      </c>
      <c r="K89" s="51">
        <v>57619645.020000003</v>
      </c>
      <c r="L89" s="52">
        <f t="shared" ref="L89:L101" si="29">(K89/$K$102)</f>
        <v>2.7202548214421242E-4</v>
      </c>
      <c r="M89" s="51">
        <v>12.156038000000001</v>
      </c>
      <c r="N89" s="51">
        <v>12.451495</v>
      </c>
      <c r="O89" s="54">
        <v>56</v>
      </c>
      <c r="P89" s="73">
        <v>-0.31619999999999998</v>
      </c>
      <c r="Q89" s="73">
        <v>1.52E-2</v>
      </c>
      <c r="R89" s="79">
        <f t="shared" si="22"/>
        <v>-1.2696746485600796E-2</v>
      </c>
      <c r="S89" s="79">
        <f t="shared" si="23"/>
        <v>2.6662889470964895E-3</v>
      </c>
      <c r="T89" s="79">
        <f t="shared" si="24"/>
        <v>0</v>
      </c>
      <c r="U89" s="80">
        <f t="shared" si="25"/>
        <v>-0.31729999999999997</v>
      </c>
      <c r="V89" s="81">
        <f t="shared" si="26"/>
        <v>2.0999999999999994E-3</v>
      </c>
    </row>
    <row r="90" spans="1:22">
      <c r="A90" s="183">
        <v>79</v>
      </c>
      <c r="B90" s="167" t="s">
        <v>143</v>
      </c>
      <c r="C90" s="168" t="s">
        <v>144</v>
      </c>
      <c r="D90" s="51">
        <v>349090124.13999999</v>
      </c>
      <c r="E90" s="52">
        <f t="shared" si="28"/>
        <v>1.6520384365247564E-3</v>
      </c>
      <c r="F90" s="51">
        <v>128.55000000000001</v>
      </c>
      <c r="G90" s="51">
        <v>128.55000000000001</v>
      </c>
      <c r="H90" s="54">
        <v>107</v>
      </c>
      <c r="I90" s="73">
        <v>-3.8100000000000002E-2</v>
      </c>
      <c r="J90" s="73">
        <v>0.16839999999999999</v>
      </c>
      <c r="K90" s="51">
        <v>363459812.75</v>
      </c>
      <c r="L90" s="52">
        <f t="shared" si="29"/>
        <v>1.7159135702596855E-3</v>
      </c>
      <c r="M90" s="51">
        <v>128.94</v>
      </c>
      <c r="N90" s="51">
        <v>128.94</v>
      </c>
      <c r="O90" s="54">
        <v>109</v>
      </c>
      <c r="P90" s="73">
        <v>0.1731</v>
      </c>
      <c r="Q90" s="73">
        <v>0.16839999999999999</v>
      </c>
      <c r="R90" s="79">
        <f t="shared" si="22"/>
        <v>4.1163263055351167E-2</v>
      </c>
      <c r="S90" s="79">
        <f t="shared" si="23"/>
        <v>3.0338389731620874E-3</v>
      </c>
      <c r="T90" s="79">
        <f t="shared" si="24"/>
        <v>1.8691588785046728E-2</v>
      </c>
      <c r="U90" s="80">
        <f t="shared" si="25"/>
        <v>0.2112</v>
      </c>
      <c r="V90" s="81">
        <f t="shared" si="26"/>
        <v>0</v>
      </c>
    </row>
    <row r="91" spans="1:22">
      <c r="A91" s="183">
        <v>80</v>
      </c>
      <c r="B91" s="167" t="s">
        <v>145</v>
      </c>
      <c r="C91" s="168" t="s">
        <v>146</v>
      </c>
      <c r="D91" s="51">
        <v>7513470119.1577883</v>
      </c>
      <c r="E91" s="52">
        <f t="shared" si="28"/>
        <v>3.5556839252063606E-2</v>
      </c>
      <c r="F91" s="51">
        <v>1.1200000000000001</v>
      </c>
      <c r="G91" s="51">
        <v>1.1200000000000001</v>
      </c>
      <c r="H91" s="54">
        <v>4403</v>
      </c>
      <c r="I91" s="73">
        <v>0.17030000000000001</v>
      </c>
      <c r="J91" s="73">
        <v>0.17030000000000001</v>
      </c>
      <c r="K91" s="51">
        <v>7495817864.9910622</v>
      </c>
      <c r="L91" s="52">
        <f t="shared" si="29"/>
        <v>3.5388164367927487E-2</v>
      </c>
      <c r="M91" s="51">
        <v>1.1200000000000001</v>
      </c>
      <c r="N91" s="51">
        <v>1.1200000000000001</v>
      </c>
      <c r="O91" s="54">
        <v>4406</v>
      </c>
      <c r="P91" s="73">
        <v>0.17030000000000001</v>
      </c>
      <c r="Q91" s="73">
        <v>0.17030000000000001</v>
      </c>
      <c r="R91" s="79">
        <f t="shared" si="22"/>
        <v>-2.3494143034809615E-3</v>
      </c>
      <c r="S91" s="79">
        <f t="shared" si="23"/>
        <v>0</v>
      </c>
      <c r="T91" s="79">
        <f t="shared" si="24"/>
        <v>6.8135362253009312E-4</v>
      </c>
      <c r="U91" s="80">
        <f t="shared" si="25"/>
        <v>0</v>
      </c>
      <c r="V91" s="81">
        <f t="shared" si="26"/>
        <v>0</v>
      </c>
    </row>
    <row r="92" spans="1:22" ht="14.25" customHeight="1">
      <c r="A92" s="183">
        <v>81</v>
      </c>
      <c r="B92" s="167" t="s">
        <v>147</v>
      </c>
      <c r="C92" s="168" t="s">
        <v>49</v>
      </c>
      <c r="D92" s="51">
        <v>9801882528.7399998</v>
      </c>
      <c r="E92" s="52">
        <f t="shared" si="28"/>
        <v>4.6386550543849929E-2</v>
      </c>
      <c r="F92" s="51">
        <v>5166.6099999999997</v>
      </c>
      <c r="G92" s="51">
        <v>5166.6099999999997</v>
      </c>
      <c r="H92" s="54">
        <v>296</v>
      </c>
      <c r="I92" s="73">
        <v>0</v>
      </c>
      <c r="J92" s="73">
        <v>3.09E-2</v>
      </c>
      <c r="K92" s="51">
        <v>9801795542.8999996</v>
      </c>
      <c r="L92" s="52">
        <f t="shared" si="29"/>
        <v>4.6274810570437711E-2</v>
      </c>
      <c r="M92" s="51">
        <v>5166.67</v>
      </c>
      <c r="N92" s="51">
        <v>5166.67</v>
      </c>
      <c r="O92" s="54">
        <v>294</v>
      </c>
      <c r="P92" s="73">
        <v>0</v>
      </c>
      <c r="Q92" s="73">
        <v>3.09E-2</v>
      </c>
      <c r="R92" s="79">
        <f t="shared" si="22"/>
        <v>-8.8744013963748583E-6</v>
      </c>
      <c r="S92" s="79">
        <f t="shared" si="23"/>
        <v>1.1613030594606557E-5</v>
      </c>
      <c r="T92" s="79">
        <f t="shared" si="24"/>
        <v>-6.7567567567567571E-3</v>
      </c>
      <c r="U92" s="80">
        <f t="shared" si="25"/>
        <v>0</v>
      </c>
      <c r="V92" s="81">
        <f t="shared" si="26"/>
        <v>0</v>
      </c>
    </row>
    <row r="93" spans="1:22" ht="13.5" customHeight="1">
      <c r="A93" s="183">
        <v>82</v>
      </c>
      <c r="B93" s="167" t="s">
        <v>148</v>
      </c>
      <c r="C93" s="168" t="s">
        <v>49</v>
      </c>
      <c r="D93" s="51">
        <v>24308727966.450001</v>
      </c>
      <c r="E93" s="52">
        <f t="shared" si="28"/>
        <v>0.11503892595796905</v>
      </c>
      <c r="F93" s="83">
        <v>258.47000000000003</v>
      </c>
      <c r="G93" s="83">
        <v>258.47000000000003</v>
      </c>
      <c r="H93" s="54">
        <v>6382</v>
      </c>
      <c r="I93" s="73">
        <v>0</v>
      </c>
      <c r="J93" s="73">
        <v>1.04E-2</v>
      </c>
      <c r="K93" s="51">
        <v>24303460870.889999</v>
      </c>
      <c r="L93" s="52">
        <f t="shared" si="29"/>
        <v>0.11473796235436877</v>
      </c>
      <c r="M93" s="83">
        <v>258.47000000000003</v>
      </c>
      <c r="N93" s="83">
        <v>258.47000000000003</v>
      </c>
      <c r="O93" s="54">
        <v>6377</v>
      </c>
      <c r="P93" s="73">
        <v>0</v>
      </c>
      <c r="Q93" s="73">
        <v>1.04E-2</v>
      </c>
      <c r="R93" s="79">
        <f t="shared" si="22"/>
        <v>-2.1667507930776231E-4</v>
      </c>
      <c r="S93" s="79">
        <f t="shared" si="23"/>
        <v>0</v>
      </c>
      <c r="T93" s="79">
        <f t="shared" si="24"/>
        <v>-7.8345346286430584E-4</v>
      </c>
      <c r="U93" s="80">
        <f t="shared" si="25"/>
        <v>0</v>
      </c>
      <c r="V93" s="81">
        <f t="shared" si="26"/>
        <v>0</v>
      </c>
    </row>
    <row r="94" spans="1:22" ht="13.5" customHeight="1">
      <c r="A94" s="183">
        <v>83</v>
      </c>
      <c r="B94" s="167" t="s">
        <v>149</v>
      </c>
      <c r="C94" s="168" t="s">
        <v>49</v>
      </c>
      <c r="D94" s="51">
        <v>378201009.31999999</v>
      </c>
      <c r="E94" s="52">
        <f t="shared" si="28"/>
        <v>1.7898031508864034E-3</v>
      </c>
      <c r="F94" s="57">
        <v>6560.1</v>
      </c>
      <c r="G94" s="57">
        <v>6587.42</v>
      </c>
      <c r="H94" s="54">
        <v>15</v>
      </c>
      <c r="I94" s="73">
        <v>3.5000000000000001E-3</v>
      </c>
      <c r="J94" s="73">
        <v>0.24079999999999999</v>
      </c>
      <c r="K94" s="51">
        <v>378111837.67000002</v>
      </c>
      <c r="L94" s="52">
        <f t="shared" si="29"/>
        <v>1.7850865778661809E-3</v>
      </c>
      <c r="M94" s="57">
        <v>6558.69</v>
      </c>
      <c r="N94" s="57">
        <v>6585.77</v>
      </c>
      <c r="O94" s="54">
        <v>15</v>
      </c>
      <c r="P94" s="73">
        <v>-2.9999999999999997E-4</v>
      </c>
      <c r="Q94" s="73">
        <v>0.24049999999999999</v>
      </c>
      <c r="R94" s="79">
        <f t="shared" si="22"/>
        <v>-2.3577845590709953E-4</v>
      </c>
      <c r="S94" s="79">
        <f t="shared" si="23"/>
        <v>-2.5047742515273602E-4</v>
      </c>
      <c r="T94" s="79">
        <f t="shared" si="24"/>
        <v>0</v>
      </c>
      <c r="U94" s="80">
        <f t="shared" si="25"/>
        <v>-3.8E-3</v>
      </c>
      <c r="V94" s="81">
        <f t="shared" si="26"/>
        <v>-2.9999999999999472E-4</v>
      </c>
    </row>
    <row r="95" spans="1:22" ht="15" customHeight="1">
      <c r="A95" s="183">
        <v>84</v>
      </c>
      <c r="B95" s="167" t="s">
        <v>150</v>
      </c>
      <c r="C95" s="168" t="s">
        <v>49</v>
      </c>
      <c r="D95" s="51">
        <v>9510537587.8099995</v>
      </c>
      <c r="E95" s="52">
        <f t="shared" si="28"/>
        <v>4.5007786129104214E-2</v>
      </c>
      <c r="F95" s="83">
        <v>136.6</v>
      </c>
      <c r="G95" s="83">
        <v>136.6</v>
      </c>
      <c r="H95" s="54">
        <v>4471</v>
      </c>
      <c r="I95" s="73">
        <v>8.9999999999999998E-4</v>
      </c>
      <c r="J95" s="73">
        <v>8.48E-2</v>
      </c>
      <c r="K95" s="51">
        <v>9331006105.2399998</v>
      </c>
      <c r="L95" s="52">
        <f t="shared" si="29"/>
        <v>4.4052187995734036E-2</v>
      </c>
      <c r="M95" s="83">
        <v>136.71</v>
      </c>
      <c r="N95" s="83">
        <v>136.71</v>
      </c>
      <c r="O95" s="54">
        <v>4468</v>
      </c>
      <c r="P95" s="73">
        <v>8.0000000000000004E-4</v>
      </c>
      <c r="Q95" s="73">
        <v>8.5699999999999998E-2</v>
      </c>
      <c r="R95" s="79">
        <f t="shared" si="22"/>
        <v>-1.8877111931097534E-2</v>
      </c>
      <c r="S95" s="79">
        <f t="shared" si="23"/>
        <v>8.0527086383611751E-4</v>
      </c>
      <c r="T95" s="79">
        <f t="shared" si="24"/>
        <v>-6.7099082979199282E-4</v>
      </c>
      <c r="U95" s="80">
        <f t="shared" si="25"/>
        <v>-9.9999999999999937E-5</v>
      </c>
      <c r="V95" s="81">
        <f t="shared" si="26"/>
        <v>8.9999999999999802E-4</v>
      </c>
    </row>
    <row r="96" spans="1:22" ht="15" customHeight="1">
      <c r="A96" s="183">
        <v>85</v>
      </c>
      <c r="B96" s="167" t="s">
        <v>151</v>
      </c>
      <c r="C96" s="168" t="s">
        <v>49</v>
      </c>
      <c r="D96" s="51">
        <v>8210195668.5500002</v>
      </c>
      <c r="E96" s="52">
        <f t="shared" si="28"/>
        <v>3.8854031890040254E-2</v>
      </c>
      <c r="F96" s="83">
        <v>357.66</v>
      </c>
      <c r="G96" s="83">
        <v>358.18</v>
      </c>
      <c r="H96" s="54">
        <v>10186</v>
      </c>
      <c r="I96" s="73">
        <v>-1.9E-3</v>
      </c>
      <c r="J96" s="73">
        <v>1.37E-2</v>
      </c>
      <c r="K96" s="51">
        <v>8041842102.3400002</v>
      </c>
      <c r="L96" s="52">
        <f t="shared" si="29"/>
        <v>3.7965974529300651E-2</v>
      </c>
      <c r="M96" s="83">
        <v>356.93</v>
      </c>
      <c r="N96" s="83">
        <v>357.46</v>
      </c>
      <c r="O96" s="54">
        <v>10187</v>
      </c>
      <c r="P96" s="73">
        <v>-2E-3</v>
      </c>
      <c r="Q96" s="73">
        <v>1.1599999999999999E-2</v>
      </c>
      <c r="R96" s="79">
        <f t="shared" si="22"/>
        <v>-2.0505426789631302E-2</v>
      </c>
      <c r="S96" s="79">
        <f t="shared" si="23"/>
        <v>-2.0101624881345335E-3</v>
      </c>
      <c r="T96" s="79">
        <f t="shared" si="24"/>
        <v>9.8173964264677014E-5</v>
      </c>
      <c r="U96" s="80">
        <f t="shared" si="25"/>
        <v>-1.0000000000000005E-4</v>
      </c>
      <c r="V96" s="81">
        <f t="shared" si="26"/>
        <v>-2.1000000000000012E-3</v>
      </c>
    </row>
    <row r="97" spans="1:28">
      <c r="A97" s="183">
        <v>86</v>
      </c>
      <c r="B97" s="167" t="s">
        <v>152</v>
      </c>
      <c r="C97" s="168" t="s">
        <v>52</v>
      </c>
      <c r="D97" s="51">
        <v>87295908383.380005</v>
      </c>
      <c r="E97" s="52">
        <f t="shared" si="28"/>
        <v>0.41312024038483158</v>
      </c>
      <c r="F97" s="51">
        <v>1.9475</v>
      </c>
      <c r="G97" s="51">
        <v>1.9475</v>
      </c>
      <c r="H97" s="54">
        <v>6349</v>
      </c>
      <c r="I97" s="73">
        <v>7.7899999999999997E-2</v>
      </c>
      <c r="J97" s="73">
        <v>6.1100000000000002E-2</v>
      </c>
      <c r="K97" s="51">
        <v>87419509047.5</v>
      </c>
      <c r="L97" s="52">
        <f t="shared" si="29"/>
        <v>0.41271226313876597</v>
      </c>
      <c r="M97" s="51">
        <v>1.9502999999999999</v>
      </c>
      <c r="N97" s="51">
        <v>1.9502999999999999</v>
      </c>
      <c r="O97" s="54">
        <v>6350</v>
      </c>
      <c r="P97" s="73">
        <v>7.7799999999999994E-2</v>
      </c>
      <c r="Q97" s="73">
        <v>6.1400000000000003E-2</v>
      </c>
      <c r="R97" s="79">
        <f t="shared" si="22"/>
        <v>1.4158815276561927E-3</v>
      </c>
      <c r="S97" s="79">
        <f t="shared" si="23"/>
        <v>1.4377406931963613E-3</v>
      </c>
      <c r="T97" s="79">
        <f t="shared" si="24"/>
        <v>1.5750511891636477E-4</v>
      </c>
      <c r="U97" s="80">
        <f t="shared" si="25"/>
        <v>-1.0000000000000286E-4</v>
      </c>
      <c r="V97" s="81">
        <f t="shared" si="26"/>
        <v>3.0000000000000165E-4</v>
      </c>
    </row>
    <row r="98" spans="1:28">
      <c r="A98" s="183">
        <v>87</v>
      </c>
      <c r="B98" s="167" t="s">
        <v>153</v>
      </c>
      <c r="C98" s="168" t="s">
        <v>52</v>
      </c>
      <c r="D98" s="51">
        <v>9081100935.2800007</v>
      </c>
      <c r="E98" s="52">
        <f t="shared" si="28"/>
        <v>4.2975514784333757E-2</v>
      </c>
      <c r="F98" s="51">
        <v>106.3715</v>
      </c>
      <c r="G98" s="51">
        <v>106.3715</v>
      </c>
      <c r="H98" s="54">
        <v>155</v>
      </c>
      <c r="I98" s="73">
        <v>0.24440000000000001</v>
      </c>
      <c r="J98" s="73">
        <v>0.2165</v>
      </c>
      <c r="K98" s="51">
        <v>10296146579.18</v>
      </c>
      <c r="L98" s="52">
        <f t="shared" si="29"/>
        <v>4.8608668735406986E-2</v>
      </c>
      <c r="M98" s="51">
        <v>106.74160000000001</v>
      </c>
      <c r="N98" s="51">
        <v>106.74160000000001</v>
      </c>
      <c r="O98" s="54">
        <v>155</v>
      </c>
      <c r="P98" s="73">
        <v>0.19850000000000001</v>
      </c>
      <c r="Q98" s="73">
        <v>0.2155</v>
      </c>
      <c r="R98" s="79">
        <f t="shared" ref="R98:R100" si="30">((K98-D98)/D98)</f>
        <v>0.13379937659095467</v>
      </c>
      <c r="S98" s="79">
        <f t="shared" ref="S98:S100" si="31">((N98-G98)/G98)</f>
        <v>3.4793154181336906E-3</v>
      </c>
      <c r="T98" s="79">
        <f t="shared" ref="T98:T100" si="32">((O98-H98)/H98)</f>
        <v>0</v>
      </c>
      <c r="U98" s="80">
        <f t="shared" ref="U98:U100" si="33">P98-I98</f>
        <v>-4.5899999999999996E-2</v>
      </c>
      <c r="V98" s="81">
        <f t="shared" ref="V98:V100" si="34">Q98-J98</f>
        <v>-1.0000000000000009E-3</v>
      </c>
    </row>
    <row r="99" spans="1:28">
      <c r="A99" s="183">
        <v>88</v>
      </c>
      <c r="B99" s="167" t="s">
        <v>154</v>
      </c>
      <c r="C99" s="167" t="s">
        <v>155</v>
      </c>
      <c r="D99" s="51">
        <v>86892482.219999999</v>
      </c>
      <c r="E99" s="52">
        <f t="shared" si="28"/>
        <v>4.11211061401767E-4</v>
      </c>
      <c r="F99" s="51">
        <v>107.0222</v>
      </c>
      <c r="G99" s="51">
        <v>109.218</v>
      </c>
      <c r="H99" s="85">
        <v>55</v>
      </c>
      <c r="I99" s="86">
        <v>1.9E-3</v>
      </c>
      <c r="J99" s="86">
        <v>7.4999999999999997E-2</v>
      </c>
      <c r="K99" s="51">
        <v>89214190.560000002</v>
      </c>
      <c r="L99" s="87">
        <f t="shared" si="29"/>
        <v>4.2118505229884605E-4</v>
      </c>
      <c r="M99" s="51">
        <v>109.34717222815732</v>
      </c>
      <c r="N99" s="51">
        <v>109.34717222815732</v>
      </c>
      <c r="O99" s="85">
        <v>55</v>
      </c>
      <c r="P99" s="86">
        <v>1.1827009115467758E-3</v>
      </c>
      <c r="Q99" s="86">
        <v>7.6262288291787383E-2</v>
      </c>
      <c r="R99" s="79">
        <f t="shared" si="30"/>
        <v>2.6719323475208737E-2</v>
      </c>
      <c r="S99" s="79">
        <f t="shared" si="31"/>
        <v>1.1827009115467758E-3</v>
      </c>
      <c r="T99" s="79">
        <f t="shared" si="32"/>
        <v>0</v>
      </c>
      <c r="U99" s="80">
        <f t="shared" si="33"/>
        <v>-7.1729908845322415E-4</v>
      </c>
      <c r="V99" s="81">
        <f t="shared" si="34"/>
        <v>1.2622882917873862E-3</v>
      </c>
    </row>
    <row r="100" spans="1:28">
      <c r="A100" s="183">
        <v>89</v>
      </c>
      <c r="B100" s="167" t="s">
        <v>156</v>
      </c>
      <c r="C100" s="168" t="s">
        <v>111</v>
      </c>
      <c r="D100" s="51">
        <v>249665827.78</v>
      </c>
      <c r="E100" s="52">
        <f t="shared" si="28"/>
        <v>1.1815216623370225E-3</v>
      </c>
      <c r="F100" s="51">
        <v>1.06</v>
      </c>
      <c r="G100" s="51">
        <v>1.06</v>
      </c>
      <c r="H100" s="54">
        <v>354</v>
      </c>
      <c r="I100" s="73">
        <v>-9.9620000000000004E-3</v>
      </c>
      <c r="J100" s="73">
        <v>1.3983000000000001E-2</v>
      </c>
      <c r="K100" s="51">
        <v>253840783.06</v>
      </c>
      <c r="L100" s="52">
        <f t="shared" si="29"/>
        <v>1.1983961611667861E-3</v>
      </c>
      <c r="M100" s="51">
        <v>1.07</v>
      </c>
      <c r="N100" s="51">
        <v>1.07</v>
      </c>
      <c r="O100" s="54">
        <v>359</v>
      </c>
      <c r="P100" s="73">
        <v>1.4206E-2</v>
      </c>
      <c r="Q100" s="73">
        <v>2.9426999999999998E-2</v>
      </c>
      <c r="R100" s="79">
        <f t="shared" si="30"/>
        <v>1.6722173463317853E-2</v>
      </c>
      <c r="S100" s="79">
        <f t="shared" si="31"/>
        <v>9.4339622641509517E-3</v>
      </c>
      <c r="T100" s="79">
        <f t="shared" si="32"/>
        <v>1.4124293785310734E-2</v>
      </c>
      <c r="U100" s="80">
        <f t="shared" si="33"/>
        <v>2.4168000000000002E-2</v>
      </c>
      <c r="V100" s="81">
        <f t="shared" si="34"/>
        <v>1.5443999999999998E-2</v>
      </c>
    </row>
    <row r="101" spans="1:28">
      <c r="A101" s="183">
        <v>90</v>
      </c>
      <c r="B101" s="167" t="s">
        <v>157</v>
      </c>
      <c r="C101" s="168" t="s">
        <v>113</v>
      </c>
      <c r="D101" s="51">
        <v>2092164856.72</v>
      </c>
      <c r="E101" s="52">
        <f t="shared" si="28"/>
        <v>9.9009869367189893E-3</v>
      </c>
      <c r="F101" s="83">
        <v>27.804200000000002</v>
      </c>
      <c r="G101" s="83">
        <v>27.804200000000002</v>
      </c>
      <c r="H101" s="54">
        <v>1300</v>
      </c>
      <c r="I101" s="73">
        <v>0.11260000000000001</v>
      </c>
      <c r="J101" s="73">
        <v>0.11260000000000001</v>
      </c>
      <c r="K101" s="51">
        <v>2093448551.5599999</v>
      </c>
      <c r="L101" s="52">
        <f t="shared" si="29"/>
        <v>9.8832846225370939E-3</v>
      </c>
      <c r="M101" s="83">
        <v>27.846299999999999</v>
      </c>
      <c r="N101" s="83">
        <v>27.846299999999999</v>
      </c>
      <c r="O101" s="54">
        <v>1300</v>
      </c>
      <c r="P101" s="73">
        <v>0.11260000000000001</v>
      </c>
      <c r="Q101" s="73">
        <v>0.11260000000000001</v>
      </c>
      <c r="R101" s="79">
        <f t="shared" si="22"/>
        <v>6.1357250881865588E-4</v>
      </c>
      <c r="S101" s="79">
        <f t="shared" si="23"/>
        <v>1.5141597312635429E-3</v>
      </c>
      <c r="T101" s="79">
        <f t="shared" si="24"/>
        <v>0</v>
      </c>
      <c r="U101" s="80">
        <f t="shared" si="25"/>
        <v>0</v>
      </c>
      <c r="V101" s="81">
        <f t="shared" si="26"/>
        <v>0</v>
      </c>
    </row>
    <row r="102" spans="1:28">
      <c r="A102" s="58"/>
      <c r="B102" s="59"/>
      <c r="C102" s="60" t="s">
        <v>53</v>
      </c>
      <c r="D102" s="71">
        <f>SUM(D66:D101)</f>
        <v>211308718018.9035</v>
      </c>
      <c r="E102" s="62">
        <f>(D102/$D$206)</f>
        <v>5.5218886453978183E-2</v>
      </c>
      <c r="F102" s="63"/>
      <c r="G102" s="68"/>
      <c r="H102" s="65">
        <f>SUM(H66:H101)</f>
        <v>50326</v>
      </c>
      <c r="I102" s="76"/>
      <c r="J102" s="76"/>
      <c r="K102" s="71">
        <f>SUM(K66:K101)</f>
        <v>211817086273.75339</v>
      </c>
      <c r="L102" s="62">
        <f>(K102/$K$206)</f>
        <v>5.5011961507494253E-2</v>
      </c>
      <c r="M102" s="63"/>
      <c r="N102" s="68"/>
      <c r="O102" s="65">
        <f>SUM(O66:O101)</f>
        <v>50328</v>
      </c>
      <c r="P102" s="76"/>
      <c r="Q102" s="76"/>
      <c r="R102" s="79">
        <f t="shared" si="22"/>
        <v>2.4058082393193349E-3</v>
      </c>
      <c r="S102" s="79" t="e">
        <f t="shared" si="23"/>
        <v>#DIV/0!</v>
      </c>
      <c r="T102" s="79">
        <f t="shared" si="24"/>
        <v>3.9740889401104796E-5</v>
      </c>
      <c r="U102" s="80">
        <f t="shared" si="25"/>
        <v>0</v>
      </c>
      <c r="V102" s="81">
        <f t="shared" si="26"/>
        <v>0</v>
      </c>
    </row>
    <row r="103" spans="1:28" ht="3.75" customHeight="1">
      <c r="A103" s="58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</row>
    <row r="104" spans="1:28" ht="15" customHeight="1">
      <c r="A104" s="172" t="s">
        <v>158</v>
      </c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</row>
    <row r="105" spans="1:28">
      <c r="A105" s="174" t="s">
        <v>159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Z105" s="89"/>
      <c r="AB105" s="92"/>
    </row>
    <row r="106" spans="1:28" ht="16.5" customHeight="1">
      <c r="A106" s="183">
        <v>91</v>
      </c>
      <c r="B106" s="167" t="s">
        <v>160</v>
      </c>
      <c r="C106" s="168" t="s">
        <v>19</v>
      </c>
      <c r="D106" s="51">
        <f>1753217.08*1663.679</f>
        <v>2916790438.4373202</v>
      </c>
      <c r="E106" s="52">
        <f>(D106/$D$136)</f>
        <v>1.6143453491569591E-3</v>
      </c>
      <c r="F106" s="51">
        <f>111.3829*1663.679</f>
        <v>185305.39168910001</v>
      </c>
      <c r="G106" s="51">
        <f>111.3829*1663.679</f>
        <v>185305.39168910001</v>
      </c>
      <c r="H106" s="54">
        <v>251</v>
      </c>
      <c r="I106" s="73">
        <v>1.1000000000000001E-3</v>
      </c>
      <c r="J106" s="73">
        <v>5.1299999999999998E-2</v>
      </c>
      <c r="K106" s="51">
        <f>1755002.78*1663.896</f>
        <v>2920142105.6308799</v>
      </c>
      <c r="L106" s="52">
        <f t="shared" ref="L106:L118" si="35">(K106/$K$136)</f>
        <v>1.6063917513774557E-3</v>
      </c>
      <c r="M106" s="51">
        <f>111.4963*1663.896</f>
        <v>185518.2475848</v>
      </c>
      <c r="N106" s="51">
        <f>111.4963*1663.896</f>
        <v>185518.2475848</v>
      </c>
      <c r="O106" s="54">
        <v>251</v>
      </c>
      <c r="P106" s="73">
        <v>1E-3</v>
      </c>
      <c r="Q106" s="73">
        <v>5.2299999999999999E-2</v>
      </c>
      <c r="R106" s="80">
        <f>((K106-D106)/D106)</f>
        <v>1.1490942747862658E-3</v>
      </c>
      <c r="S106" s="80">
        <f>((N106-G106)/G106)</f>
        <v>1.1486762136803596E-3</v>
      </c>
      <c r="T106" s="80">
        <f>((O106-H106)/H106)</f>
        <v>0</v>
      </c>
      <c r="U106" s="80">
        <f>P106-I106</f>
        <v>-1.0000000000000005E-4</v>
      </c>
      <c r="V106" s="81">
        <f>Q106-J106</f>
        <v>1.0000000000000009E-3</v>
      </c>
      <c r="X106" s="89"/>
      <c r="Y106" s="93"/>
      <c r="Z106" s="89"/>
      <c r="AA106" s="94"/>
    </row>
    <row r="107" spans="1:28" ht="16.5" customHeight="1">
      <c r="A107" s="183">
        <v>92</v>
      </c>
      <c r="B107" s="167" t="s">
        <v>161</v>
      </c>
      <c r="C107" s="168" t="s">
        <v>57</v>
      </c>
      <c r="D107" s="51">
        <f>1210986.04*1663.697</f>
        <v>2014713841.78988</v>
      </c>
      <c r="E107" s="52">
        <f>(D107/$D$136)</f>
        <v>1.1150763104250127E-3</v>
      </c>
      <c r="F107" s="51">
        <f>100*1663.697</f>
        <v>166369.69999999998</v>
      </c>
      <c r="G107" s="51">
        <f>100*1663.697</f>
        <v>166369.69999999998</v>
      </c>
      <c r="H107" s="54">
        <v>32</v>
      </c>
      <c r="I107" s="73">
        <v>2.6036E-2</v>
      </c>
      <c r="J107" s="73">
        <v>7.1676000000000004E-2</v>
      </c>
      <c r="K107" s="51">
        <f>1199576.42*1663.896</f>
        <v>1995970406.9323199</v>
      </c>
      <c r="L107" s="52">
        <f t="shared" si="35"/>
        <v>1.09799807054146E-3</v>
      </c>
      <c r="M107" s="51">
        <f>100*1663.896</f>
        <v>166389.6</v>
      </c>
      <c r="N107" s="51">
        <f>100*1663.896</f>
        <v>166389.6</v>
      </c>
      <c r="O107" s="54">
        <v>32</v>
      </c>
      <c r="P107" s="73">
        <v>1.2825E-2</v>
      </c>
      <c r="Q107" s="73">
        <v>8.4501000000000007E-2</v>
      </c>
      <c r="R107" s="80">
        <f>((K107-D107)/D107)</f>
        <v>-9.3032739780595404E-3</v>
      </c>
      <c r="S107" s="80">
        <f>((N107-G107)/G107)</f>
        <v>1.1961312666923896E-4</v>
      </c>
      <c r="T107" s="80">
        <f>((O107-H107)/H107)</f>
        <v>0</v>
      </c>
      <c r="U107" s="80">
        <f>P107-I107</f>
        <v>-1.3211000000000001E-2</v>
      </c>
      <c r="V107" s="81">
        <f>Q107-J107</f>
        <v>1.2825000000000003E-2</v>
      </c>
      <c r="X107" s="89"/>
      <c r="Y107" s="93"/>
      <c r="Z107" s="89"/>
      <c r="AA107" s="94"/>
    </row>
    <row r="108" spans="1:28">
      <c r="A108" s="183">
        <v>93</v>
      </c>
      <c r="B108" s="167" t="s">
        <v>162</v>
      </c>
      <c r="C108" s="168" t="s">
        <v>23</v>
      </c>
      <c r="D108" s="51">
        <f>9611934.57*1663.197</f>
        <v>15986540741.02029</v>
      </c>
      <c r="E108" s="52">
        <f>(D108/$D$136)</f>
        <v>8.8480123063626615E-3</v>
      </c>
      <c r="F108" s="51">
        <f>1.1541*1663.197</f>
        <v>1919.4956576999998</v>
      </c>
      <c r="G108" s="51">
        <f>1.1541*1663.197</f>
        <v>1919.4956576999998</v>
      </c>
      <c r="H108" s="54">
        <v>297</v>
      </c>
      <c r="I108" s="73">
        <v>5.4399999999999997E-2</v>
      </c>
      <c r="J108" s="73">
        <v>-2.0799999999999999E-2</v>
      </c>
      <c r="K108" s="51">
        <f>9703951.67*1708.91</f>
        <v>16583180048.379702</v>
      </c>
      <c r="L108" s="52">
        <f t="shared" si="35"/>
        <v>9.1225298898832633E-3</v>
      </c>
      <c r="M108" s="51">
        <f>1.1552*1708.91</f>
        <v>1974.132832</v>
      </c>
      <c r="N108" s="51">
        <f>1.1552*1708.91</f>
        <v>1974.132832</v>
      </c>
      <c r="O108" s="54">
        <v>300</v>
      </c>
      <c r="P108" s="73">
        <v>4.9799999999999997E-2</v>
      </c>
      <c r="Q108" s="73">
        <v>-1.9300000000000001E-2</v>
      </c>
      <c r="R108" s="80">
        <f t="shared" ref="R108:R118" si="36">((K108-D108)/D108)</f>
        <v>3.7321351568477761E-2</v>
      </c>
      <c r="S108" s="80">
        <f t="shared" ref="S108:S118" si="37">((N108-G108)/G108)</f>
        <v>2.8464338578118056E-2</v>
      </c>
      <c r="T108" s="80">
        <f t="shared" ref="T108:T118" si="38">((O108-H108)/H108)</f>
        <v>1.0101010101010102E-2</v>
      </c>
      <c r="U108" s="80">
        <f t="shared" ref="U108:U118" si="39">P108-I108</f>
        <v>-4.5999999999999999E-3</v>
      </c>
      <c r="V108" s="81">
        <f t="shared" ref="V108:V118" si="40">Q108-J108</f>
        <v>1.4999999999999979E-3</v>
      </c>
    </row>
    <row r="109" spans="1:28">
      <c r="A109" s="183">
        <v>94</v>
      </c>
      <c r="B109" s="167" t="s">
        <v>163</v>
      </c>
      <c r="C109" s="168" t="s">
        <v>27</v>
      </c>
      <c r="D109" s="51">
        <f>2943023.08*1663.697</f>
        <v>4896298669.1267595</v>
      </c>
      <c r="E109" s="52">
        <f>(D109/$D$136)</f>
        <v>2.7099365386095259E-3</v>
      </c>
      <c r="F109" s="51">
        <f>1.0598*1663.697</f>
        <v>1763.1860806</v>
      </c>
      <c r="G109" s="51">
        <f>1.0598*1663.697</f>
        <v>1763.1860806</v>
      </c>
      <c r="H109" s="54">
        <v>278</v>
      </c>
      <c r="I109" s="73">
        <v>1.2999999999999999E-3</v>
      </c>
      <c r="J109" s="73">
        <v>5.9799999999999999E-2</v>
      </c>
      <c r="K109" s="51">
        <f>2981948.96*1663.896</f>
        <v>4961652946.7481594</v>
      </c>
      <c r="L109" s="52">
        <f t="shared" si="35"/>
        <v>2.7294419512957024E-3</v>
      </c>
      <c r="M109" s="51">
        <f>1.06101*1663.896</f>
        <v>1765.4102949599999</v>
      </c>
      <c r="N109" s="51">
        <f>1.06101*1663.896</f>
        <v>1765.4102949599999</v>
      </c>
      <c r="O109" s="54">
        <v>281</v>
      </c>
      <c r="P109" s="73">
        <v>1.1999999999999999E-3</v>
      </c>
      <c r="Q109" s="73">
        <v>6.13E-2</v>
      </c>
      <c r="R109" s="80">
        <f t="shared" si="36"/>
        <v>1.3347690171248401E-2</v>
      </c>
      <c r="S109" s="80">
        <f t="shared" ref="S109:T112" si="41">((N109-G109)/G109)</f>
        <v>1.2614745456945874E-3</v>
      </c>
      <c r="T109" s="80">
        <f t="shared" si="41"/>
        <v>1.0791366906474821E-2</v>
      </c>
      <c r="U109" s="80">
        <f t="shared" si="39"/>
        <v>-1.0000000000000005E-4</v>
      </c>
      <c r="V109" s="81">
        <f t="shared" si="40"/>
        <v>1.5000000000000013E-3</v>
      </c>
    </row>
    <row r="110" spans="1:28">
      <c r="A110" s="183">
        <v>95</v>
      </c>
      <c r="B110" s="167" t="s">
        <v>164</v>
      </c>
      <c r="C110" s="168" t="s">
        <v>63</v>
      </c>
      <c r="D110" s="51">
        <f>374532.47*1663.697</f>
        <v>623108546.7415899</v>
      </c>
      <c r="E110" s="52">
        <f>(D110/$D$136)</f>
        <v>3.448696111987936E-4</v>
      </c>
      <c r="F110" s="51">
        <f>1.06*1663.697</f>
        <v>1763.51882</v>
      </c>
      <c r="G110" s="51">
        <f>1.07*1663.697</f>
        <v>1780.15579</v>
      </c>
      <c r="H110" s="54">
        <v>18</v>
      </c>
      <c r="I110" s="73">
        <v>1.2E-2</v>
      </c>
      <c r="J110" s="73">
        <v>5.2999999999999999E-2</v>
      </c>
      <c r="K110" s="51">
        <f>374532.47*1663.896</f>
        <v>623183078.70311999</v>
      </c>
      <c r="L110" s="52">
        <f t="shared" si="35"/>
        <v>3.4281761675102556E-4</v>
      </c>
      <c r="M110" s="51">
        <f>1.06*1663.896</f>
        <v>1763.7297599999999</v>
      </c>
      <c r="N110" s="51">
        <f>1.07*1663.896</f>
        <v>1780.3687200000002</v>
      </c>
      <c r="O110" s="54">
        <v>18</v>
      </c>
      <c r="P110" s="73">
        <v>0.29799999999999999</v>
      </c>
      <c r="Q110" s="73">
        <v>5.5E-2</v>
      </c>
      <c r="R110" s="80">
        <f t="shared" si="36"/>
        <v>1.1961312666924246E-4</v>
      </c>
      <c r="S110" s="80">
        <f t="shared" si="41"/>
        <v>1.1961312666917887E-4</v>
      </c>
      <c r="T110" s="80">
        <f t="shared" si="41"/>
        <v>0</v>
      </c>
      <c r="U110" s="80">
        <f t="shared" si="39"/>
        <v>0.28599999999999998</v>
      </c>
      <c r="V110" s="81">
        <f t="shared" si="40"/>
        <v>2.0000000000000018E-3</v>
      </c>
    </row>
    <row r="111" spans="1:28">
      <c r="A111" s="185">
        <v>96</v>
      </c>
      <c r="B111" s="167" t="s">
        <v>165</v>
      </c>
      <c r="C111" s="168" t="s">
        <v>29</v>
      </c>
      <c r="D111" s="51">
        <f>399680.82*1663.697</f>
        <v>664947781.19154</v>
      </c>
      <c r="E111" s="52">
        <v>0</v>
      </c>
      <c r="F111" s="51">
        <f>1.1818*1663.697</f>
        <v>1966.1571145999999</v>
      </c>
      <c r="G111" s="51">
        <f>1.1818*1663.697</f>
        <v>1966.1571145999999</v>
      </c>
      <c r="H111" s="54">
        <v>45</v>
      </c>
      <c r="I111" s="73">
        <v>1.6899999999999999E-4</v>
      </c>
      <c r="J111" s="73">
        <v>9.35E-2</v>
      </c>
      <c r="K111" s="51">
        <f>400277.35*1663.896</f>
        <v>666019881.55559993</v>
      </c>
      <c r="L111" s="52">
        <f t="shared" si="35"/>
        <v>3.66382458552702E-4</v>
      </c>
      <c r="M111" s="51">
        <f>1.1836*1663.896</f>
        <v>1969.3873056</v>
      </c>
      <c r="N111" s="51">
        <f>1.1836*1663.896</f>
        <v>1969.3873056</v>
      </c>
      <c r="O111" s="54">
        <v>45</v>
      </c>
      <c r="P111" s="73">
        <v>1.6899999999999999E-4</v>
      </c>
      <c r="Q111" s="73">
        <v>9.35E-2</v>
      </c>
      <c r="R111" s="80">
        <f t="shared" si="36"/>
        <v>1.6123076042735207E-3</v>
      </c>
      <c r="S111" s="80">
        <f t="shared" si="41"/>
        <v>1.6428956648549741E-3</v>
      </c>
      <c r="T111" s="80">
        <f t="shared" si="41"/>
        <v>0</v>
      </c>
      <c r="U111" s="80">
        <f t="shared" si="39"/>
        <v>0</v>
      </c>
      <c r="V111" s="81">
        <f t="shared" si="40"/>
        <v>0</v>
      </c>
    </row>
    <row r="112" spans="1:28">
      <c r="A112" s="183">
        <v>97</v>
      </c>
      <c r="B112" s="167" t="s">
        <v>166</v>
      </c>
      <c r="C112" s="168" t="s">
        <v>73</v>
      </c>
      <c r="D112" s="51">
        <f>410483.86*1663.697</f>
        <v>682920766.43041992</v>
      </c>
      <c r="E112" s="52">
        <f t="shared" ref="E112:E118" si="42">(D112/$D$136)</f>
        <v>3.7797366194065906E-4</v>
      </c>
      <c r="F112" s="151">
        <f>106.74*1663.697</f>
        <v>177583.01777999997</v>
      </c>
      <c r="G112" s="151">
        <f>108.26*1663.697</f>
        <v>180111.83721999999</v>
      </c>
      <c r="H112" s="54">
        <v>45</v>
      </c>
      <c r="I112" s="73">
        <v>6.9999999999999999E-4</v>
      </c>
      <c r="J112" s="73">
        <v>7.1999999999999995E-2</v>
      </c>
      <c r="K112" s="51">
        <f>410813.7*1663.896</f>
        <v>683551272.17519999</v>
      </c>
      <c r="L112" s="52">
        <f t="shared" si="35"/>
        <v>3.7602660608483635E-4</v>
      </c>
      <c r="M112" s="151">
        <f>106.83*1663.896</f>
        <v>177754.00967999999</v>
      </c>
      <c r="N112" s="151">
        <f>108.43*1663.896</f>
        <v>180416.24328</v>
      </c>
      <c r="O112" s="54">
        <v>44</v>
      </c>
      <c r="P112" s="73">
        <v>1.2999999999999999E-3</v>
      </c>
      <c r="Q112" s="73">
        <v>7.3300000000000004E-2</v>
      </c>
      <c r="R112" s="80">
        <f t="shared" si="36"/>
        <v>9.2324875120678199E-4</v>
      </c>
      <c r="S112" s="80">
        <f t="shared" si="41"/>
        <v>1.690094691711948E-3</v>
      </c>
      <c r="T112" s="80">
        <f t="shared" si="41"/>
        <v>-2.2222222222222223E-2</v>
      </c>
      <c r="U112" s="80">
        <f t="shared" si="39"/>
        <v>5.9999999999999995E-4</v>
      </c>
      <c r="V112" s="81">
        <f t="shared" si="40"/>
        <v>1.3000000000000095E-3</v>
      </c>
    </row>
    <row r="113" spans="1:24">
      <c r="A113" s="183">
        <v>98</v>
      </c>
      <c r="B113" s="167" t="s">
        <v>167</v>
      </c>
      <c r="C113" s="168" t="s">
        <v>76</v>
      </c>
      <c r="D113" s="51">
        <v>5315509444.1796598</v>
      </c>
      <c r="E113" s="52">
        <f t="shared" si="42"/>
        <v>2.9419555949342256E-3</v>
      </c>
      <c r="F113" s="51">
        <v>184236.11228219999</v>
      </c>
      <c r="G113" s="51">
        <v>184236.11228219999</v>
      </c>
      <c r="H113" s="54">
        <v>53</v>
      </c>
      <c r="I113" s="73">
        <v>8.7200000000000005E-4</v>
      </c>
      <c r="J113" s="73">
        <v>6.7100000000000007E-2</v>
      </c>
      <c r="K113" s="51">
        <v>5318631201.2527199</v>
      </c>
      <c r="L113" s="52">
        <f t="shared" si="35"/>
        <v>2.9258183270725784E-3</v>
      </c>
      <c r="M113" s="51">
        <v>184230.3920808</v>
      </c>
      <c r="N113" s="51">
        <v>184230.3920808</v>
      </c>
      <c r="O113" s="54">
        <v>55</v>
      </c>
      <c r="P113" s="73" t="s">
        <v>300</v>
      </c>
      <c r="Q113" s="73">
        <v>6.7000000000000004E-2</v>
      </c>
      <c r="R113" s="80">
        <f t="shared" si="36"/>
        <v>5.8729216942287178E-4</v>
      </c>
      <c r="S113" s="80">
        <f t="shared" si="37"/>
        <v>-3.1048209436977348E-5</v>
      </c>
      <c r="T113" s="80">
        <f t="shared" si="38"/>
        <v>3.7735849056603772E-2</v>
      </c>
      <c r="U113" s="80">
        <f t="shared" si="39"/>
        <v>2.7999999999999922E-5</v>
      </c>
      <c r="V113" s="81">
        <f t="shared" si="40"/>
        <v>-1.0000000000000286E-4</v>
      </c>
      <c r="X113" s="90"/>
    </row>
    <row r="114" spans="1:24">
      <c r="A114" s="183">
        <v>99</v>
      </c>
      <c r="B114" s="167" t="s">
        <v>168</v>
      </c>
      <c r="C114" s="168" t="s">
        <v>31</v>
      </c>
      <c r="D114" s="151">
        <v>56030511329.389999</v>
      </c>
      <c r="E114" s="52">
        <f t="shared" si="42"/>
        <v>3.101100243044794E-2</v>
      </c>
      <c r="F114" s="51">
        <v>207106.34</v>
      </c>
      <c r="G114" s="51">
        <v>207106.34</v>
      </c>
      <c r="H114" s="54">
        <v>2222</v>
      </c>
      <c r="I114" s="73">
        <v>1.6000000000000001E-3</v>
      </c>
      <c r="J114" s="73">
        <v>7.0300000000000001E-2</v>
      </c>
      <c r="K114" s="151">
        <v>56842782571.449997</v>
      </c>
      <c r="L114" s="52">
        <f t="shared" si="35"/>
        <v>3.1269634745529649E-2</v>
      </c>
      <c r="M114" s="51">
        <v>209939.32</v>
      </c>
      <c r="N114" s="51">
        <v>209939.32</v>
      </c>
      <c r="O114" s="54">
        <v>2239</v>
      </c>
      <c r="P114" s="73">
        <v>1.5E-3</v>
      </c>
      <c r="Q114" s="73">
        <v>7.1800000000000003E-2</v>
      </c>
      <c r="R114" s="80">
        <f t="shared" si="36"/>
        <v>1.4496945017775206E-2</v>
      </c>
      <c r="S114" s="80">
        <f t="shared" si="37"/>
        <v>1.3678866615092568E-2</v>
      </c>
      <c r="T114" s="80">
        <f t="shared" si="38"/>
        <v>7.6507650765076504E-3</v>
      </c>
      <c r="U114" s="80">
        <f t="shared" si="39"/>
        <v>-1.0000000000000005E-4</v>
      </c>
      <c r="V114" s="81">
        <f t="shared" si="40"/>
        <v>1.5000000000000013E-3</v>
      </c>
    </row>
    <row r="115" spans="1:24">
      <c r="A115" s="183">
        <v>100</v>
      </c>
      <c r="B115" s="186" t="s">
        <v>169</v>
      </c>
      <c r="C115" s="186" t="s">
        <v>31</v>
      </c>
      <c r="D115" s="51">
        <v>104755614847.58</v>
      </c>
      <c r="E115" s="52">
        <f t="shared" si="42"/>
        <v>5.7978707485708374E-2</v>
      </c>
      <c r="F115" s="51">
        <v>194364.64</v>
      </c>
      <c r="G115" s="51">
        <v>194364.64</v>
      </c>
      <c r="H115" s="54">
        <v>617</v>
      </c>
      <c r="I115" s="73">
        <v>1.6000000000000001E-3</v>
      </c>
      <c r="J115" s="73">
        <v>8.48E-2</v>
      </c>
      <c r="K115" s="51">
        <v>106288355040.00999</v>
      </c>
      <c r="L115" s="52">
        <f t="shared" si="35"/>
        <v>5.847000955005336E-2</v>
      </c>
      <c r="M115" s="51">
        <v>197076.34</v>
      </c>
      <c r="N115" s="51">
        <v>197076.34</v>
      </c>
      <c r="O115" s="54">
        <v>599</v>
      </c>
      <c r="P115" s="73">
        <v>1.8E-3</v>
      </c>
      <c r="Q115" s="73">
        <v>8.6699999999999999E-2</v>
      </c>
      <c r="R115" s="80">
        <f t="shared" si="36"/>
        <v>1.4631580318249652E-2</v>
      </c>
      <c r="S115" s="80">
        <f t="shared" si="37"/>
        <v>1.3951611774651923E-2</v>
      </c>
      <c r="T115" s="80">
        <f t="shared" si="38"/>
        <v>-2.9173419773095625E-2</v>
      </c>
      <c r="U115" s="80">
        <f t="shared" si="39"/>
        <v>1.9999999999999987E-4</v>
      </c>
      <c r="V115" s="81">
        <f t="shared" si="40"/>
        <v>1.8999999999999989E-3</v>
      </c>
    </row>
    <row r="116" spans="1:24">
      <c r="A116" s="183">
        <v>101</v>
      </c>
      <c r="B116" s="167" t="s">
        <v>170</v>
      </c>
      <c r="C116" s="168" t="s">
        <v>35</v>
      </c>
      <c r="D116" s="51">
        <f>129461.69*1663.697</f>
        <v>215385025.26793</v>
      </c>
      <c r="E116" s="52">
        <f t="shared" si="42"/>
        <v>1.1920836315056676E-4</v>
      </c>
      <c r="F116" s="51">
        <f>113.07*1663.697</f>
        <v>188114.21978999997</v>
      </c>
      <c r="G116" s="51">
        <f>113.07*1663.697</f>
        <v>188114.21978999997</v>
      </c>
      <c r="H116" s="54">
        <v>4</v>
      </c>
      <c r="I116" s="73">
        <v>-3.4500000000000003E-2</v>
      </c>
      <c r="J116" s="73">
        <v>-1.3299999999999999E-2</v>
      </c>
      <c r="K116" s="51">
        <f>129801.99*1663.896</f>
        <v>215977011.95304</v>
      </c>
      <c r="L116" s="52">
        <f t="shared" si="35"/>
        <v>1.1881055028777732E-4</v>
      </c>
      <c r="M116" s="51">
        <f>113.37*1663.896</f>
        <v>188635.88952</v>
      </c>
      <c r="N116" s="51">
        <f>113.37*1663.896</f>
        <v>188635.88952</v>
      </c>
      <c r="O116" s="54">
        <v>4</v>
      </c>
      <c r="P116" s="73">
        <v>2.5999999999999999E-3</v>
      </c>
      <c r="Q116" s="73">
        <v>-1.0699999999999999E-2</v>
      </c>
      <c r="R116" s="80">
        <f t="shared" si="36"/>
        <v>2.7485043789539036E-3</v>
      </c>
      <c r="S116" s="80">
        <f t="shared" si="37"/>
        <v>2.7731541538028636E-3</v>
      </c>
      <c r="T116" s="80">
        <f t="shared" si="38"/>
        <v>0</v>
      </c>
      <c r="U116" s="80">
        <f t="shared" si="39"/>
        <v>3.7100000000000001E-2</v>
      </c>
      <c r="V116" s="81">
        <f t="shared" si="40"/>
        <v>2.5999999999999999E-3</v>
      </c>
    </row>
    <row r="117" spans="1:24">
      <c r="A117" s="183">
        <v>102</v>
      </c>
      <c r="B117" s="167" t="s">
        <v>171</v>
      </c>
      <c r="C117" s="168" t="s">
        <v>41</v>
      </c>
      <c r="D117" s="51">
        <f>10291999.65*1663.697</f>
        <v>17122768941.706049</v>
      </c>
      <c r="E117" s="52">
        <f t="shared" si="42"/>
        <v>9.4768763780443931E-3</v>
      </c>
      <c r="F117" s="51">
        <f>1.38*1663.697</f>
        <v>2295.9018599999995</v>
      </c>
      <c r="G117" s="51">
        <f>1.38*1663.697</f>
        <v>2295.9018599999995</v>
      </c>
      <c r="H117" s="69">
        <v>111</v>
      </c>
      <c r="I117" s="76">
        <v>8.9999999999999998E-4</v>
      </c>
      <c r="J117" s="76">
        <v>4.7600000000000003E-2</v>
      </c>
      <c r="K117" s="51">
        <f>10409701.07*1663.896</f>
        <v>17320659971.568722</v>
      </c>
      <c r="L117" s="52">
        <f t="shared" si="35"/>
        <v>9.5282230454091232E-3</v>
      </c>
      <c r="M117" s="51">
        <f>1.38*1663.896</f>
        <v>2296.1764799999996</v>
      </c>
      <c r="N117" s="51">
        <f>1.38*1663.896</f>
        <v>2296.1764799999996</v>
      </c>
      <c r="O117" s="69">
        <v>111</v>
      </c>
      <c r="P117" s="76">
        <v>8.9999999999999998E-4</v>
      </c>
      <c r="Q117" s="76">
        <v>4.3499999999999997E-2</v>
      </c>
      <c r="R117" s="80">
        <f t="shared" si="36"/>
        <v>1.1557186255119534E-2</v>
      </c>
      <c r="S117" s="80">
        <f t="shared" si="37"/>
        <v>1.1961312666916038E-4</v>
      </c>
      <c r="T117" s="80">
        <f t="shared" si="38"/>
        <v>0</v>
      </c>
      <c r="U117" s="80">
        <f t="shared" si="39"/>
        <v>0</v>
      </c>
      <c r="V117" s="81">
        <f t="shared" si="40"/>
        <v>-4.1000000000000064E-3</v>
      </c>
    </row>
    <row r="118" spans="1:24">
      <c r="A118" s="183">
        <v>103</v>
      </c>
      <c r="B118" s="167" t="s">
        <v>172</v>
      </c>
      <c r="C118" s="168" t="s">
        <v>90</v>
      </c>
      <c r="D118" s="51">
        <f>18204632.49*1663.697</f>
        <v>30286992459.715527</v>
      </c>
      <c r="E118" s="52">
        <f t="shared" si="42"/>
        <v>1.6762831080689013E-2</v>
      </c>
      <c r="F118" s="51">
        <f>104.41*1663.697</f>
        <v>173706.60376999999</v>
      </c>
      <c r="G118" s="51">
        <f>104.41*1663.697</f>
        <v>173706.60376999999</v>
      </c>
      <c r="H118" s="54">
        <v>454</v>
      </c>
      <c r="I118" s="88">
        <v>2E-3</v>
      </c>
      <c r="J118" s="73">
        <v>0.10009999999999999</v>
      </c>
      <c r="K118" s="51">
        <f>18343600.07*1663.896</f>
        <v>30521842782.07272</v>
      </c>
      <c r="L118" s="52">
        <f t="shared" si="35"/>
        <v>1.6790291262681032E-2</v>
      </c>
      <c r="M118" s="51">
        <f>104.6*1663.896</f>
        <v>174043.52159999998</v>
      </c>
      <c r="N118" s="51">
        <f>104.6*1663.896</f>
        <v>174043.52159999998</v>
      </c>
      <c r="O118" s="54">
        <v>459</v>
      </c>
      <c r="P118" s="88">
        <v>1.9E-3</v>
      </c>
      <c r="Q118" s="73">
        <v>0.10009999999999999</v>
      </c>
      <c r="R118" s="80">
        <f t="shared" si="36"/>
        <v>7.7541645202826069E-3</v>
      </c>
      <c r="S118" s="80">
        <f t="shared" si="37"/>
        <v>1.9395798587260079E-3</v>
      </c>
      <c r="T118" s="80">
        <f t="shared" si="38"/>
        <v>1.1013215859030838E-2</v>
      </c>
      <c r="U118" s="80">
        <f t="shared" si="39"/>
        <v>-1.0000000000000005E-4</v>
      </c>
      <c r="V118" s="81">
        <f t="shared" si="40"/>
        <v>0</v>
      </c>
    </row>
    <row r="119" spans="1:24">
      <c r="A119" s="183">
        <v>104</v>
      </c>
      <c r="B119" s="167" t="s">
        <v>173</v>
      </c>
      <c r="C119" s="168" t="s">
        <v>45</v>
      </c>
      <c r="D119" s="51">
        <f>1941276.8*1663.697</f>
        <v>3229696388.3295999</v>
      </c>
      <c r="E119" s="52">
        <f t="shared" ref="E119:E120" si="43">(D119/$D$136)</f>
        <v>1.7875282622231345E-3</v>
      </c>
      <c r="F119" s="51">
        <f>133.09*1663.697</f>
        <v>221421.43372999999</v>
      </c>
      <c r="G119" s="51">
        <f>136.65*1663.697</f>
        <v>227344.19504999998</v>
      </c>
      <c r="H119" s="54">
        <v>47</v>
      </c>
      <c r="I119" s="73">
        <v>3.3999999999999998E-3</v>
      </c>
      <c r="J119" s="73">
        <v>0.01</v>
      </c>
      <c r="K119" s="51">
        <f>1933706.74*1663.896</f>
        <v>3217486909.8590398</v>
      </c>
      <c r="L119" s="52">
        <f t="shared" ref="L119:L120" si="44">(K119/$K$136)</f>
        <v>1.7699633254820201E-3</v>
      </c>
      <c r="M119" s="51">
        <f>241.681855*1663.896</f>
        <v>402133.47180708003</v>
      </c>
      <c r="N119" s="51">
        <f>248.195108*1663.896</f>
        <v>412970.847420768</v>
      </c>
      <c r="O119" s="54">
        <v>47</v>
      </c>
      <c r="P119" s="73">
        <v>8.6999999999999994E-3</v>
      </c>
      <c r="Q119" s="73">
        <v>0.83440000000000003</v>
      </c>
      <c r="R119" s="80">
        <f t="shared" ref="R119:R120" si="45">((K119-D119)/D119)</f>
        <v>-3.7803796402282944E-3</v>
      </c>
      <c r="S119" s="80">
        <f t="shared" ref="S119:S120" si="46">((N119-G119)/G119)</f>
        <v>0.81650051513276156</v>
      </c>
      <c r="T119" s="80">
        <f t="shared" ref="T119:T120" si="47">((O119-H119)/H119)</f>
        <v>0</v>
      </c>
      <c r="U119" s="80">
        <f t="shared" ref="U119:U120" si="48">P119-I119</f>
        <v>5.2999999999999992E-3</v>
      </c>
      <c r="V119" s="81">
        <f t="shared" ref="V119:V120" si="49">Q119-J119</f>
        <v>0.82440000000000002</v>
      </c>
    </row>
    <row r="120" spans="1:24">
      <c r="A120" s="183">
        <v>105</v>
      </c>
      <c r="B120" s="167" t="s">
        <v>174</v>
      </c>
      <c r="C120" s="168" t="s">
        <v>52</v>
      </c>
      <c r="D120" s="55">
        <f>129640043.02*1652.62</f>
        <v>214245727895.71237</v>
      </c>
      <c r="E120" s="52">
        <f t="shared" si="43"/>
        <v>0.11857780039572872</v>
      </c>
      <c r="F120" s="51">
        <f>123.5325*1652.62</f>
        <v>204152.28014999998</v>
      </c>
      <c r="G120" s="51">
        <f>123.5325*1652.62</f>
        <v>204152.28014999998</v>
      </c>
      <c r="H120" s="54">
        <v>3389</v>
      </c>
      <c r="I120" s="73">
        <v>5.4600000000000003E-2</v>
      </c>
      <c r="J120" s="73">
        <v>5.2900000000000003E-2</v>
      </c>
      <c r="K120" s="55">
        <f>129838677.31*1672.69</f>
        <v>217179857149.66391</v>
      </c>
      <c r="L120" s="52">
        <f t="shared" si="44"/>
        <v>0.11947224431914474</v>
      </c>
      <c r="M120" s="51">
        <f>123.6585*1672.69</f>
        <v>206842.33636500002</v>
      </c>
      <c r="N120" s="51">
        <f>123.6585*1672.69</f>
        <v>206842.33636500002</v>
      </c>
      <c r="O120" s="54">
        <v>3389</v>
      </c>
      <c r="P120" s="73">
        <v>5.4600000000000003E-2</v>
      </c>
      <c r="Q120" s="73">
        <v>5.2900000000000003E-2</v>
      </c>
      <c r="R120" s="80">
        <f t="shared" si="45"/>
        <v>1.3695158744914502E-2</v>
      </c>
      <c r="S120" s="80">
        <f t="shared" si="46"/>
        <v>1.3176714034364647E-2</v>
      </c>
      <c r="T120" s="80">
        <f t="shared" si="47"/>
        <v>0</v>
      </c>
      <c r="U120" s="80">
        <f t="shared" si="48"/>
        <v>0</v>
      </c>
      <c r="V120" s="81">
        <f t="shared" si="49"/>
        <v>0</v>
      </c>
    </row>
    <row r="121" spans="1:24" ht="6" customHeight="1">
      <c r="A121" s="58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</row>
    <row r="122" spans="1:24">
      <c r="A122" s="174" t="s">
        <v>175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</row>
    <row r="123" spans="1:24">
      <c r="A123" s="183">
        <v>106</v>
      </c>
      <c r="B123" s="167" t="s">
        <v>176</v>
      </c>
      <c r="C123" s="168" t="s">
        <v>119</v>
      </c>
      <c r="D123" s="55">
        <f>1162521.08*1663.697</f>
        <v>1934082833.23276</v>
      </c>
      <c r="E123" s="52">
        <f t="shared" ref="E123:E133" si="50">(D123/$D$136)</f>
        <v>1.0704497606576051E-3</v>
      </c>
      <c r="F123" s="51">
        <f>107.1*1663.697</f>
        <v>178181.94869999998</v>
      </c>
      <c r="G123" s="51">
        <f>107.1*1663.697</f>
        <v>178181.94869999998</v>
      </c>
      <c r="H123" s="54">
        <v>21</v>
      </c>
      <c r="I123" s="73">
        <v>2.7130000000000001E-3</v>
      </c>
      <c r="J123" s="73">
        <v>7.5200000000000003E-2</v>
      </c>
      <c r="K123" s="55">
        <f>1168045.12*1663.896</f>
        <v>1943505602.9875202</v>
      </c>
      <c r="L123" s="52">
        <f t="shared" ref="L123:L135" si="51">(K123/$K$136)</f>
        <v>1.069136794190543E-3</v>
      </c>
      <c r="M123" s="51">
        <f>107.6*1663.896</f>
        <v>179035.20959999997</v>
      </c>
      <c r="N123" s="51">
        <f>107.6*1663.896</f>
        <v>179035.20959999997</v>
      </c>
      <c r="O123" s="54">
        <v>21</v>
      </c>
      <c r="P123" s="73">
        <v>4.6690000000000004E-3</v>
      </c>
      <c r="Q123" s="73">
        <v>7.9399999999999998E-2</v>
      </c>
      <c r="R123" s="80">
        <f>((K123-D123)/D123)</f>
        <v>4.8719577015273931E-3</v>
      </c>
      <c r="S123" s="80">
        <f>((N123-G123)/G123)</f>
        <v>4.7887056249261567E-3</v>
      </c>
      <c r="T123" s="80">
        <f>((O123-H123)/H123)</f>
        <v>0</v>
      </c>
      <c r="U123" s="80">
        <f>P123-I123</f>
        <v>1.9560000000000003E-3</v>
      </c>
      <c r="V123" s="81">
        <f>Q123-J123</f>
        <v>4.1999999999999954E-3</v>
      </c>
    </row>
    <row r="124" spans="1:24">
      <c r="A124" s="183">
        <v>107</v>
      </c>
      <c r="B124" s="168" t="s">
        <v>177</v>
      </c>
      <c r="C124" s="168" t="s">
        <v>25</v>
      </c>
      <c r="D124" s="51">
        <f>11109183.59*1663.697</f>
        <v>18482315411.132229</v>
      </c>
      <c r="E124" s="52">
        <f t="shared" si="50"/>
        <v>1.0229339596161898E-2</v>
      </c>
      <c r="F124" s="55">
        <f>132.94*1663.697</f>
        <v>221171.87917999999</v>
      </c>
      <c r="G124" s="55">
        <f>132.94*1663.697</f>
        <v>221171.87917999999</v>
      </c>
      <c r="H124" s="54">
        <v>495</v>
      </c>
      <c r="I124" s="73">
        <v>5.0000000000000001E-4</v>
      </c>
      <c r="J124" s="73">
        <v>5.1900000000000002E-2</v>
      </c>
      <c r="K124" s="51">
        <f>11611165.51*1663.896</f>
        <v>19319771847.42696</v>
      </c>
      <c r="L124" s="52">
        <f t="shared" si="51"/>
        <v>1.0627949261221346E-2</v>
      </c>
      <c r="M124" s="55">
        <f>133.09*1663.896</f>
        <v>221447.91863999999</v>
      </c>
      <c r="N124" s="55">
        <f>133.09*1663.896</f>
        <v>221447.91863999999</v>
      </c>
      <c r="O124" s="54">
        <v>500</v>
      </c>
      <c r="P124" s="73">
        <v>5.0000000000000001E-4</v>
      </c>
      <c r="Q124" s="73">
        <v>5.2999999999999999E-2</v>
      </c>
      <c r="R124" s="80">
        <f t="shared" ref="R124:R136" si="52">((K124-D124)/D124)</f>
        <v>4.5311229554621503E-2</v>
      </c>
      <c r="S124" s="80">
        <f t="shared" ref="S124:S136" si="53">((N124-G124)/G124)</f>
        <v>1.2480766588565547E-3</v>
      </c>
      <c r="T124" s="80">
        <f t="shared" ref="T124:T136" si="54">((O124-H124)/H124)</f>
        <v>1.0101010101010102E-2</v>
      </c>
      <c r="U124" s="80">
        <f t="shared" ref="U124:U136" si="55">P124-I124</f>
        <v>0</v>
      </c>
      <c r="V124" s="81">
        <f t="shared" ref="V124:V136" si="56">Q124-J124</f>
        <v>1.0999999999999968E-3</v>
      </c>
    </row>
    <row r="125" spans="1:24">
      <c r="A125" s="183">
        <v>108</v>
      </c>
      <c r="B125" s="167" t="s">
        <v>178</v>
      </c>
      <c r="C125" s="168" t="s">
        <v>67</v>
      </c>
      <c r="D125" s="55">
        <v>17269112088.639999</v>
      </c>
      <c r="E125" s="52">
        <f t="shared" si="50"/>
        <v>9.5578723849979765E-3</v>
      </c>
      <c r="F125" s="55">
        <v>195887.88</v>
      </c>
      <c r="G125" s="55">
        <v>195887.88</v>
      </c>
      <c r="H125" s="54">
        <v>634</v>
      </c>
      <c r="I125" s="73">
        <v>1.1999999999999999E-3</v>
      </c>
      <c r="J125" s="73">
        <v>6.4399999999999999E-2</v>
      </c>
      <c r="K125" s="55">
        <v>17261756322.02</v>
      </c>
      <c r="L125" s="52">
        <f t="shared" si="51"/>
        <v>9.4958197125101403E-3</v>
      </c>
      <c r="M125" s="55">
        <v>194912.32</v>
      </c>
      <c r="N125" s="55">
        <v>194912.32</v>
      </c>
      <c r="O125" s="54">
        <v>639</v>
      </c>
      <c r="P125" s="73">
        <v>1.1999999999999999E-3</v>
      </c>
      <c r="Q125" s="73">
        <v>6.4199999999999993E-2</v>
      </c>
      <c r="R125" s="80">
        <f t="shared" si="52"/>
        <v>-4.2594932398624691E-4</v>
      </c>
      <c r="S125" s="80">
        <f t="shared" si="53"/>
        <v>-4.9801958140544356E-3</v>
      </c>
      <c r="T125" s="80">
        <f t="shared" si="54"/>
        <v>7.8864353312302835E-3</v>
      </c>
      <c r="U125" s="80">
        <f t="shared" si="55"/>
        <v>0</v>
      </c>
      <c r="V125" s="81">
        <f t="shared" si="56"/>
        <v>-2.0000000000000573E-4</v>
      </c>
    </row>
    <row r="126" spans="1:24">
      <c r="A126" s="185">
        <v>109</v>
      </c>
      <c r="B126" s="167" t="s">
        <v>179</v>
      </c>
      <c r="C126" s="168" t="s">
        <v>65</v>
      </c>
      <c r="D126" s="55">
        <v>7006032728.5857744</v>
      </c>
      <c r="E126" s="52">
        <f t="shared" si="50"/>
        <v>3.8776033418065296E-3</v>
      </c>
      <c r="F126" s="55">
        <v>2123.9483006554919</v>
      </c>
      <c r="G126" s="55">
        <v>2123.9483006554919</v>
      </c>
      <c r="H126" s="54">
        <v>223</v>
      </c>
      <c r="I126" s="73">
        <v>5.7088663895661772E-2</v>
      </c>
      <c r="J126" s="73">
        <v>5.4069117090176658E-2</v>
      </c>
      <c r="K126" s="55">
        <v>6955463704.7187862</v>
      </c>
      <c r="L126" s="52">
        <f t="shared" si="51"/>
        <v>3.8262519829841061E-3</v>
      </c>
      <c r="M126" s="55">
        <v>2088.9601924151511</v>
      </c>
      <c r="N126" s="55">
        <v>2088.9601924151511</v>
      </c>
      <c r="O126" s="54">
        <v>223</v>
      </c>
      <c r="P126" s="73">
        <v>6.583778729476468E-2</v>
      </c>
      <c r="Q126" s="73">
        <v>5.4382422403585012E-2</v>
      </c>
      <c r="R126" s="80">
        <f t="shared" si="52"/>
        <v>-7.2179257257332218E-3</v>
      </c>
      <c r="S126" s="80">
        <f t="shared" si="53"/>
        <v>-1.6473144958162492E-2</v>
      </c>
      <c r="T126" s="80">
        <f t="shared" si="54"/>
        <v>0</v>
      </c>
      <c r="U126" s="80">
        <f t="shared" si="55"/>
        <v>8.749123399102908E-3</v>
      </c>
      <c r="V126" s="81">
        <f t="shared" si="56"/>
        <v>3.1330531340835466E-4</v>
      </c>
    </row>
    <row r="127" spans="1:24">
      <c r="A127" s="183">
        <v>110</v>
      </c>
      <c r="B127" s="167" t="s">
        <v>180</v>
      </c>
      <c r="C127" s="168" t="s">
        <v>37</v>
      </c>
      <c r="D127" s="55">
        <v>78619184031.519699</v>
      </c>
      <c r="E127" s="52">
        <f t="shared" si="50"/>
        <v>4.3513072596259569E-2</v>
      </c>
      <c r="F127" s="55">
        <f>100*1663.697</f>
        <v>166369.69999999998</v>
      </c>
      <c r="G127" s="55">
        <f>100*1663.697</f>
        <v>166369.69999999998</v>
      </c>
      <c r="H127" s="54">
        <v>1793</v>
      </c>
      <c r="I127" s="73">
        <v>5.3400000000000003E-2</v>
      </c>
      <c r="J127" s="73">
        <v>5.5500000000000001E-2</v>
      </c>
      <c r="K127" s="55">
        <v>79204776163.969696</v>
      </c>
      <c r="L127" s="52">
        <f t="shared" si="51"/>
        <v>4.3571132669932337E-2</v>
      </c>
      <c r="M127" s="55">
        <f>100*1675.49</f>
        <v>167549</v>
      </c>
      <c r="N127" s="55">
        <f>100*1675.49</f>
        <v>167549</v>
      </c>
      <c r="O127" s="54">
        <v>1800</v>
      </c>
      <c r="P127" s="73">
        <v>5.3400000000000003E-2</v>
      </c>
      <c r="Q127" s="73">
        <v>5.5500000000000001E-2</v>
      </c>
      <c r="R127" s="80">
        <f t="shared" si="52"/>
        <v>7.4484636245426257E-3</v>
      </c>
      <c r="S127" s="80">
        <f t="shared" si="53"/>
        <v>7.0884301648678674E-3</v>
      </c>
      <c r="T127" s="80">
        <f t="shared" si="54"/>
        <v>3.9040713887339654E-3</v>
      </c>
      <c r="U127" s="80">
        <f t="shared" si="55"/>
        <v>0</v>
      </c>
      <c r="V127" s="81">
        <f t="shared" si="56"/>
        <v>0</v>
      </c>
    </row>
    <row r="128" spans="1:24" ht="15.6">
      <c r="A128" s="183">
        <v>111</v>
      </c>
      <c r="B128" s="167" t="s">
        <v>181</v>
      </c>
      <c r="C128" s="168" t="s">
        <v>136</v>
      </c>
      <c r="D128" s="55">
        <f>1040221.44*1663.697</f>
        <v>1730613289.0636797</v>
      </c>
      <c r="E128" s="52">
        <f t="shared" si="50"/>
        <v>9.5783621530450805E-4</v>
      </c>
      <c r="F128" s="55">
        <f>1.09*1663.697</f>
        <v>1813.4297300000001</v>
      </c>
      <c r="G128" s="55">
        <f>1.12*1663.697</f>
        <v>1863.3406400000001</v>
      </c>
      <c r="H128" s="54">
        <v>38</v>
      </c>
      <c r="I128" s="73">
        <v>4.5999999999999999E-3</v>
      </c>
      <c r="J128" s="73">
        <v>0.1031</v>
      </c>
      <c r="K128" s="55">
        <f>1041208.37*1663.896</f>
        <v>1732462442.0095201</v>
      </c>
      <c r="L128" s="52">
        <f t="shared" si="51"/>
        <v>9.5304039178397543E-4</v>
      </c>
      <c r="M128" s="55">
        <f>1.09*1663.896</f>
        <v>1813.6466400000002</v>
      </c>
      <c r="N128" s="55">
        <f>1.12*1663.896</f>
        <v>1863.5635200000002</v>
      </c>
      <c r="O128" s="54">
        <v>38</v>
      </c>
      <c r="P128" s="73">
        <v>1.6999999999999999E-3</v>
      </c>
      <c r="Q128" s="73">
        <v>0.1026</v>
      </c>
      <c r="R128" s="80">
        <f t="shared" si="52"/>
        <v>1.0684957509142976E-3</v>
      </c>
      <c r="S128" s="80">
        <f t="shared" si="53"/>
        <v>1.1961312666911614E-4</v>
      </c>
      <c r="T128" s="80">
        <f t="shared" si="54"/>
        <v>0</v>
      </c>
      <c r="U128" s="80">
        <f t="shared" si="55"/>
        <v>-2.8999999999999998E-3</v>
      </c>
      <c r="V128" s="81">
        <f t="shared" si="56"/>
        <v>-5.0000000000000044E-4</v>
      </c>
      <c r="X128" s="91"/>
    </row>
    <row r="129" spans="1:24" ht="15.6">
      <c r="A129" s="183">
        <v>112</v>
      </c>
      <c r="B129" s="167" t="s">
        <v>182</v>
      </c>
      <c r="C129" s="168" t="s">
        <v>43</v>
      </c>
      <c r="D129" s="51">
        <f>2161521.48*1663.697</f>
        <v>3596116801.7115598</v>
      </c>
      <c r="E129" s="52">
        <f t="shared" si="50"/>
        <v>1.9903296299128375E-3</v>
      </c>
      <c r="F129" s="55">
        <f>10.55*1663.697</f>
        <v>17552.003349999999</v>
      </c>
      <c r="G129" s="55">
        <f>10.55*1663.697</f>
        <v>17552.003349999999</v>
      </c>
      <c r="H129" s="54">
        <v>68</v>
      </c>
      <c r="I129" s="73">
        <v>7.7499999999999999E-2</v>
      </c>
      <c r="J129" s="73">
        <v>9.7100000000000006E-2</v>
      </c>
      <c r="K129" s="51">
        <f>2270884.55*1663.896</f>
        <v>3778515719.2067995</v>
      </c>
      <c r="L129" s="52">
        <f t="shared" si="51"/>
        <v>2.0785894193572187E-3</v>
      </c>
      <c r="M129" s="55">
        <f>10.56*1663.896</f>
        <v>17570.741760000001</v>
      </c>
      <c r="N129" s="55">
        <f>10.56*1663.896</f>
        <v>17570.741760000001</v>
      </c>
      <c r="O129" s="54">
        <v>68</v>
      </c>
      <c r="P129" s="73">
        <v>7.6899999999999996E-2</v>
      </c>
      <c r="Q129" s="73">
        <v>9.69E-2</v>
      </c>
      <c r="R129" s="80">
        <f t="shared" si="52"/>
        <v>5.0721077081931146E-2</v>
      </c>
      <c r="S129" s="80">
        <f t="shared" si="53"/>
        <v>1.0675938026186481E-3</v>
      </c>
      <c r="T129" s="80">
        <f t="shared" si="54"/>
        <v>0</v>
      </c>
      <c r="U129" s="80">
        <f t="shared" si="55"/>
        <v>-6.0000000000000331E-4</v>
      </c>
      <c r="V129" s="81">
        <f t="shared" si="56"/>
        <v>-2.0000000000000573E-4</v>
      </c>
      <c r="X129" s="91"/>
    </row>
    <row r="130" spans="1:24" ht="15.6">
      <c r="A130" s="183">
        <v>113</v>
      </c>
      <c r="B130" s="168" t="s">
        <v>183</v>
      </c>
      <c r="C130" s="184" t="s">
        <v>47</v>
      </c>
      <c r="D130" s="55">
        <v>25119460692</v>
      </c>
      <c r="E130" s="52">
        <f t="shared" si="50"/>
        <v>1.3902776149796637E-2</v>
      </c>
      <c r="F130" s="55">
        <f>1.0641*1663.697</f>
        <v>1770.3399777</v>
      </c>
      <c r="G130" s="55">
        <f>1.0641*1663.697</f>
        <v>1770.3399777</v>
      </c>
      <c r="H130" s="54">
        <v>371</v>
      </c>
      <c r="I130" s="73">
        <v>2E-3</v>
      </c>
      <c r="J130" s="73">
        <v>9.8699999999999996E-2</v>
      </c>
      <c r="K130" s="55">
        <v>25013626360</v>
      </c>
      <c r="L130" s="52">
        <f t="shared" si="51"/>
        <v>1.3760180704651246E-2</v>
      </c>
      <c r="M130" s="55">
        <f>1.0629*1663.896</f>
        <v>1768.5550583999998</v>
      </c>
      <c r="N130" s="55">
        <f>1.0629*1663.896</f>
        <v>1768.5550583999998</v>
      </c>
      <c r="O130" s="54">
        <v>371</v>
      </c>
      <c r="P130" s="73">
        <v>-1E-3</v>
      </c>
      <c r="Q130" s="73">
        <v>9.7500000000000003E-2</v>
      </c>
      <c r="R130" s="80">
        <f t="shared" si="52"/>
        <v>-4.2132406144255287E-3</v>
      </c>
      <c r="S130" s="80">
        <f t="shared" si="53"/>
        <v>-1.0082353234315618E-3</v>
      </c>
      <c r="T130" s="80">
        <f t="shared" si="54"/>
        <v>0</v>
      </c>
      <c r="U130" s="80">
        <f t="shared" si="55"/>
        <v>-3.0000000000000001E-3</v>
      </c>
      <c r="V130" s="81">
        <f t="shared" si="56"/>
        <v>-1.1999999999999927E-3</v>
      </c>
      <c r="X130" s="91"/>
    </row>
    <row r="131" spans="1:24">
      <c r="A131" s="183">
        <v>114</v>
      </c>
      <c r="B131" s="167" t="s">
        <v>184</v>
      </c>
      <c r="C131" s="168" t="s">
        <v>92</v>
      </c>
      <c r="D131" s="51">
        <f>333151.71*1693.39</f>
        <v>564155774.19690001</v>
      </c>
      <c r="E131" s="52">
        <f t="shared" si="50"/>
        <v>3.1224123552830291E-4</v>
      </c>
      <c r="F131" s="55">
        <f>1.1*1693.39</f>
        <v>1862.7290000000003</v>
      </c>
      <c r="G131" s="55">
        <f>1.1*1693.39</f>
        <v>1862.7290000000003</v>
      </c>
      <c r="H131" s="54">
        <v>3</v>
      </c>
      <c r="I131" s="73">
        <v>-1.147E-3</v>
      </c>
      <c r="J131" s="73">
        <v>5.9803000000000002E-2</v>
      </c>
      <c r="K131" s="51">
        <f>334216.45*1663.4</f>
        <v>555935642.93000007</v>
      </c>
      <c r="L131" s="52">
        <f t="shared" si="51"/>
        <v>3.0582430539165018E-4</v>
      </c>
      <c r="M131" s="55">
        <f>1.1*1663.4</f>
        <v>1829.7400000000002</v>
      </c>
      <c r="N131" s="55">
        <f>1.1*1663.4</f>
        <v>1829.7400000000002</v>
      </c>
      <c r="O131" s="54">
        <v>3</v>
      </c>
      <c r="P131" s="73">
        <v>3.1960000000000001E-3</v>
      </c>
      <c r="Q131" s="73">
        <v>6.3189999999999996E-2</v>
      </c>
      <c r="R131" s="80">
        <f t="shared" si="52"/>
        <v>-1.4570676474244464E-2</v>
      </c>
      <c r="S131" s="80">
        <f t="shared" si="53"/>
        <v>-1.7710037262532567E-2</v>
      </c>
      <c r="T131" s="80">
        <f t="shared" si="54"/>
        <v>0</v>
      </c>
      <c r="U131" s="80">
        <f t="shared" si="55"/>
        <v>4.3429999999999996E-3</v>
      </c>
      <c r="V131" s="81">
        <f t="shared" si="56"/>
        <v>3.3869999999999942E-3</v>
      </c>
    </row>
    <row r="132" spans="1:24">
      <c r="A132" s="183">
        <v>115</v>
      </c>
      <c r="B132" s="167" t="s">
        <v>185</v>
      </c>
      <c r="C132" s="168" t="s">
        <v>49</v>
      </c>
      <c r="D132" s="51">
        <v>1075607099033.78</v>
      </c>
      <c r="E132" s="52">
        <f t="shared" si="50"/>
        <v>0.59531233199450351</v>
      </c>
      <c r="F132" s="55">
        <v>2647.11</v>
      </c>
      <c r="G132" s="55">
        <v>2647.11</v>
      </c>
      <c r="H132" s="54">
        <v>9000</v>
      </c>
      <c r="I132" s="73">
        <v>1.2999999999999999E-3</v>
      </c>
      <c r="J132" s="73">
        <v>6.7199999999999996E-2</v>
      </c>
      <c r="K132" s="51">
        <v>1068065953607.59</v>
      </c>
      <c r="L132" s="52">
        <f t="shared" si="51"/>
        <v>0.58755097380154886</v>
      </c>
      <c r="M132" s="55">
        <v>2603.7199999999998</v>
      </c>
      <c r="N132" s="55">
        <v>2603.7199999999998</v>
      </c>
      <c r="O132" s="54">
        <v>9062</v>
      </c>
      <c r="P132" s="73">
        <v>1.2999999999999999E-3</v>
      </c>
      <c r="Q132" s="73">
        <v>6.8699999999999997E-2</v>
      </c>
      <c r="R132" s="80">
        <f t="shared" si="52"/>
        <v>-7.0110595522884607E-3</v>
      </c>
      <c r="S132" s="80">
        <f t="shared" si="53"/>
        <v>-1.6391460876200959E-2</v>
      </c>
      <c r="T132" s="80">
        <f t="shared" si="54"/>
        <v>6.8888888888888888E-3</v>
      </c>
      <c r="U132" s="80">
        <f t="shared" si="55"/>
        <v>0</v>
      </c>
      <c r="V132" s="81">
        <f t="shared" si="56"/>
        <v>1.5000000000000013E-3</v>
      </c>
    </row>
    <row r="133" spans="1:24" ht="16.5" customHeight="1">
      <c r="A133" s="183">
        <v>116</v>
      </c>
      <c r="B133" s="167" t="s">
        <v>186</v>
      </c>
      <c r="C133" s="168" t="s">
        <v>52</v>
      </c>
      <c r="D133" s="51">
        <f>69803505.55*1652.62</f>
        <v>115358669342.04099</v>
      </c>
      <c r="E133" s="52">
        <f t="shared" si="50"/>
        <v>6.3847141324637632E-2</v>
      </c>
      <c r="F133" s="55">
        <f>1.157*1652.62</f>
        <v>1912.08134</v>
      </c>
      <c r="G133" s="55">
        <f>1.157*1652.62</f>
        <v>1912.08134</v>
      </c>
      <c r="H133" s="54">
        <v>459</v>
      </c>
      <c r="I133" s="73">
        <v>9.9299999999999999E-2</v>
      </c>
      <c r="J133" s="73">
        <v>9.0200000000000002E-2</v>
      </c>
      <c r="K133" s="51">
        <f>75422809.61*1672.69</f>
        <v>126158979406.5509</v>
      </c>
      <c r="L133" s="52">
        <f t="shared" si="51"/>
        <v>6.940098685269222E-2</v>
      </c>
      <c r="M133" s="55">
        <f>1.1591*1672.69</f>
        <v>1938.814979</v>
      </c>
      <c r="N133" s="55">
        <f>1.1591*1672.69</f>
        <v>1938.814979</v>
      </c>
      <c r="O133" s="54">
        <v>459</v>
      </c>
      <c r="P133" s="73">
        <v>9.9199999999999997E-2</v>
      </c>
      <c r="Q133" s="73">
        <v>9.0399999999999994E-2</v>
      </c>
      <c r="R133" s="80">
        <f t="shared" si="52"/>
        <v>9.362373999379936E-2</v>
      </c>
      <c r="S133" s="80">
        <f t="shared" si="53"/>
        <v>1.3981433969749445E-2</v>
      </c>
      <c r="T133" s="80">
        <f t="shared" si="54"/>
        <v>0</v>
      </c>
      <c r="U133" s="80">
        <f t="shared" si="55"/>
        <v>-1.0000000000000286E-4</v>
      </c>
      <c r="V133" s="81">
        <f t="shared" si="56"/>
        <v>1.9999999999999185E-4</v>
      </c>
    </row>
    <row r="134" spans="1:24" ht="16.5" customHeight="1">
      <c r="A134" s="183">
        <v>117</v>
      </c>
      <c r="B134" s="167" t="s">
        <v>187</v>
      </c>
      <c r="C134" s="168" t="s">
        <v>97</v>
      </c>
      <c r="D134" s="55">
        <v>694467689.01610005</v>
      </c>
      <c r="E134" s="52">
        <v>0</v>
      </c>
      <c r="F134" s="55">
        <v>173354.25736771669</v>
      </c>
      <c r="G134" s="55">
        <v>173354.25736771669</v>
      </c>
      <c r="H134" s="54">
        <v>20</v>
      </c>
      <c r="I134" s="73">
        <v>1.1999999999999999E-3</v>
      </c>
      <c r="J134" s="73">
        <v>6.6500000000000004E-2</v>
      </c>
      <c r="K134" s="55">
        <v>682931986.45882022</v>
      </c>
      <c r="L134" s="52">
        <f t="shared" si="51"/>
        <v>3.7568593243589987E-4</v>
      </c>
      <c r="M134" s="55">
        <v>170481.86600000001</v>
      </c>
      <c r="N134" s="55">
        <v>170481.86600000001</v>
      </c>
      <c r="O134" s="54">
        <v>20</v>
      </c>
      <c r="P134" s="73">
        <v>1.2999999999999999E-3</v>
      </c>
      <c r="Q134" s="73">
        <v>6.7199999999999996E-2</v>
      </c>
      <c r="R134" s="80">
        <f t="shared" si="52"/>
        <v>-1.6610855680878753E-2</v>
      </c>
      <c r="S134" s="80">
        <f t="shared" si="53"/>
        <v>-1.6569488464444275E-2</v>
      </c>
      <c r="T134" s="80">
        <f t="shared" si="54"/>
        <v>0</v>
      </c>
      <c r="U134" s="80">
        <f t="shared" si="55"/>
        <v>1.0000000000000005E-4</v>
      </c>
      <c r="V134" s="81">
        <f t="shared" si="56"/>
        <v>6.999999999999923E-4</v>
      </c>
    </row>
    <row r="135" spans="1:24">
      <c r="A135" s="183">
        <v>118</v>
      </c>
      <c r="B135" s="167" t="s">
        <v>188</v>
      </c>
      <c r="C135" s="168" t="s">
        <v>111</v>
      </c>
      <c r="D135" s="55">
        <f>1097405.47*1663.697</f>
        <v>1825750188.2225897</v>
      </c>
      <c r="E135" s="52">
        <f>(D135/$D$136)</f>
        <v>1.0104912873544164E-3</v>
      </c>
      <c r="F135" s="55">
        <f>1.228*1663.697</f>
        <v>2043.0199159999997</v>
      </c>
      <c r="G135" s="55">
        <f>1.228*1663.697</f>
        <v>2043.0199159999997</v>
      </c>
      <c r="H135" s="54">
        <v>62</v>
      </c>
      <c r="I135" s="73">
        <v>-6.868E-3</v>
      </c>
      <c r="J135" s="73">
        <v>0.114343</v>
      </c>
      <c r="K135" s="55">
        <f>1090157.63*1663.896</f>
        <v>1813908919.9264798</v>
      </c>
      <c r="L135" s="52">
        <f t="shared" si="51"/>
        <v>9.9784470115380462E-4</v>
      </c>
      <c r="M135" s="55">
        <f>1.228*1663.896</f>
        <v>2043.2642879999999</v>
      </c>
      <c r="N135" s="55">
        <f>1.228*1663.896</f>
        <v>2043.2642879999999</v>
      </c>
      <c r="O135" s="54">
        <v>66</v>
      </c>
      <c r="P135" s="73">
        <v>3.7569999999999999E-3</v>
      </c>
      <c r="Q135" s="73">
        <v>0.118951</v>
      </c>
      <c r="R135" s="80">
        <f t="shared" si="52"/>
        <v>-6.4857001645102748E-3</v>
      </c>
      <c r="S135" s="80">
        <f t="shared" si="53"/>
        <v>1.1961312666915392E-4</v>
      </c>
      <c r="T135" s="80">
        <f t="shared" si="54"/>
        <v>6.4516129032258063E-2</v>
      </c>
      <c r="U135" s="80">
        <f t="shared" si="55"/>
        <v>1.0624999999999999E-2</v>
      </c>
      <c r="V135" s="81">
        <f t="shared" si="56"/>
        <v>4.608000000000001E-3</v>
      </c>
    </row>
    <row r="136" spans="1:24">
      <c r="A136" s="58"/>
      <c r="B136" s="59"/>
      <c r="C136" s="95" t="s">
        <v>53</v>
      </c>
      <c r="D136" s="71">
        <f>SUM(D106:D135)</f>
        <v>1806794587019.7612</v>
      </c>
      <c r="E136" s="62">
        <f>(D136/$D$206)</f>
        <v>0.47214893016094739</v>
      </c>
      <c r="F136" s="63"/>
      <c r="G136" s="68"/>
      <c r="H136" s="65">
        <f>SUM(H106:H135)</f>
        <v>21050</v>
      </c>
      <c r="I136" s="104"/>
      <c r="J136" s="104"/>
      <c r="K136" s="71">
        <f>SUM(K106:K135)</f>
        <v>1817826880103.7505</v>
      </c>
      <c r="L136" s="62">
        <f>(K136/$K$206)</f>
        <v>0.47211593792916473</v>
      </c>
      <c r="M136" s="63"/>
      <c r="N136" s="68"/>
      <c r="O136" s="65">
        <f>SUM(O106:O135)</f>
        <v>21144</v>
      </c>
      <c r="P136" s="104"/>
      <c r="Q136" s="104"/>
      <c r="R136" s="80">
        <f t="shared" si="52"/>
        <v>6.106002953100831E-3</v>
      </c>
      <c r="S136" s="80" t="e">
        <f t="shared" si="53"/>
        <v>#DIV/0!</v>
      </c>
      <c r="T136" s="80">
        <f t="shared" si="54"/>
        <v>4.4655581947743465E-3</v>
      </c>
      <c r="U136" s="80">
        <f t="shared" si="55"/>
        <v>0</v>
      </c>
      <c r="V136" s="81">
        <f t="shared" si="56"/>
        <v>0</v>
      </c>
    </row>
    <row r="137" spans="1:24" ht="6" customHeight="1">
      <c r="A137" s="58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</row>
    <row r="138" spans="1:24">
      <c r="A138" s="175" t="s">
        <v>189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</row>
    <row r="139" spans="1:24">
      <c r="A139" s="183">
        <v>119</v>
      </c>
      <c r="B139" s="167" t="s">
        <v>190</v>
      </c>
      <c r="C139" s="168" t="s">
        <v>191</v>
      </c>
      <c r="D139" s="96">
        <v>2484976214.6804113</v>
      </c>
      <c r="E139" s="52">
        <f>(D139/$D$144)</f>
        <v>2.492144472281738E-2</v>
      </c>
      <c r="F139" s="83">
        <v>117.10538240718243</v>
      </c>
      <c r="G139" s="83">
        <v>117.10538240718243</v>
      </c>
      <c r="H139" s="54">
        <v>7</v>
      </c>
      <c r="I139" s="73">
        <v>3.5449061947008254E-3</v>
      </c>
      <c r="J139" s="73">
        <v>0.14573341322345246</v>
      </c>
      <c r="K139" s="96">
        <v>2493751075.8797698</v>
      </c>
      <c r="L139" s="52">
        <f>(K139/$K$144)</f>
        <v>2.5116436867732808E-2</v>
      </c>
      <c r="M139" s="83">
        <v>117.455382407182</v>
      </c>
      <c r="N139" s="83">
        <v>117.455382407182</v>
      </c>
      <c r="O139" s="54">
        <v>7</v>
      </c>
      <c r="P139" s="73">
        <v>3.5449061947008254E-3</v>
      </c>
      <c r="Q139" s="73">
        <v>0.14923341322345199</v>
      </c>
      <c r="R139" s="80">
        <f t="shared" ref="R139:R144" si="57">((K139-D139)/D139)</f>
        <v>3.531165066095807E-3</v>
      </c>
      <c r="S139" s="80">
        <f t="shared" ref="S139:T144" si="58">((N139-G139)/G139)</f>
        <v>2.988761001459327E-3</v>
      </c>
      <c r="T139" s="80">
        <f t="shared" si="58"/>
        <v>0</v>
      </c>
      <c r="U139" s="80">
        <f t="shared" ref="U139:V144" si="59">P139-I139</f>
        <v>0</v>
      </c>
      <c r="V139" s="81">
        <f t="shared" si="59"/>
        <v>3.4999999999995313E-3</v>
      </c>
    </row>
    <row r="140" spans="1:24">
      <c r="A140" s="183">
        <v>120</v>
      </c>
      <c r="B140" s="167" t="s">
        <v>192</v>
      </c>
      <c r="C140" s="168" t="s">
        <v>47</v>
      </c>
      <c r="D140" s="51">
        <v>53749983529</v>
      </c>
      <c r="E140" s="52">
        <f>(D140/$D$144)</f>
        <v>0.53905032790931262</v>
      </c>
      <c r="F140" s="83">
        <v>102.5</v>
      </c>
      <c r="G140" s="83">
        <v>102.5</v>
      </c>
      <c r="H140" s="54">
        <v>666</v>
      </c>
      <c r="I140" s="73">
        <v>0</v>
      </c>
      <c r="J140" s="73">
        <v>7.6999999999999999E-2</v>
      </c>
      <c r="K140" s="51">
        <v>53749983529</v>
      </c>
      <c r="L140" s="52">
        <f>(K140/$K$144)</f>
        <v>0.54135638516829021</v>
      </c>
      <c r="M140" s="83">
        <v>102.5</v>
      </c>
      <c r="N140" s="83">
        <v>102.5</v>
      </c>
      <c r="O140" s="54">
        <v>666</v>
      </c>
      <c r="P140" s="73">
        <v>7.6999999999999999E-2</v>
      </c>
      <c r="Q140" s="73">
        <v>7.6999999999999999E-2</v>
      </c>
      <c r="R140" s="80">
        <f t="shared" si="57"/>
        <v>0</v>
      </c>
      <c r="S140" s="80">
        <f t="shared" si="58"/>
        <v>0</v>
      </c>
      <c r="T140" s="80">
        <f t="shared" si="58"/>
        <v>0</v>
      </c>
      <c r="U140" s="80">
        <f t="shared" si="59"/>
        <v>7.6999999999999999E-2</v>
      </c>
      <c r="V140" s="81">
        <f t="shared" si="59"/>
        <v>0</v>
      </c>
    </row>
    <row r="141" spans="1:24" ht="15.75" customHeight="1">
      <c r="A141" s="183">
        <v>121</v>
      </c>
      <c r="B141" s="167" t="s">
        <v>193</v>
      </c>
      <c r="C141" s="168" t="s">
        <v>146</v>
      </c>
      <c r="D141" s="51">
        <v>2659839820.2634087</v>
      </c>
      <c r="E141" s="52">
        <f>(D141/$D$144)</f>
        <v>2.6675124961213409E-2</v>
      </c>
      <c r="F141" s="83">
        <v>179.45</v>
      </c>
      <c r="G141" s="83">
        <v>179.45</v>
      </c>
      <c r="H141" s="54">
        <v>2834</v>
      </c>
      <c r="I141" s="73">
        <v>6.9497749698636938E-2</v>
      </c>
      <c r="J141" s="73">
        <v>8.4666866536777532E-2</v>
      </c>
      <c r="K141" s="51">
        <v>2755992663.75</v>
      </c>
      <c r="L141" s="52">
        <f>(K141/$K$144)</f>
        <v>2.7757668524550427E-2</v>
      </c>
      <c r="M141" s="83">
        <v>179.45</v>
      </c>
      <c r="N141" s="83">
        <v>179.45</v>
      </c>
      <c r="O141" s="54">
        <v>2834</v>
      </c>
      <c r="P141" s="73">
        <v>0.238602384267428</v>
      </c>
      <c r="Q141" s="73">
        <v>0.10549903262603202</v>
      </c>
      <c r="R141" s="80">
        <f t="shared" si="57"/>
        <v>3.61498623917395E-2</v>
      </c>
      <c r="S141" s="80">
        <f t="shared" si="58"/>
        <v>0</v>
      </c>
      <c r="T141" s="80">
        <f t="shared" si="58"/>
        <v>0</v>
      </c>
      <c r="U141" s="80">
        <f t="shared" si="59"/>
        <v>0.16910463456879105</v>
      </c>
      <c r="V141" s="81">
        <f t="shared" si="59"/>
        <v>2.0832166089254492E-2</v>
      </c>
    </row>
    <row r="142" spans="1:24">
      <c r="A142" s="183">
        <v>122</v>
      </c>
      <c r="B142" s="167" t="s">
        <v>194</v>
      </c>
      <c r="C142" s="168" t="s">
        <v>146</v>
      </c>
      <c r="D142" s="51">
        <v>10301384180.93</v>
      </c>
      <c r="E142" s="52">
        <f>(D142/$D$144)</f>
        <v>0.10331099948438316</v>
      </c>
      <c r="F142" s="83">
        <v>36.6</v>
      </c>
      <c r="G142" s="83">
        <v>36.6</v>
      </c>
      <c r="H142" s="54">
        <v>5260</v>
      </c>
      <c r="I142" s="73">
        <v>9.044406553488156E-2</v>
      </c>
      <c r="J142" s="73">
        <v>0.19731516459794909</v>
      </c>
      <c r="K142" s="51">
        <v>10312629343</v>
      </c>
      <c r="L142" s="52">
        <f>(K142/$K$144)</f>
        <v>0.10386622239046454</v>
      </c>
      <c r="M142" s="83">
        <v>57.97</v>
      </c>
      <c r="N142" s="83">
        <v>57.97</v>
      </c>
      <c r="O142" s="54">
        <v>5260</v>
      </c>
      <c r="P142" s="73">
        <v>5.4172731085183501E-2</v>
      </c>
      <c r="Q142" s="73">
        <v>0.19648203592814401</v>
      </c>
      <c r="R142" s="80">
        <f t="shared" si="57"/>
        <v>1.0916166092336235E-3</v>
      </c>
      <c r="S142" s="80">
        <f t="shared" si="58"/>
        <v>0.58387978142076491</v>
      </c>
      <c r="T142" s="80">
        <f t="shared" si="58"/>
        <v>0</v>
      </c>
      <c r="U142" s="80">
        <f t="shared" si="59"/>
        <v>-3.6271334449698059E-2</v>
      </c>
      <c r="V142" s="81">
        <f t="shared" si="59"/>
        <v>-8.3312866980508882E-4</v>
      </c>
    </row>
    <row r="143" spans="1:24">
      <c r="A143" s="183">
        <v>123</v>
      </c>
      <c r="B143" s="167" t="s">
        <v>195</v>
      </c>
      <c r="C143" s="168" t="s">
        <v>49</v>
      </c>
      <c r="D143" s="51">
        <v>30516182143.98</v>
      </c>
      <c r="E143" s="52">
        <f>(D143/$D$144)</f>
        <v>0.30604210292227357</v>
      </c>
      <c r="F143" s="83">
        <v>5.0999999999999996</v>
      </c>
      <c r="G143" s="83">
        <v>5.0999999999999996</v>
      </c>
      <c r="H143" s="54">
        <v>208116</v>
      </c>
      <c r="I143" s="73">
        <v>-9.7000000000000003E-3</v>
      </c>
      <c r="J143" s="73">
        <v>-0.2031</v>
      </c>
      <c r="K143" s="51">
        <v>29975256874.799999</v>
      </c>
      <c r="L143" s="52">
        <f>(K143/$K$144)</f>
        <v>0.30190328704896202</v>
      </c>
      <c r="M143" s="83">
        <v>11.23</v>
      </c>
      <c r="N143" s="83">
        <v>11.23</v>
      </c>
      <c r="O143" s="54">
        <v>208116</v>
      </c>
      <c r="P143" s="73">
        <v>9.7999999999999997E-3</v>
      </c>
      <c r="Q143" s="73">
        <v>-0.1953</v>
      </c>
      <c r="R143" s="80">
        <f t="shared" si="57"/>
        <v>-1.7725850063020087E-2</v>
      </c>
      <c r="S143" s="80">
        <f t="shared" si="58"/>
        <v>1.2019607843137257</v>
      </c>
      <c r="T143" s="80">
        <f t="shared" si="58"/>
        <v>0</v>
      </c>
      <c r="U143" s="80">
        <f t="shared" si="59"/>
        <v>1.95E-2</v>
      </c>
      <c r="V143" s="81">
        <f t="shared" si="59"/>
        <v>7.8000000000000014E-3</v>
      </c>
    </row>
    <row r="144" spans="1:24">
      <c r="A144" s="58"/>
      <c r="B144" s="97"/>
      <c r="C144" s="60" t="s">
        <v>53</v>
      </c>
      <c r="D144" s="61">
        <f>SUM(D139:D143)</f>
        <v>99712365888.853806</v>
      </c>
      <c r="E144" s="62">
        <f>(D144/$D$206)</f>
        <v>2.6056690238315597E-2</v>
      </c>
      <c r="F144" s="63"/>
      <c r="G144" s="98"/>
      <c r="H144" s="65">
        <f>SUM(H139:H143)</f>
        <v>216883</v>
      </c>
      <c r="I144" s="105"/>
      <c r="J144" s="105"/>
      <c r="K144" s="61">
        <f>SUM(K139:K143)</f>
        <v>99287613486.429764</v>
      </c>
      <c r="L144" s="62">
        <f>(K144/$K$206)</f>
        <v>2.5786429543400095E-2</v>
      </c>
      <c r="M144" s="63"/>
      <c r="N144" s="98"/>
      <c r="O144" s="65">
        <f>SUM(O139:O143)</f>
        <v>216883</v>
      </c>
      <c r="P144" s="105"/>
      <c r="Q144" s="105"/>
      <c r="R144" s="80">
        <f t="shared" si="57"/>
        <v>-4.2597765947856425E-3</v>
      </c>
      <c r="S144" s="80" t="e">
        <f t="shared" si="58"/>
        <v>#DIV/0!</v>
      </c>
      <c r="T144" s="80">
        <f t="shared" si="58"/>
        <v>0</v>
      </c>
      <c r="U144" s="80">
        <f t="shared" si="59"/>
        <v>0</v>
      </c>
      <c r="V144" s="81">
        <f t="shared" si="59"/>
        <v>0</v>
      </c>
    </row>
    <row r="145" spans="1:22" ht="5.25" customHeight="1">
      <c r="A145" s="58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</row>
    <row r="146" spans="1:22" ht="15" customHeight="1">
      <c r="A146" s="175" t="s">
        <v>196</v>
      </c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</row>
    <row r="147" spans="1:22">
      <c r="A147" s="183">
        <v>124</v>
      </c>
      <c r="B147" s="167" t="s">
        <v>197</v>
      </c>
      <c r="C147" s="168" t="s">
        <v>57</v>
      </c>
      <c r="D147" s="55">
        <v>254410466.43000001</v>
      </c>
      <c r="E147" s="52">
        <f t="shared" ref="E147:E175" si="60">(D147/$D$176)</f>
        <v>4.7778674291656179E-3</v>
      </c>
      <c r="F147" s="55">
        <v>5.69</v>
      </c>
      <c r="G147" s="55">
        <v>5.77</v>
      </c>
      <c r="H147" s="56">
        <v>11835</v>
      </c>
      <c r="I147" s="74">
        <v>8.9269999999999992E-3</v>
      </c>
      <c r="J147" s="74">
        <v>0.1313</v>
      </c>
      <c r="K147" s="55">
        <v>249240838.47</v>
      </c>
      <c r="L147" s="77">
        <f t="shared" ref="L147:L175" si="61">(K147/$K$176)</f>
        <v>4.6781297217146625E-3</v>
      </c>
      <c r="M147" s="55">
        <v>5.58</v>
      </c>
      <c r="N147" s="55">
        <v>5.65</v>
      </c>
      <c r="O147" s="56">
        <v>11835</v>
      </c>
      <c r="P147" s="74">
        <v>-2.2884999999999999E-2</v>
      </c>
      <c r="Q147" s="74">
        <v>0.1084</v>
      </c>
      <c r="R147" s="80">
        <f>((K147-D147)/D147)</f>
        <v>-2.0320028623595995E-2</v>
      </c>
      <c r="S147" s="80">
        <f>((N147-G147)/G147)</f>
        <v>-2.0797227036395013E-2</v>
      </c>
      <c r="T147" s="80">
        <f>((O147-H147)/H147)</f>
        <v>0</v>
      </c>
      <c r="U147" s="80">
        <f>P147-I147</f>
        <v>-3.1812E-2</v>
      </c>
      <c r="V147" s="81">
        <f>Q147-J147</f>
        <v>-2.2900000000000004E-2</v>
      </c>
    </row>
    <row r="148" spans="1:22">
      <c r="A148" s="183">
        <v>125</v>
      </c>
      <c r="B148" s="167" t="s">
        <v>198</v>
      </c>
      <c r="C148" s="167" t="s">
        <v>199</v>
      </c>
      <c r="D148" s="55">
        <v>606588555.65182698</v>
      </c>
      <c r="E148" s="52">
        <f t="shared" si="60"/>
        <v>1.1391825751598578E-2</v>
      </c>
      <c r="F148" s="55">
        <v>1421.5083625984851</v>
      </c>
      <c r="G148" s="55">
        <v>1438.5990195813681</v>
      </c>
      <c r="H148" s="56">
        <v>177</v>
      </c>
      <c r="I148" s="74">
        <v>4.5112226800239637E-2</v>
      </c>
      <c r="J148" s="74">
        <v>0.27084507260610197</v>
      </c>
      <c r="K148" s="55">
        <v>609537458.43385935</v>
      </c>
      <c r="L148" s="77">
        <f t="shared" si="61"/>
        <v>1.1440722629173289E-2</v>
      </c>
      <c r="M148" s="55">
        <v>1427.4763248539857</v>
      </c>
      <c r="N148" s="55">
        <v>1444.8109599728696</v>
      </c>
      <c r="O148" s="56">
        <v>177</v>
      </c>
      <c r="P148" s="74">
        <v>4.2711042193299322E-3</v>
      </c>
      <c r="Q148" s="74">
        <v>0.27627298435782455</v>
      </c>
      <c r="R148" s="80">
        <f>((K148-D148)/D148)</f>
        <v>4.8614546953717969E-3</v>
      </c>
      <c r="S148" s="80">
        <f>((N148-G148)/G148)</f>
        <v>4.3180485367695651E-3</v>
      </c>
      <c r="T148" s="80">
        <f>((O148-H148)/H148)</f>
        <v>0</v>
      </c>
      <c r="U148" s="80">
        <f>P148-I148</f>
        <v>-4.0841122580909703E-2</v>
      </c>
      <c r="V148" s="81">
        <f>Q148-J148</f>
        <v>5.4279117517225806E-3</v>
      </c>
    </row>
    <row r="149" spans="1:22">
      <c r="A149" s="183">
        <v>126</v>
      </c>
      <c r="B149" s="167" t="s">
        <v>200</v>
      </c>
      <c r="C149" s="168" t="s">
        <v>23</v>
      </c>
      <c r="D149" s="55">
        <v>6677693609.8100004</v>
      </c>
      <c r="E149" s="52">
        <f t="shared" si="60"/>
        <v>0.12540810623071258</v>
      </c>
      <c r="F149" s="55">
        <v>783.15229999999997</v>
      </c>
      <c r="G149" s="55">
        <v>806.76490000000001</v>
      </c>
      <c r="H149" s="56">
        <v>21343</v>
      </c>
      <c r="I149" s="74">
        <v>-0.29820000000000002</v>
      </c>
      <c r="J149" s="74">
        <v>0.2039</v>
      </c>
      <c r="K149" s="55">
        <v>6683024480.4200001</v>
      </c>
      <c r="L149" s="77">
        <f t="shared" si="61"/>
        <v>0.12543712998527168</v>
      </c>
      <c r="M149" s="55">
        <v>783.81079999999997</v>
      </c>
      <c r="N149" s="55">
        <v>807.44320000000005</v>
      </c>
      <c r="O149" s="56">
        <v>21342</v>
      </c>
      <c r="P149" s="74">
        <v>4.3999999999999997E-2</v>
      </c>
      <c r="Q149" s="74">
        <v>0.20069999999999999</v>
      </c>
      <c r="R149" s="80">
        <f t="shared" ref="R149:R176" si="62">((K149-D149)/D149)</f>
        <v>7.9831015339910678E-4</v>
      </c>
      <c r="S149" s="80">
        <f t="shared" ref="S149:S176" si="63">((N149-G149)/G149)</f>
        <v>8.4076538282718504E-4</v>
      </c>
      <c r="T149" s="80">
        <f t="shared" ref="T149:T176" si="64">((O149-H149)/H149)</f>
        <v>-4.6853769385747082E-5</v>
      </c>
      <c r="U149" s="80">
        <f t="shared" ref="U149:U176" si="65">P149-I149</f>
        <v>0.3422</v>
      </c>
      <c r="V149" s="81">
        <f t="shared" ref="V149:V176" si="66">Q149-J149</f>
        <v>-3.2000000000000084E-3</v>
      </c>
    </row>
    <row r="150" spans="1:22">
      <c r="A150" s="183">
        <v>127</v>
      </c>
      <c r="B150" s="167" t="s">
        <v>201</v>
      </c>
      <c r="C150" s="168" t="s">
        <v>113</v>
      </c>
      <c r="D150" s="55">
        <v>3503533500.1999998</v>
      </c>
      <c r="E150" s="52">
        <f t="shared" si="60"/>
        <v>6.5796894414334062E-2</v>
      </c>
      <c r="F150" s="55">
        <v>20.758199999999999</v>
      </c>
      <c r="G150" s="55">
        <v>20.994399999999999</v>
      </c>
      <c r="H150" s="54">
        <v>6178</v>
      </c>
      <c r="I150" s="73">
        <v>0.1217</v>
      </c>
      <c r="J150" s="73">
        <v>0.12529999999999999</v>
      </c>
      <c r="K150" s="55">
        <v>3494993067.02</v>
      </c>
      <c r="L150" s="77">
        <f t="shared" si="61"/>
        <v>6.5599325713955686E-2</v>
      </c>
      <c r="M150" s="55">
        <v>20.565000000000001</v>
      </c>
      <c r="N150" s="55">
        <v>20.796900000000001</v>
      </c>
      <c r="O150" s="54">
        <v>6177</v>
      </c>
      <c r="P150" s="73">
        <v>3.5000000000000001E-3</v>
      </c>
      <c r="Q150" s="73">
        <v>0.12529999999999999</v>
      </c>
      <c r="R150" s="80">
        <f t="shared" si="62"/>
        <v>-2.43766277088896E-3</v>
      </c>
      <c r="S150" s="80">
        <f t="shared" si="63"/>
        <v>-9.4072705102312051E-3</v>
      </c>
      <c r="T150" s="80">
        <f t="shared" si="64"/>
        <v>-1.6186468112657819E-4</v>
      </c>
      <c r="U150" s="80">
        <f t="shared" si="65"/>
        <v>-0.1182</v>
      </c>
      <c r="V150" s="81">
        <f t="shared" si="66"/>
        <v>0</v>
      </c>
    </row>
    <row r="151" spans="1:22">
      <c r="A151" s="183">
        <v>128</v>
      </c>
      <c r="B151" s="167" t="s">
        <v>202</v>
      </c>
      <c r="C151" s="168" t="s">
        <v>122</v>
      </c>
      <c r="D151" s="51">
        <v>1854401629.9515109</v>
      </c>
      <c r="E151" s="52">
        <f t="shared" si="60"/>
        <v>3.4825945931649678E-2</v>
      </c>
      <c r="F151" s="55">
        <v>4.3615000000000004</v>
      </c>
      <c r="G151" s="55">
        <v>4.4630999999999998</v>
      </c>
      <c r="H151" s="54">
        <v>2746</v>
      </c>
      <c r="I151" s="73">
        <v>1.5387999999999999</v>
      </c>
      <c r="J151" s="73">
        <v>0.4894</v>
      </c>
      <c r="K151" s="51">
        <v>1851934023.48751</v>
      </c>
      <c r="L151" s="77">
        <f t="shared" si="61"/>
        <v>3.475990391909365E-2</v>
      </c>
      <c r="M151" s="55">
        <v>4.3559000000000001</v>
      </c>
      <c r="N151" s="55">
        <v>4.4569999999999999</v>
      </c>
      <c r="O151" s="54">
        <v>2746</v>
      </c>
      <c r="P151" s="73">
        <v>-7.1462180355102295E-2</v>
      </c>
      <c r="Q151" s="73">
        <v>0.47706134026497299</v>
      </c>
      <c r="R151" s="80">
        <f t="shared" si="62"/>
        <v>-1.3306753101082335E-3</v>
      </c>
      <c r="S151" s="80">
        <f t="shared" si="63"/>
        <v>-1.366763012256054E-3</v>
      </c>
      <c r="T151" s="80">
        <f t="shared" si="64"/>
        <v>0</v>
      </c>
      <c r="U151" s="80">
        <f t="shared" si="65"/>
        <v>-1.6102621803551023</v>
      </c>
      <c r="V151" s="81">
        <f t="shared" si="66"/>
        <v>-1.2338659735027013E-2</v>
      </c>
    </row>
    <row r="152" spans="1:22">
      <c r="A152" s="183">
        <v>129</v>
      </c>
      <c r="B152" s="167" t="s">
        <v>203</v>
      </c>
      <c r="C152" s="168" t="s">
        <v>65</v>
      </c>
      <c r="D152" s="55">
        <v>3300277307.68787</v>
      </c>
      <c r="E152" s="52">
        <f t="shared" si="60"/>
        <v>6.1979712064852678E-2</v>
      </c>
      <c r="F152" s="55">
        <v>7438.23014577302</v>
      </c>
      <c r="G152" s="55">
        <v>7499.6128518475498</v>
      </c>
      <c r="H152" s="54">
        <v>929</v>
      </c>
      <c r="I152" s="73">
        <v>-8.1073319301173549E-2</v>
      </c>
      <c r="J152" s="73">
        <v>0.31924365105704428</v>
      </c>
      <c r="K152" s="55">
        <v>3305560373.2393799</v>
      </c>
      <c r="L152" s="77">
        <f t="shared" si="61"/>
        <v>6.2043765876813442E-2</v>
      </c>
      <c r="M152" s="55">
        <v>7432.0857818166196</v>
      </c>
      <c r="N152" s="55">
        <v>7493.3416097025702</v>
      </c>
      <c r="O152" s="54">
        <v>931</v>
      </c>
      <c r="P152" s="73">
        <v>-4.3190712305985701E-2</v>
      </c>
      <c r="Q152" s="73">
        <v>0.31138953636387601</v>
      </c>
      <c r="R152" s="80">
        <f t="shared" si="62"/>
        <v>1.6007944360321351E-3</v>
      </c>
      <c r="S152" s="80">
        <f t="shared" si="63"/>
        <v>-8.3620878422206637E-4</v>
      </c>
      <c r="T152" s="80">
        <f t="shared" si="64"/>
        <v>2.1528525296017221E-3</v>
      </c>
      <c r="U152" s="80">
        <f t="shared" si="65"/>
        <v>3.7882606995187848E-2</v>
      </c>
      <c r="V152" s="81">
        <f t="shared" si="66"/>
        <v>-7.8541146931682682E-3</v>
      </c>
    </row>
    <row r="153" spans="1:22">
      <c r="A153" s="183">
        <v>130</v>
      </c>
      <c r="B153" s="167" t="s">
        <v>204</v>
      </c>
      <c r="C153" s="168" t="s">
        <v>67</v>
      </c>
      <c r="D153" s="55">
        <v>778975467.51999998</v>
      </c>
      <c r="E153" s="52">
        <f t="shared" si="60"/>
        <v>1.4629278294283213E-2</v>
      </c>
      <c r="F153" s="55">
        <v>194.77</v>
      </c>
      <c r="G153" s="55">
        <v>196.23</v>
      </c>
      <c r="H153" s="54">
        <v>677</v>
      </c>
      <c r="I153" s="73">
        <v>5.9999999999999995E-4</v>
      </c>
      <c r="J153" s="73">
        <v>0.24929999999999999</v>
      </c>
      <c r="K153" s="55">
        <v>821350618.87</v>
      </c>
      <c r="L153" s="77">
        <f t="shared" si="61"/>
        <v>1.5416352976789434E-2</v>
      </c>
      <c r="M153" s="55">
        <v>195.07</v>
      </c>
      <c r="N153" s="55">
        <v>196.68</v>
      </c>
      <c r="O153" s="54">
        <v>678</v>
      </c>
      <c r="P153" s="73">
        <v>1.9E-3</v>
      </c>
      <c r="Q153" s="73">
        <v>0.2515</v>
      </c>
      <c r="R153" s="80">
        <f t="shared" si="62"/>
        <v>5.4398569809789361E-2</v>
      </c>
      <c r="S153" s="80">
        <f t="shared" si="63"/>
        <v>2.2932273352699235E-3</v>
      </c>
      <c r="T153" s="80">
        <f t="shared" si="64"/>
        <v>1.4771048744460858E-3</v>
      </c>
      <c r="U153" s="80">
        <f t="shared" si="65"/>
        <v>1.2999999999999999E-3</v>
      </c>
      <c r="V153" s="81">
        <f t="shared" si="66"/>
        <v>2.2000000000000075E-3</v>
      </c>
    </row>
    <row r="154" spans="1:22">
      <c r="A154" s="183">
        <v>131</v>
      </c>
      <c r="B154" s="167" t="s">
        <v>205</v>
      </c>
      <c r="C154" s="168" t="s">
        <v>69</v>
      </c>
      <c r="D154" s="55">
        <v>3734808.11</v>
      </c>
      <c r="E154" s="52">
        <f t="shared" si="60"/>
        <v>7.0140266921221253E-5</v>
      </c>
      <c r="F154" s="55">
        <v>102.747</v>
      </c>
      <c r="G154" s="55">
        <v>102.99</v>
      </c>
      <c r="H154" s="54">
        <v>0</v>
      </c>
      <c r="I154" s="73">
        <v>0</v>
      </c>
      <c r="J154" s="73">
        <v>0</v>
      </c>
      <c r="K154" s="55">
        <v>3734808.11</v>
      </c>
      <c r="L154" s="77">
        <f t="shared" si="61"/>
        <v>7.0100537823359073E-5</v>
      </c>
      <c r="M154" s="55">
        <v>102.747</v>
      </c>
      <c r="N154" s="55">
        <v>102.99</v>
      </c>
      <c r="O154" s="54">
        <v>0</v>
      </c>
      <c r="P154" s="73">
        <v>0</v>
      </c>
      <c r="Q154" s="73">
        <v>0</v>
      </c>
      <c r="R154" s="80">
        <f t="shared" si="62"/>
        <v>0</v>
      </c>
      <c r="S154" s="80">
        <f t="shared" si="63"/>
        <v>0</v>
      </c>
      <c r="T154" s="80" t="e">
        <f t="shared" si="64"/>
        <v>#DIV/0!</v>
      </c>
      <c r="U154" s="80">
        <f t="shared" si="65"/>
        <v>0</v>
      </c>
      <c r="V154" s="81">
        <f t="shared" si="66"/>
        <v>0</v>
      </c>
    </row>
    <row r="155" spans="1:22">
      <c r="A155" s="183">
        <v>132</v>
      </c>
      <c r="B155" s="167" t="s">
        <v>206</v>
      </c>
      <c r="C155" s="168" t="s">
        <v>127</v>
      </c>
      <c r="D155" s="55">
        <v>200196322.13</v>
      </c>
      <c r="E155" s="52">
        <f t="shared" si="60"/>
        <v>3.759717516208615E-3</v>
      </c>
      <c r="F155" s="55">
        <v>1.5745</v>
      </c>
      <c r="G155" s="55">
        <v>1.5889</v>
      </c>
      <c r="H155" s="54">
        <v>351</v>
      </c>
      <c r="I155" s="73">
        <v>7.5551608716442509E-2</v>
      </c>
      <c r="J155" s="73">
        <v>6.7422638158344261E-2</v>
      </c>
      <c r="K155" s="55">
        <v>200568393.91999999</v>
      </c>
      <c r="L155" s="77">
        <f t="shared" si="61"/>
        <v>3.7645715308675769E-3</v>
      </c>
      <c r="M155" s="55">
        <v>1.5814999999999999</v>
      </c>
      <c r="N155" s="55">
        <v>1.5740000000000001</v>
      </c>
      <c r="O155" s="54">
        <v>353</v>
      </c>
      <c r="P155" s="73">
        <v>4.4458558272466586E-3</v>
      </c>
      <c r="Q155" s="73">
        <v>8.0333356103558851E-2</v>
      </c>
      <c r="R155" s="80">
        <f t="shared" si="62"/>
        <v>1.8585345926504192E-3</v>
      </c>
      <c r="S155" s="80">
        <f t="shared" si="63"/>
        <v>-9.3775568003020421E-3</v>
      </c>
      <c r="T155" s="80">
        <f t="shared" si="64"/>
        <v>5.6980056980056983E-3</v>
      </c>
      <c r="U155" s="80">
        <f t="shared" si="65"/>
        <v>-7.110575288919585E-2</v>
      </c>
      <c r="V155" s="81">
        <f t="shared" si="66"/>
        <v>1.2910717945214589E-2</v>
      </c>
    </row>
    <row r="156" spans="1:22">
      <c r="A156" s="183">
        <v>133</v>
      </c>
      <c r="B156" s="167" t="s">
        <v>207</v>
      </c>
      <c r="C156" s="168" t="s">
        <v>29</v>
      </c>
      <c r="D156" s="67">
        <v>130965119.8</v>
      </c>
      <c r="E156" s="52">
        <f t="shared" si="60"/>
        <v>2.4595449590960961E-3</v>
      </c>
      <c r="F156" s="55">
        <v>154.58179999999999</v>
      </c>
      <c r="G156" s="55">
        <v>155.18049999999999</v>
      </c>
      <c r="H156" s="54">
        <v>123</v>
      </c>
      <c r="I156" s="73">
        <v>6.5700000000000003E-4</v>
      </c>
      <c r="J156" s="73">
        <v>0.13350000000000001</v>
      </c>
      <c r="K156" s="67">
        <v>131253037.93000001</v>
      </c>
      <c r="L156" s="77">
        <f t="shared" si="61"/>
        <v>2.4635558986838414E-3</v>
      </c>
      <c r="M156" s="55">
        <v>154.9511</v>
      </c>
      <c r="N156" s="55">
        <v>155.55160000000001</v>
      </c>
      <c r="O156" s="54">
        <v>123</v>
      </c>
      <c r="P156" s="73">
        <v>1.9599999999999999E-4</v>
      </c>
      <c r="Q156" s="73">
        <v>0.13350000000000001</v>
      </c>
      <c r="R156" s="80">
        <f t="shared" si="62"/>
        <v>2.1984336779113161E-3</v>
      </c>
      <c r="S156" s="80">
        <f t="shared" si="63"/>
        <v>2.3914087143681886E-3</v>
      </c>
      <c r="T156" s="80">
        <f t="shared" si="64"/>
        <v>0</v>
      </c>
      <c r="U156" s="80">
        <f t="shared" si="65"/>
        <v>-4.6100000000000004E-4</v>
      </c>
      <c r="V156" s="81">
        <f t="shared" si="66"/>
        <v>0</v>
      </c>
    </row>
    <row r="157" spans="1:22">
      <c r="A157" s="183">
        <v>134</v>
      </c>
      <c r="B157" s="167" t="s">
        <v>208</v>
      </c>
      <c r="C157" s="168" t="s">
        <v>73</v>
      </c>
      <c r="D157" s="67">
        <v>225125271.69999999</v>
      </c>
      <c r="E157" s="52">
        <f t="shared" si="60"/>
        <v>4.227886997854478E-3</v>
      </c>
      <c r="F157" s="55">
        <v>120.74</v>
      </c>
      <c r="G157" s="55">
        <v>121.77</v>
      </c>
      <c r="H157" s="54">
        <v>39</v>
      </c>
      <c r="I157" s="73">
        <v>3.0000000000000001E-3</v>
      </c>
      <c r="J157" s="73">
        <v>0.2064</v>
      </c>
      <c r="K157" s="67">
        <v>224850578.56999999</v>
      </c>
      <c r="L157" s="77">
        <f t="shared" si="61"/>
        <v>4.2203363662639305E-3</v>
      </c>
      <c r="M157" s="55">
        <v>120.51</v>
      </c>
      <c r="N157" s="55">
        <v>121.62</v>
      </c>
      <c r="O157" s="54">
        <v>38</v>
      </c>
      <c r="P157" s="73">
        <v>-1.8E-3</v>
      </c>
      <c r="Q157" s="73">
        <v>0.2046</v>
      </c>
      <c r="R157" s="80">
        <f t="shared" si="62"/>
        <v>-1.2201790048966556E-3</v>
      </c>
      <c r="S157" s="80">
        <f t="shared" si="63"/>
        <v>-1.231830500123113E-3</v>
      </c>
      <c r="T157" s="80">
        <f t="shared" si="64"/>
        <v>-2.564102564102564E-2</v>
      </c>
      <c r="U157" s="80">
        <f t="shared" si="65"/>
        <v>-4.8000000000000004E-3</v>
      </c>
      <c r="V157" s="81">
        <f t="shared" si="66"/>
        <v>-1.799999999999996E-3</v>
      </c>
    </row>
    <row r="158" spans="1:22" ht="15.75" customHeight="1">
      <c r="A158" s="183">
        <v>135</v>
      </c>
      <c r="B158" s="167" t="s">
        <v>209</v>
      </c>
      <c r="C158" s="168" t="s">
        <v>76</v>
      </c>
      <c r="D158" s="51">
        <v>307924408.66000003</v>
      </c>
      <c r="E158" s="52">
        <f t="shared" si="60"/>
        <v>5.7828674402690032E-3</v>
      </c>
      <c r="F158" s="55">
        <v>1.2282999999999999</v>
      </c>
      <c r="G158" s="55">
        <v>1.2396</v>
      </c>
      <c r="H158" s="54">
        <v>102</v>
      </c>
      <c r="I158" s="73">
        <v>4.2509999999999996E-3</v>
      </c>
      <c r="J158" s="73">
        <v>4.6899999999999997E-2</v>
      </c>
      <c r="K158" s="51">
        <v>307854919.41000003</v>
      </c>
      <c r="L158" s="77">
        <f t="shared" si="61"/>
        <v>5.7782876085186253E-3</v>
      </c>
      <c r="M158" s="55">
        <v>1.2276</v>
      </c>
      <c r="N158" s="55">
        <v>1.2276</v>
      </c>
      <c r="O158" s="54">
        <v>102</v>
      </c>
      <c r="P158" s="73">
        <v>-1.1000000000000001E-3</v>
      </c>
      <c r="Q158" s="73">
        <v>4.53E-2</v>
      </c>
      <c r="R158" s="80">
        <f t="shared" si="62"/>
        <v>-2.2566983339319404E-4</v>
      </c>
      <c r="S158" s="80">
        <f t="shared" si="63"/>
        <v>-9.6805421103581882E-3</v>
      </c>
      <c r="T158" s="80">
        <f t="shared" si="64"/>
        <v>0</v>
      </c>
      <c r="U158" s="80">
        <f t="shared" si="65"/>
        <v>-5.3509999999999999E-3</v>
      </c>
      <c r="V158" s="81">
        <f t="shared" si="66"/>
        <v>-1.5999999999999973E-3</v>
      </c>
    </row>
    <row r="159" spans="1:22">
      <c r="A159" s="183">
        <v>136</v>
      </c>
      <c r="B159" s="167" t="s">
        <v>210</v>
      </c>
      <c r="C159" s="168" t="s">
        <v>31</v>
      </c>
      <c r="D159" s="55">
        <v>9187874870.7000008</v>
      </c>
      <c r="E159" s="52">
        <f t="shared" si="60"/>
        <v>0.17254969382340749</v>
      </c>
      <c r="F159" s="55">
        <v>307.36</v>
      </c>
      <c r="G159" s="55">
        <v>309.45999999999998</v>
      </c>
      <c r="H159" s="54">
        <v>5462</v>
      </c>
      <c r="I159" s="73">
        <v>6.8999999999999999E-3</v>
      </c>
      <c r="J159" s="73">
        <v>0.25940000000000002</v>
      </c>
      <c r="K159" s="55">
        <v>9199462836.2800007</v>
      </c>
      <c r="L159" s="77">
        <f t="shared" si="61"/>
        <v>0.17266945811286469</v>
      </c>
      <c r="M159" s="55">
        <v>307.69</v>
      </c>
      <c r="N159" s="55">
        <v>309.89</v>
      </c>
      <c r="O159" s="54">
        <v>5460</v>
      </c>
      <c r="P159" s="73">
        <v>1.1999999999999999E-3</v>
      </c>
      <c r="Q159" s="73">
        <v>0.2606</v>
      </c>
      <c r="R159" s="80">
        <f t="shared" si="62"/>
        <v>1.2612237044013058E-3</v>
      </c>
      <c r="S159" s="80">
        <f t="shared" si="63"/>
        <v>1.3895172235507233E-3</v>
      </c>
      <c r="T159" s="80">
        <f t="shared" si="64"/>
        <v>-3.6616623947272064E-4</v>
      </c>
      <c r="U159" s="80">
        <f t="shared" si="65"/>
        <v>-5.7000000000000002E-3</v>
      </c>
      <c r="V159" s="81">
        <f t="shared" si="66"/>
        <v>1.1999999999999789E-3</v>
      </c>
    </row>
    <row r="160" spans="1:22">
      <c r="A160" s="183">
        <v>137</v>
      </c>
      <c r="B160" s="167" t="s">
        <v>211</v>
      </c>
      <c r="C160" s="168" t="s">
        <v>81</v>
      </c>
      <c r="D160" s="55">
        <v>3197212004.6199999</v>
      </c>
      <c r="E160" s="52">
        <f t="shared" si="60"/>
        <v>6.0044129926605426E-2</v>
      </c>
      <c r="F160" s="55">
        <v>2.2421000000000002</v>
      </c>
      <c r="G160" s="55">
        <v>2.2812000000000001</v>
      </c>
      <c r="H160" s="54">
        <v>10307</v>
      </c>
      <c r="I160" s="73">
        <v>2.3E-3</v>
      </c>
      <c r="J160" s="73">
        <v>0.28570000000000001</v>
      </c>
      <c r="K160" s="55">
        <v>3204580911.2600002</v>
      </c>
      <c r="L160" s="77">
        <f t="shared" si="61"/>
        <v>6.0148430323986882E-2</v>
      </c>
      <c r="M160" s="55">
        <v>2.2473999999999998</v>
      </c>
      <c r="N160" s="55">
        <v>2.2864</v>
      </c>
      <c r="O160" s="54">
        <v>10307</v>
      </c>
      <c r="P160" s="73">
        <v>2.3E-3</v>
      </c>
      <c r="Q160" s="73">
        <v>0.28860000000000002</v>
      </c>
      <c r="R160" s="80">
        <f t="shared" si="62"/>
        <v>2.3047913711546834E-3</v>
      </c>
      <c r="S160" s="80">
        <f t="shared" si="63"/>
        <v>2.2795020164824964E-3</v>
      </c>
      <c r="T160" s="80">
        <f t="shared" si="64"/>
        <v>0</v>
      </c>
      <c r="U160" s="80">
        <f t="shared" si="65"/>
        <v>0</v>
      </c>
      <c r="V160" s="81">
        <f t="shared" si="66"/>
        <v>2.9000000000000137E-3</v>
      </c>
    </row>
    <row r="161" spans="1:22">
      <c r="A161" s="183">
        <v>138</v>
      </c>
      <c r="B161" s="167" t="s">
        <v>212</v>
      </c>
      <c r="C161" s="168" t="s">
        <v>83</v>
      </c>
      <c r="D161" s="55">
        <v>246458703.07324222</v>
      </c>
      <c r="E161" s="52">
        <f t="shared" si="60"/>
        <v>4.6285320984309477E-3</v>
      </c>
      <c r="F161" s="55">
        <v>320.67799626442161</v>
      </c>
      <c r="G161" s="55">
        <v>322.8903238963731</v>
      </c>
      <c r="H161" s="54">
        <v>39</v>
      </c>
      <c r="I161" s="73">
        <v>1.2426510066867458E-3</v>
      </c>
      <c r="J161" s="73">
        <v>0.31307016732626969</v>
      </c>
      <c r="K161" s="55">
        <v>247537502.123752</v>
      </c>
      <c r="L161" s="77">
        <f t="shared" si="61"/>
        <v>4.646158924166496E-3</v>
      </c>
      <c r="M161" s="55">
        <v>322.081668009731</v>
      </c>
      <c r="N161" s="55">
        <v>324.45347595438699</v>
      </c>
      <c r="O161" s="54">
        <v>40</v>
      </c>
      <c r="P161" s="73">
        <v>4.4000000000000003E-3</v>
      </c>
      <c r="Q161" s="73">
        <v>0.3463</v>
      </c>
      <c r="R161" s="80">
        <f t="shared" si="62"/>
        <v>4.377200062556463E-3</v>
      </c>
      <c r="S161" s="80">
        <f t="shared" si="63"/>
        <v>4.8411238811713496E-3</v>
      </c>
      <c r="T161" s="80">
        <f t="shared" si="64"/>
        <v>2.564102564102564E-2</v>
      </c>
      <c r="U161" s="80">
        <f t="shared" si="65"/>
        <v>3.1573489933132545E-3</v>
      </c>
      <c r="V161" s="81">
        <f t="shared" si="66"/>
        <v>3.3229832673730308E-2</v>
      </c>
    </row>
    <row r="162" spans="1:22">
      <c r="A162" s="183">
        <v>139</v>
      </c>
      <c r="B162" s="167" t="s">
        <v>213</v>
      </c>
      <c r="C162" s="167" t="s">
        <v>85</v>
      </c>
      <c r="D162" s="55">
        <v>58035500.460000001</v>
      </c>
      <c r="E162" s="52">
        <f t="shared" si="60"/>
        <v>1.0899155654802994E-3</v>
      </c>
      <c r="F162" s="55">
        <v>1.1299999999999999</v>
      </c>
      <c r="G162" s="55">
        <v>1.1419999999999999</v>
      </c>
      <c r="H162" s="54">
        <v>28</v>
      </c>
      <c r="I162" s="73">
        <v>5.3E-3</v>
      </c>
      <c r="J162" s="73">
        <v>0.16070000000000001</v>
      </c>
      <c r="K162" s="55">
        <v>58463439.32</v>
      </c>
      <c r="L162" s="77">
        <f t="shared" si="61"/>
        <v>1.0973304166181962E-3</v>
      </c>
      <c r="M162" s="55">
        <v>1.1379999999999999</v>
      </c>
      <c r="N162" s="55">
        <v>1.1499999999999999</v>
      </c>
      <c r="O162" s="54">
        <v>28</v>
      </c>
      <c r="P162" s="73">
        <v>0.71</v>
      </c>
      <c r="Q162" s="73">
        <v>0.16930000000000001</v>
      </c>
      <c r="R162" s="80">
        <f t="shared" ref="R162" si="67">((K162-D162)/D162)</f>
        <v>7.3737429092206952E-3</v>
      </c>
      <c r="S162" s="80">
        <f t="shared" ref="S162" si="68">((N162-G162)/G162)</f>
        <v>7.0052539404553485E-3</v>
      </c>
      <c r="T162" s="80">
        <f t="shared" ref="T162" si="69">((O162-H162)/H162)</f>
        <v>0</v>
      </c>
      <c r="U162" s="80">
        <f t="shared" ref="U162" si="70">P162-I162</f>
        <v>0.70469999999999999</v>
      </c>
      <c r="V162" s="81">
        <f t="shared" ref="V162:V164" si="71">Q162-J162</f>
        <v>8.5999999999999965E-3</v>
      </c>
    </row>
    <row r="163" spans="1:22" ht="13.5" customHeight="1">
      <c r="A163" s="183">
        <v>140</v>
      </c>
      <c r="B163" s="167" t="s">
        <v>214</v>
      </c>
      <c r="C163" s="168" t="s">
        <v>37</v>
      </c>
      <c r="D163" s="51">
        <v>2884289987.4899998</v>
      </c>
      <c r="E163" s="52">
        <f t="shared" si="60"/>
        <v>5.4167406635719895E-2</v>
      </c>
      <c r="F163" s="55">
        <v>4.0739400000000003</v>
      </c>
      <c r="G163" s="55">
        <v>4.2144870000000001</v>
      </c>
      <c r="H163" s="54">
        <v>2352</v>
      </c>
      <c r="I163" s="73">
        <v>6.7804225030847487E-3</v>
      </c>
      <c r="J163" s="73">
        <v>0.12004508838973971</v>
      </c>
      <c r="K163" s="51">
        <v>2873765262.3299999</v>
      </c>
      <c r="L163" s="77">
        <f t="shared" si="61"/>
        <v>5.3939180952303219E-2</v>
      </c>
      <c r="M163" s="55">
        <v>4.0584340000000001</v>
      </c>
      <c r="N163" s="55">
        <v>4.2010759999999996</v>
      </c>
      <c r="O163" s="54">
        <v>2356</v>
      </c>
      <c r="P163" s="73">
        <v>-3.8061434385386899E-3</v>
      </c>
      <c r="Q163" s="73">
        <v>0.115782036125698</v>
      </c>
      <c r="R163" s="80">
        <f t="shared" si="62"/>
        <v>-3.6489830099083746E-3</v>
      </c>
      <c r="S163" s="80">
        <f t="shared" si="63"/>
        <v>-3.1821191997983399E-3</v>
      </c>
      <c r="T163" s="80">
        <f t="shared" si="64"/>
        <v>1.7006802721088435E-3</v>
      </c>
      <c r="U163" s="80">
        <f t="shared" si="65"/>
        <v>-1.0586565941623438E-2</v>
      </c>
      <c r="V163" s="81">
        <f t="shared" si="71"/>
        <v>-4.2630522640417085E-3</v>
      </c>
    </row>
    <row r="164" spans="1:22" ht="13.5" customHeight="1">
      <c r="A164" s="183">
        <v>141</v>
      </c>
      <c r="B164" s="167" t="s">
        <v>215</v>
      </c>
      <c r="C164" s="168" t="s">
        <v>216</v>
      </c>
      <c r="D164" s="51">
        <v>64450562.350000001</v>
      </c>
      <c r="E164" s="52">
        <f t="shared" si="60"/>
        <v>1.2103914078873017E-3</v>
      </c>
      <c r="F164" s="55">
        <v>2.0777999999999999</v>
      </c>
      <c r="G164" s="55">
        <v>2.0874999999999999</v>
      </c>
      <c r="H164" s="54">
        <v>66</v>
      </c>
      <c r="I164" s="73">
        <v>8.0000000000000004E-4</v>
      </c>
      <c r="J164" s="73">
        <v>4.2700000000000002E-2</v>
      </c>
      <c r="K164" s="51">
        <v>64597462.869999997</v>
      </c>
      <c r="L164" s="77">
        <f t="shared" si="61"/>
        <v>1.2124630652607929E-3</v>
      </c>
      <c r="M164" s="55">
        <v>2.0775999999999999</v>
      </c>
      <c r="N164" s="55">
        <v>2.0872000000000002</v>
      </c>
      <c r="O164" s="54">
        <v>66</v>
      </c>
      <c r="P164" s="73">
        <v>-1E-4</v>
      </c>
      <c r="Q164" s="73">
        <v>4.1799999999999997E-2</v>
      </c>
      <c r="R164" s="80">
        <f t="shared" ref="R164" si="72">((K164-D164)/D164)</f>
        <v>2.2792744491855598E-3</v>
      </c>
      <c r="S164" s="80">
        <f t="shared" ref="S164" si="73">((N164-G164)/G164)</f>
        <v>-1.4371257485017722E-4</v>
      </c>
      <c r="T164" s="80">
        <f t="shared" ref="T164" si="74">((O164-H164)/H164)</f>
        <v>0</v>
      </c>
      <c r="U164" s="80">
        <f t="shared" ref="U164" si="75">P164-I164</f>
        <v>-9.0000000000000008E-4</v>
      </c>
      <c r="V164" s="81">
        <f t="shared" si="71"/>
        <v>-9.0000000000000496E-4</v>
      </c>
    </row>
    <row r="165" spans="1:22">
      <c r="A165" s="183">
        <v>142</v>
      </c>
      <c r="B165" s="167" t="s">
        <v>217</v>
      </c>
      <c r="C165" s="168" t="s">
        <v>136</v>
      </c>
      <c r="D165" s="51">
        <v>360442145.86000001</v>
      </c>
      <c r="E165" s="52">
        <f t="shared" si="60"/>
        <v>6.7691585687057326E-3</v>
      </c>
      <c r="F165" s="55">
        <v>217.18</v>
      </c>
      <c r="G165" s="55">
        <v>220.35</v>
      </c>
      <c r="H165" s="54">
        <v>141</v>
      </c>
      <c r="I165" s="73">
        <v>3.3E-3</v>
      </c>
      <c r="J165" s="73">
        <v>0.1845</v>
      </c>
      <c r="K165" s="51">
        <v>360442145.86000001</v>
      </c>
      <c r="L165" s="77">
        <f t="shared" si="61"/>
        <v>6.7653243579873347E-3</v>
      </c>
      <c r="M165" s="55">
        <v>216.58</v>
      </c>
      <c r="N165" s="55">
        <v>219.69</v>
      </c>
      <c r="O165" s="54">
        <v>141</v>
      </c>
      <c r="P165" s="73">
        <v>5.9999999999999995E-4</v>
      </c>
      <c r="Q165" s="73">
        <v>0.2102</v>
      </c>
      <c r="R165" s="80">
        <f t="shared" si="62"/>
        <v>0</v>
      </c>
      <c r="S165" s="80">
        <f t="shared" si="63"/>
        <v>-2.9952348536419178E-3</v>
      </c>
      <c r="T165" s="80">
        <f t="shared" si="64"/>
        <v>0</v>
      </c>
      <c r="U165" s="80">
        <f t="shared" si="65"/>
        <v>-2.7000000000000001E-3</v>
      </c>
      <c r="V165" s="81">
        <f t="shared" si="66"/>
        <v>2.5700000000000001E-2</v>
      </c>
    </row>
    <row r="166" spans="1:22">
      <c r="A166" s="183">
        <v>143</v>
      </c>
      <c r="B166" s="167" t="s">
        <v>218</v>
      </c>
      <c r="C166" s="168" t="s">
        <v>33</v>
      </c>
      <c r="D166" s="51">
        <v>2156264136.5500002</v>
      </c>
      <c r="E166" s="52">
        <f t="shared" si="60"/>
        <v>4.0494969925047551E-2</v>
      </c>
      <c r="F166" s="55">
        <v>552.22</v>
      </c>
      <c r="G166" s="55">
        <v>552.22</v>
      </c>
      <c r="H166" s="54">
        <v>823</v>
      </c>
      <c r="I166" s="73">
        <v>-2.64E-3</v>
      </c>
      <c r="J166" s="73">
        <v>0.37930000000000003</v>
      </c>
      <c r="K166" s="51">
        <v>2149292270.2600002</v>
      </c>
      <c r="L166" s="77">
        <f t="shared" si="61"/>
        <v>4.0341174070336494E-2</v>
      </c>
      <c r="M166" s="55">
        <v>552.22</v>
      </c>
      <c r="N166" s="55">
        <v>552.22</v>
      </c>
      <c r="O166" s="54">
        <v>823</v>
      </c>
      <c r="P166" s="73">
        <v>-1.7000000000000001E-2</v>
      </c>
      <c r="Q166" s="73">
        <v>0.37480000000000002</v>
      </c>
      <c r="R166" s="80">
        <f t="shared" si="62"/>
        <v>-3.2333080960827341E-3</v>
      </c>
      <c r="S166" s="80">
        <f t="shared" si="63"/>
        <v>0</v>
      </c>
      <c r="T166" s="80">
        <f t="shared" si="64"/>
        <v>0</v>
      </c>
      <c r="U166" s="80">
        <f t="shared" si="65"/>
        <v>-1.4360000000000001E-2</v>
      </c>
      <c r="V166" s="81">
        <f t="shared" si="66"/>
        <v>-4.500000000000004E-3</v>
      </c>
    </row>
    <row r="167" spans="1:22">
      <c r="A167" s="183">
        <v>144</v>
      </c>
      <c r="B167" s="167" t="s">
        <v>219</v>
      </c>
      <c r="C167" s="168" t="s">
        <v>92</v>
      </c>
      <c r="D167" s="55">
        <v>29370970.57</v>
      </c>
      <c r="E167" s="52">
        <f t="shared" si="60"/>
        <v>5.5159131469143506E-4</v>
      </c>
      <c r="F167" s="55">
        <v>1.81</v>
      </c>
      <c r="G167" s="55">
        <v>1.81</v>
      </c>
      <c r="H167" s="54">
        <v>8</v>
      </c>
      <c r="I167" s="73">
        <v>1.6473999999999999E-2</v>
      </c>
      <c r="J167" s="73">
        <v>0.11336400000000001</v>
      </c>
      <c r="K167" s="55">
        <v>29450459.289999999</v>
      </c>
      <c r="L167" s="77">
        <f t="shared" si="61"/>
        <v>5.5277084513290871E-4</v>
      </c>
      <c r="M167" s="55">
        <v>1.81</v>
      </c>
      <c r="N167" s="55">
        <v>1.81</v>
      </c>
      <c r="O167" s="54">
        <v>8</v>
      </c>
      <c r="P167" s="73">
        <v>-6.9499999999999998E-4</v>
      </c>
      <c r="Q167" s="73">
        <v>0.112591</v>
      </c>
      <c r="R167" s="80">
        <f t="shared" si="62"/>
        <v>2.7063702171691226E-3</v>
      </c>
      <c r="S167" s="80">
        <f t="shared" si="63"/>
        <v>0</v>
      </c>
      <c r="T167" s="80">
        <f t="shared" si="64"/>
        <v>0</v>
      </c>
      <c r="U167" s="80">
        <f t="shared" si="65"/>
        <v>-1.7169E-2</v>
      </c>
      <c r="V167" s="81">
        <f t="shared" si="66"/>
        <v>-7.7300000000000979E-4</v>
      </c>
    </row>
    <row r="168" spans="1:22">
      <c r="A168" s="183">
        <v>145</v>
      </c>
      <c r="B168" s="167" t="s">
        <v>220</v>
      </c>
      <c r="C168" s="168" t="s">
        <v>45</v>
      </c>
      <c r="D168" s="55">
        <v>209733745.11000001</v>
      </c>
      <c r="E168" s="52">
        <f t="shared" si="60"/>
        <v>3.9388317769297075E-3</v>
      </c>
      <c r="F168" s="55">
        <v>2.1132230000000001</v>
      </c>
      <c r="G168" s="55">
        <v>2.1597759999999999</v>
      </c>
      <c r="H168" s="54">
        <v>119</v>
      </c>
      <c r="I168" s="73">
        <v>4.0000000000000001E-3</v>
      </c>
      <c r="J168" s="73">
        <v>-8.8499999999999995E-2</v>
      </c>
      <c r="K168" s="55">
        <v>210474268.96000001</v>
      </c>
      <c r="L168" s="77">
        <f t="shared" si="61"/>
        <v>3.9505000036198197E-3</v>
      </c>
      <c r="M168" s="55">
        <v>2.1204960000000002</v>
      </c>
      <c r="N168" s="55">
        <v>2.1678449999999998</v>
      </c>
      <c r="O168" s="54">
        <v>119</v>
      </c>
      <c r="P168" s="73">
        <v>9.2999999999999992E-3</v>
      </c>
      <c r="Q168" s="73">
        <v>-8.5300000000000001E-2</v>
      </c>
      <c r="R168" s="80">
        <f t="shared" si="62"/>
        <v>3.5307806553094645E-3</v>
      </c>
      <c r="S168" s="80">
        <f t="shared" si="63"/>
        <v>3.7360355888758287E-3</v>
      </c>
      <c r="T168" s="80">
        <f t="shared" si="64"/>
        <v>0</v>
      </c>
      <c r="U168" s="80">
        <f t="shared" si="65"/>
        <v>5.2999999999999992E-3</v>
      </c>
      <c r="V168" s="81">
        <f t="shared" si="66"/>
        <v>3.1999999999999945E-3</v>
      </c>
    </row>
    <row r="169" spans="1:22">
      <c r="A169" s="183">
        <v>146</v>
      </c>
      <c r="B169" s="167" t="s">
        <v>221</v>
      </c>
      <c r="C169" s="168" t="s">
        <v>49</v>
      </c>
      <c r="D169" s="51">
        <v>2704495091.2800002</v>
      </c>
      <c r="E169" s="52">
        <f t="shared" si="60"/>
        <v>5.0790831015281222E-2</v>
      </c>
      <c r="F169" s="55">
        <v>6200.19</v>
      </c>
      <c r="G169" s="55">
        <v>6264.26</v>
      </c>
      <c r="H169" s="54">
        <v>2247</v>
      </c>
      <c r="I169" s="73">
        <v>3.7000000000000002E-3</v>
      </c>
      <c r="J169" s="73">
        <v>0.24759999999999999</v>
      </c>
      <c r="K169" s="51">
        <v>2705783381.1700001</v>
      </c>
      <c r="L169" s="52">
        <f t="shared" si="61"/>
        <v>5.0786242470037907E-2</v>
      </c>
      <c r="M169" s="55">
        <v>6190.61</v>
      </c>
      <c r="N169" s="55">
        <v>6254.25</v>
      </c>
      <c r="O169" s="54">
        <v>2243</v>
      </c>
      <c r="P169" s="73">
        <v>-1.6000000000000001E-3</v>
      </c>
      <c r="Q169" s="73">
        <v>0.24560000000000001</v>
      </c>
      <c r="R169" s="80">
        <f t="shared" si="62"/>
        <v>4.7635135081355856E-4</v>
      </c>
      <c r="S169" s="80">
        <f t="shared" si="63"/>
        <v>-1.5979541079074334E-3</v>
      </c>
      <c r="T169" s="80">
        <f t="shared" si="64"/>
        <v>-1.7801513128615932E-3</v>
      </c>
      <c r="U169" s="80">
        <f t="shared" si="65"/>
        <v>-5.3E-3</v>
      </c>
      <c r="V169" s="81">
        <f t="shared" si="66"/>
        <v>-1.999999999999974E-3</v>
      </c>
    </row>
    <row r="170" spans="1:22">
      <c r="A170" s="183">
        <v>147</v>
      </c>
      <c r="B170" s="167" t="s">
        <v>222</v>
      </c>
      <c r="C170" s="167" t="s">
        <v>102</v>
      </c>
      <c r="D170" s="51">
        <v>82188011.670000002</v>
      </c>
      <c r="E170" s="52">
        <f t="shared" si="60"/>
        <v>1.5435034160987315E-3</v>
      </c>
      <c r="F170" s="55">
        <v>1055.67</v>
      </c>
      <c r="G170" s="55">
        <v>1071.94</v>
      </c>
      <c r="H170" s="54">
        <v>8</v>
      </c>
      <c r="I170" s="73">
        <v>1E-4</v>
      </c>
      <c r="J170" s="73">
        <v>6.6600000000000006E-2</v>
      </c>
      <c r="K170" s="51">
        <v>82462793.609999999</v>
      </c>
      <c r="L170" s="52">
        <f t="shared" si="61"/>
        <v>1.5477866632558153E-3</v>
      </c>
      <c r="M170" s="55">
        <v>1063.22</v>
      </c>
      <c r="N170" s="55">
        <v>1079.67</v>
      </c>
      <c r="O170" s="54">
        <v>8</v>
      </c>
      <c r="P170" s="73">
        <v>6.9009635787462553E-3</v>
      </c>
      <c r="Q170" s="73">
        <v>7.46E-2</v>
      </c>
      <c r="R170" s="80">
        <f t="shared" si="62"/>
        <v>3.3433335886418288E-3</v>
      </c>
      <c r="S170" s="80">
        <f t="shared" si="63"/>
        <v>7.2112245088344663E-3</v>
      </c>
      <c r="T170" s="80">
        <f t="shared" si="64"/>
        <v>0</v>
      </c>
      <c r="U170" s="80">
        <f t="shared" si="65"/>
        <v>6.8009635787462551E-3</v>
      </c>
      <c r="V170" s="81">
        <f t="shared" si="66"/>
        <v>7.9999999999999932E-3</v>
      </c>
    </row>
    <row r="171" spans="1:22">
      <c r="A171" s="183">
        <v>148</v>
      </c>
      <c r="B171" s="167" t="s">
        <v>223</v>
      </c>
      <c r="C171" s="167" t="s">
        <v>85</v>
      </c>
      <c r="D171" s="51">
        <v>693722949.47000003</v>
      </c>
      <c r="E171" s="52">
        <f t="shared" si="60"/>
        <v>1.3028222980163413E-2</v>
      </c>
      <c r="F171" s="55">
        <v>1.3240000000000001</v>
      </c>
      <c r="G171" s="55">
        <v>1.3240000000000001</v>
      </c>
      <c r="H171" s="54">
        <v>43</v>
      </c>
      <c r="I171" s="73">
        <v>3.0000000000000001E-3</v>
      </c>
      <c r="J171" s="73">
        <v>0.24399999999999999</v>
      </c>
      <c r="K171" s="51">
        <v>695716286.70000005</v>
      </c>
      <c r="L171" s="52">
        <f t="shared" si="61"/>
        <v>1.3058257461623719E-2</v>
      </c>
      <c r="M171" s="55">
        <v>1.3280000000000001</v>
      </c>
      <c r="N171" s="55">
        <v>1.3280000000000001</v>
      </c>
      <c r="O171" s="54">
        <v>43</v>
      </c>
      <c r="P171" s="73">
        <v>3.0000000000000001E-3</v>
      </c>
      <c r="Q171" s="73">
        <v>0.247</v>
      </c>
      <c r="R171" s="80">
        <f t="shared" si="62"/>
        <v>2.873390928645097E-3</v>
      </c>
      <c r="S171" s="80">
        <f t="shared" si="63"/>
        <v>3.021148036253779E-3</v>
      </c>
      <c r="T171" s="80">
        <f t="shared" si="64"/>
        <v>0</v>
      </c>
      <c r="U171" s="80">
        <f t="shared" si="65"/>
        <v>0</v>
      </c>
      <c r="V171" s="81">
        <f t="shared" si="66"/>
        <v>3.0000000000000027E-3</v>
      </c>
    </row>
    <row r="172" spans="1:22">
      <c r="A172" s="183">
        <v>149</v>
      </c>
      <c r="B172" s="167" t="s">
        <v>224</v>
      </c>
      <c r="C172" s="168" t="s">
        <v>52</v>
      </c>
      <c r="D172" s="55">
        <v>2025491325</v>
      </c>
      <c r="E172" s="52">
        <f t="shared" si="60"/>
        <v>3.8039036544267893E-2</v>
      </c>
      <c r="F172" s="55">
        <v>1.8915999999999999</v>
      </c>
      <c r="G172" s="55">
        <v>1.9033</v>
      </c>
      <c r="H172" s="54">
        <v>2190</v>
      </c>
      <c r="I172" s="73">
        <v>1.7299999999999999E-2</v>
      </c>
      <c r="J172" s="73">
        <v>0.21560000000000001</v>
      </c>
      <c r="K172" s="55">
        <v>2024311743.8</v>
      </c>
      <c r="L172" s="77">
        <f t="shared" si="61"/>
        <v>3.7995350171423366E-2</v>
      </c>
      <c r="M172" s="55">
        <v>1.8847</v>
      </c>
      <c r="N172" s="55">
        <v>1.8962000000000001</v>
      </c>
      <c r="O172" s="54">
        <v>2198</v>
      </c>
      <c r="P172" s="73">
        <v>-3.5999999999999999E-3</v>
      </c>
      <c r="Q172" s="73">
        <v>0.21190000000000001</v>
      </c>
      <c r="R172" s="80">
        <f t="shared" si="62"/>
        <v>-5.823679348515836E-4</v>
      </c>
      <c r="S172" s="80">
        <f t="shared" si="63"/>
        <v>-3.7303630536436108E-3</v>
      </c>
      <c r="T172" s="80">
        <f t="shared" si="64"/>
        <v>3.6529680365296802E-3</v>
      </c>
      <c r="U172" s="80">
        <f t="shared" si="65"/>
        <v>-2.0899999999999998E-2</v>
      </c>
      <c r="V172" s="81">
        <f t="shared" si="66"/>
        <v>-3.7000000000000088E-3</v>
      </c>
    </row>
    <row r="173" spans="1:22">
      <c r="A173" s="183">
        <v>150</v>
      </c>
      <c r="B173" s="167" t="s">
        <v>225</v>
      </c>
      <c r="C173" s="168" t="s">
        <v>52</v>
      </c>
      <c r="D173" s="55">
        <v>1151246516.48</v>
      </c>
      <c r="E173" s="52">
        <f t="shared" si="60"/>
        <v>2.1620585470462989E-2</v>
      </c>
      <c r="F173" s="55">
        <v>1.4633</v>
      </c>
      <c r="G173" s="55">
        <v>1.4714</v>
      </c>
      <c r="H173" s="54">
        <v>806</v>
      </c>
      <c r="I173" s="73">
        <v>8.0999999999999996E-3</v>
      </c>
      <c r="J173" s="73">
        <v>0.22070000000000001</v>
      </c>
      <c r="K173" s="55">
        <v>1159840999.9400001</v>
      </c>
      <c r="L173" s="77">
        <f t="shared" si="61"/>
        <v>2.1769653350510849E-2</v>
      </c>
      <c r="M173" s="55">
        <v>1.4681</v>
      </c>
      <c r="N173" s="55">
        <v>1.4762</v>
      </c>
      <c r="O173" s="54">
        <v>811</v>
      </c>
      <c r="P173" s="73">
        <v>3.3E-3</v>
      </c>
      <c r="Q173" s="73">
        <v>0.22409999999999999</v>
      </c>
      <c r="R173" s="80">
        <f t="shared" si="62"/>
        <v>7.465371957240007E-3</v>
      </c>
      <c r="S173" s="80">
        <f t="shared" si="63"/>
        <v>3.2621992660051076E-3</v>
      </c>
      <c r="T173" s="80">
        <f t="shared" si="64"/>
        <v>6.2034739454094297E-3</v>
      </c>
      <c r="U173" s="80">
        <f t="shared" si="65"/>
        <v>-4.7999999999999996E-3</v>
      </c>
      <c r="V173" s="81">
        <f t="shared" si="66"/>
        <v>3.3999999999999864E-3</v>
      </c>
    </row>
    <row r="174" spans="1:22">
      <c r="A174" s="183">
        <v>151</v>
      </c>
      <c r="B174" s="167" t="s">
        <v>226</v>
      </c>
      <c r="C174" s="168" t="s">
        <v>107</v>
      </c>
      <c r="D174" s="51">
        <v>9824355347.5</v>
      </c>
      <c r="E174" s="52">
        <f t="shared" si="60"/>
        <v>0.18450289442114801</v>
      </c>
      <c r="F174" s="55">
        <v>532.96</v>
      </c>
      <c r="G174" s="55">
        <v>538.85</v>
      </c>
      <c r="H174" s="54">
        <v>37</v>
      </c>
      <c r="I174" s="73">
        <v>-1.137E-2</v>
      </c>
      <c r="J174" s="73">
        <v>0.53200000000000003</v>
      </c>
      <c r="K174" s="51">
        <v>9799862029.8999996</v>
      </c>
      <c r="L174" s="77">
        <f t="shared" si="61"/>
        <v>0.18393865994114098</v>
      </c>
      <c r="M174" s="55">
        <v>531.67999999999995</v>
      </c>
      <c r="N174" s="55">
        <v>537.48</v>
      </c>
      <c r="O174" s="54">
        <v>37</v>
      </c>
      <c r="P174" s="73">
        <v>-2.5000000000000001E-3</v>
      </c>
      <c r="Q174" s="73">
        <v>0.5282</v>
      </c>
      <c r="R174" s="80">
        <f t="shared" si="62"/>
        <v>-2.4931221167843027E-3</v>
      </c>
      <c r="S174" s="80">
        <f t="shared" si="63"/>
        <v>-2.5424515171198004E-3</v>
      </c>
      <c r="T174" s="80">
        <f t="shared" si="64"/>
        <v>0</v>
      </c>
      <c r="U174" s="80">
        <f t="shared" si="65"/>
        <v>8.8699999999999994E-3</v>
      </c>
      <c r="V174" s="81">
        <f t="shared" si="66"/>
        <v>-3.8000000000000256E-3</v>
      </c>
    </row>
    <row r="175" spans="1:22">
      <c r="A175" s="183">
        <v>152</v>
      </c>
      <c r="B175" s="167" t="s">
        <v>227</v>
      </c>
      <c r="C175" s="168" t="s">
        <v>47</v>
      </c>
      <c r="D175" s="51">
        <v>528244787.31999999</v>
      </c>
      <c r="E175" s="52">
        <f t="shared" si="60"/>
        <v>9.9205178127260065E-3</v>
      </c>
      <c r="F175" s="55">
        <v>255.26</v>
      </c>
      <c r="G175" s="55">
        <v>258.43</v>
      </c>
      <c r="H175" s="54">
        <v>690</v>
      </c>
      <c r="I175" s="73">
        <v>-2.9999999999999997E-4</v>
      </c>
      <c r="J175" s="73">
        <v>0.32279999999999998</v>
      </c>
      <c r="K175" s="51">
        <v>527934577.22000003</v>
      </c>
      <c r="L175" s="77">
        <f t="shared" si="61"/>
        <v>9.9090761047612962E-3</v>
      </c>
      <c r="M175" s="55">
        <v>255.12</v>
      </c>
      <c r="N175" s="55">
        <v>258.27</v>
      </c>
      <c r="O175" s="54">
        <v>690</v>
      </c>
      <c r="P175" s="73">
        <v>-6.1999999999999998E-3</v>
      </c>
      <c r="Q175" s="73">
        <v>0.32200000000000001</v>
      </c>
      <c r="R175" s="80">
        <f t="shared" si="62"/>
        <v>-5.8724687388546869E-4</v>
      </c>
      <c r="S175" s="80">
        <f t="shared" si="63"/>
        <v>-6.1912316681509501E-4</v>
      </c>
      <c r="T175" s="80">
        <f t="shared" si="64"/>
        <v>0</v>
      </c>
      <c r="U175" s="80">
        <f t="shared" si="65"/>
        <v>-5.8999999999999999E-3</v>
      </c>
      <c r="V175" s="81">
        <f t="shared" si="66"/>
        <v>-7.999999999999674E-4</v>
      </c>
    </row>
    <row r="176" spans="1:22">
      <c r="A176" s="58"/>
      <c r="B176" s="59"/>
      <c r="C176" s="60" t="s">
        <v>53</v>
      </c>
      <c r="D176" s="99">
        <f>SUM(D147:D175)</f>
        <v>53247703123.154457</v>
      </c>
      <c r="E176" s="62">
        <f>(D176/$D$206)</f>
        <v>1.3914612233034184E-2</v>
      </c>
      <c r="F176" s="63"/>
      <c r="G176" s="100"/>
      <c r="H176" s="65">
        <f>SUM(H147:H175)</f>
        <v>69866</v>
      </c>
      <c r="I176" s="106"/>
      <c r="J176" s="106"/>
      <c r="K176" s="99">
        <f>SUM(K147:K175)</f>
        <v>53277880968.774506</v>
      </c>
      <c r="L176" s="62">
        <f>(K176/$K$206)</f>
        <v>1.3837036419560356E-2</v>
      </c>
      <c r="M176" s="63"/>
      <c r="N176" s="100"/>
      <c r="O176" s="65">
        <f>SUM(O147:O175)</f>
        <v>69880</v>
      </c>
      <c r="P176" s="106"/>
      <c r="Q176" s="106"/>
      <c r="R176" s="80">
        <f t="shared" si="62"/>
        <v>5.6674455140818766E-4</v>
      </c>
      <c r="S176" s="80" t="e">
        <f t="shared" si="63"/>
        <v>#DIV/0!</v>
      </c>
      <c r="T176" s="80">
        <f t="shared" si="64"/>
        <v>2.0038359144648326E-4</v>
      </c>
      <c r="U176" s="80">
        <f t="shared" si="65"/>
        <v>0</v>
      </c>
      <c r="V176" s="81">
        <f t="shared" si="66"/>
        <v>0</v>
      </c>
    </row>
    <row r="177" spans="1:24" ht="5.25" customHeight="1">
      <c r="A177" s="58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</row>
    <row r="178" spans="1:24" ht="15" customHeight="1">
      <c r="A178" s="175" t="s">
        <v>228</v>
      </c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</row>
    <row r="179" spans="1:24" ht="16.2" customHeight="1">
      <c r="A179" s="183">
        <v>153</v>
      </c>
      <c r="B179" s="167" t="s">
        <v>229</v>
      </c>
      <c r="C179" s="168" t="s">
        <v>23</v>
      </c>
      <c r="D179" s="102">
        <v>928457230.51999998</v>
      </c>
      <c r="E179" s="52">
        <f>(D179/$D$182)</f>
        <v>0.16426455077604632</v>
      </c>
      <c r="F179" s="101">
        <v>65.506699999999995</v>
      </c>
      <c r="G179" s="101">
        <v>67.481800000000007</v>
      </c>
      <c r="H179" s="56">
        <v>1646</v>
      </c>
      <c r="I179" s="74">
        <v>0.75719999999999998</v>
      </c>
      <c r="J179" s="74">
        <v>0.22539999999999999</v>
      </c>
      <c r="K179" s="102">
        <v>941191823.27999997</v>
      </c>
      <c r="L179" s="77">
        <f>(K179/$K$182)</f>
        <v>0.16671873444819077</v>
      </c>
      <c r="M179" s="101">
        <v>65.802700000000002</v>
      </c>
      <c r="N179" s="101">
        <v>67.786699999999996</v>
      </c>
      <c r="O179" s="56">
        <v>1648</v>
      </c>
      <c r="P179" s="74">
        <v>0.23619999999999999</v>
      </c>
      <c r="Q179" s="74">
        <v>0.2266</v>
      </c>
      <c r="R179" s="80">
        <f>((K179-D179)/D179)</f>
        <v>1.3715863629892506E-2</v>
      </c>
      <c r="S179" s="80">
        <f t="shared" ref="S179:T182" si="76">((N179-G179)/G179)</f>
        <v>4.518255292537977E-3</v>
      </c>
      <c r="T179" s="80">
        <f t="shared" si="76"/>
        <v>1.215066828675577E-3</v>
      </c>
      <c r="U179" s="80">
        <f t="shared" ref="U179:V182" si="77">P179-I179</f>
        <v>-0.52100000000000002</v>
      </c>
      <c r="V179" s="81">
        <f t="shared" si="77"/>
        <v>1.2000000000000066E-3</v>
      </c>
    </row>
    <row r="180" spans="1:24">
      <c r="A180" s="183">
        <v>154</v>
      </c>
      <c r="B180" s="167" t="s">
        <v>230</v>
      </c>
      <c r="C180" s="168" t="s">
        <v>231</v>
      </c>
      <c r="D180" s="102">
        <v>928366942.92999995</v>
      </c>
      <c r="E180" s="52">
        <f>(D180/$D$182)</f>
        <v>0.16424857691109648</v>
      </c>
      <c r="F180" s="101">
        <v>27.761500000000002</v>
      </c>
      <c r="G180" s="101">
        <v>26.975899999999999</v>
      </c>
      <c r="H180" s="54">
        <v>1483</v>
      </c>
      <c r="I180" s="73">
        <v>0.2087</v>
      </c>
      <c r="J180" s="73">
        <v>0.25030000000000002</v>
      </c>
      <c r="K180" s="102">
        <v>922234558.58000004</v>
      </c>
      <c r="L180" s="77">
        <f>(K180/$K$182)</f>
        <v>0.16336072484673772</v>
      </c>
      <c r="M180" s="101">
        <v>26.237100000000002</v>
      </c>
      <c r="N180" s="101">
        <v>26.4434</v>
      </c>
      <c r="O180" s="54">
        <v>1482</v>
      </c>
      <c r="P180" s="73">
        <v>-2.5999999999999999E-3</v>
      </c>
      <c r="Q180" s="73">
        <v>0.25030000000000002</v>
      </c>
      <c r="R180" s="80">
        <f>((K180-D180)/D180)</f>
        <v>-6.6055608686858358E-3</v>
      </c>
      <c r="S180" s="80">
        <f t="shared" si="76"/>
        <v>-1.9739841858844333E-2</v>
      </c>
      <c r="T180" s="80">
        <f t="shared" si="76"/>
        <v>-6.7430883344571813E-4</v>
      </c>
      <c r="U180" s="80">
        <f t="shared" si="77"/>
        <v>-0.21129999999999999</v>
      </c>
      <c r="V180" s="81">
        <f t="shared" si="77"/>
        <v>0</v>
      </c>
    </row>
    <row r="181" spans="1:24">
      <c r="A181" s="183">
        <v>155</v>
      </c>
      <c r="B181" s="167" t="s">
        <v>232</v>
      </c>
      <c r="C181" s="168" t="s">
        <v>49</v>
      </c>
      <c r="D181" s="67">
        <v>3795382746.02</v>
      </c>
      <c r="E181" s="52">
        <f>(D181/$D$182)</f>
        <v>0.67148687231285731</v>
      </c>
      <c r="F181" s="101">
        <v>2.74</v>
      </c>
      <c r="G181" s="101">
        <v>2.78</v>
      </c>
      <c r="H181" s="54">
        <v>10174</v>
      </c>
      <c r="I181" s="73">
        <v>3.5999999999999999E-3</v>
      </c>
      <c r="J181" s="73">
        <v>0.33650000000000002</v>
      </c>
      <c r="K181" s="67">
        <v>3781960901.0700002</v>
      </c>
      <c r="L181" s="77">
        <f>(K181/$K$182)</f>
        <v>0.66992054070507145</v>
      </c>
      <c r="M181" s="101">
        <v>2.73</v>
      </c>
      <c r="N181" s="101">
        <v>2.76</v>
      </c>
      <c r="O181" s="54">
        <v>10178</v>
      </c>
      <c r="P181" s="73">
        <v>-7.1999999999999998E-3</v>
      </c>
      <c r="Q181" s="73">
        <v>0.32690000000000002</v>
      </c>
      <c r="R181" s="80">
        <f>((K181-D181)/D181)</f>
        <v>-3.5363613759572805E-3</v>
      </c>
      <c r="S181" s="80">
        <f t="shared" si="76"/>
        <v>-7.1942446043165541E-3</v>
      </c>
      <c r="T181" s="80">
        <f t="shared" si="76"/>
        <v>3.9315903282877927E-4</v>
      </c>
      <c r="U181" s="80">
        <f t="shared" si="77"/>
        <v>-1.0800000000000001E-2</v>
      </c>
      <c r="V181" s="81">
        <f t="shared" si="77"/>
        <v>-9.5999999999999974E-3</v>
      </c>
    </row>
    <row r="182" spans="1:24">
      <c r="A182" s="58"/>
      <c r="B182" s="59"/>
      <c r="C182" s="95" t="s">
        <v>53</v>
      </c>
      <c r="D182" s="99">
        <f>SUM(D179:D181)</f>
        <v>5652206919.4699993</v>
      </c>
      <c r="E182" s="62">
        <f>(D182/$D$206)</f>
        <v>1.4770264806238742E-3</v>
      </c>
      <c r="F182" s="63"/>
      <c r="G182" s="100"/>
      <c r="H182" s="65">
        <f>SUM(H179:H181)</f>
        <v>13303</v>
      </c>
      <c r="I182" s="106"/>
      <c r="J182" s="106"/>
      <c r="K182" s="99">
        <f>SUM(K179:K181)</f>
        <v>5645387282.9300003</v>
      </c>
      <c r="L182" s="62">
        <f>(K182/$K$206)</f>
        <v>1.4661887450480202E-3</v>
      </c>
      <c r="M182" s="63"/>
      <c r="N182" s="100"/>
      <c r="O182" s="65">
        <f>SUM(O179:O181)</f>
        <v>13308</v>
      </c>
      <c r="P182" s="106"/>
      <c r="Q182" s="106"/>
      <c r="R182" s="80">
        <f>((K182-D182)/D182)</f>
        <v>-1.2065440344208908E-3</v>
      </c>
      <c r="S182" s="80" t="e">
        <f t="shared" si="76"/>
        <v>#DIV/0!</v>
      </c>
      <c r="T182" s="80">
        <f t="shared" si="76"/>
        <v>3.7585507028489815E-4</v>
      </c>
      <c r="U182" s="80">
        <f t="shared" si="77"/>
        <v>0</v>
      </c>
      <c r="V182" s="81">
        <f t="shared" si="77"/>
        <v>0</v>
      </c>
    </row>
    <row r="183" spans="1:24" ht="6" customHeight="1">
      <c r="A183" s="58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</row>
    <row r="184" spans="1:24" ht="15" customHeight="1">
      <c r="A184" s="176" t="s">
        <v>233</v>
      </c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</row>
    <row r="185" spans="1:24">
      <c r="A185" s="177" t="s">
        <v>234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</row>
    <row r="186" spans="1:24">
      <c r="A186" s="183">
        <v>156</v>
      </c>
      <c r="B186" s="167" t="s">
        <v>235</v>
      </c>
      <c r="C186" s="168" t="s">
        <v>236</v>
      </c>
      <c r="D186" s="70">
        <v>4629473750.1400003</v>
      </c>
      <c r="E186" s="52">
        <f>(D186/$D$205)</f>
        <v>8.996923461626731E-2</v>
      </c>
      <c r="F186" s="103">
        <v>2.15</v>
      </c>
      <c r="G186" s="103">
        <v>2.19</v>
      </c>
      <c r="H186" s="69">
        <v>14970</v>
      </c>
      <c r="I186" s="76">
        <v>6.9999999999999999E-4</v>
      </c>
      <c r="J186" s="76">
        <v>0.2445</v>
      </c>
      <c r="K186" s="70">
        <v>4645431322.5299997</v>
      </c>
      <c r="L186" s="52">
        <f>(K186/$K$205)</f>
        <v>9.034810560908936E-2</v>
      </c>
      <c r="M186" s="103">
        <v>2.15</v>
      </c>
      <c r="N186" s="103">
        <v>2.19</v>
      </c>
      <c r="O186" s="69">
        <v>14970</v>
      </c>
      <c r="P186" s="76">
        <v>8.9999999999999998E-4</v>
      </c>
      <c r="Q186" s="76">
        <v>0.2455</v>
      </c>
      <c r="R186" s="80">
        <f>((K186-D186)/D186)</f>
        <v>3.4469516949992029E-3</v>
      </c>
      <c r="S186" s="80">
        <f>((N186-G186)/G186)</f>
        <v>0</v>
      </c>
      <c r="T186" s="80">
        <f>((O186-H186)/H186)</f>
        <v>0</v>
      </c>
      <c r="U186" s="80">
        <f>P186-I186</f>
        <v>1.9999999999999998E-4</v>
      </c>
      <c r="V186" s="81">
        <f>Q186-J186</f>
        <v>1.0000000000000009E-3</v>
      </c>
    </row>
    <row r="187" spans="1:24">
      <c r="A187" s="183">
        <v>157</v>
      </c>
      <c r="B187" s="167" t="s">
        <v>237</v>
      </c>
      <c r="C187" s="168" t="s">
        <v>49</v>
      </c>
      <c r="D187" s="70">
        <v>635657753.41999996</v>
      </c>
      <c r="E187" s="52">
        <f>(D187/$D$205)</f>
        <v>1.2353378513349144E-2</v>
      </c>
      <c r="F187" s="103">
        <v>443.05</v>
      </c>
      <c r="G187" s="103">
        <v>448.88</v>
      </c>
      <c r="H187" s="69">
        <v>851</v>
      </c>
      <c r="I187" s="76">
        <v>5.5399999999999998E-2</v>
      </c>
      <c r="J187" s="76">
        <v>0.17549999999999999</v>
      </c>
      <c r="K187" s="70">
        <v>636485808.74000001</v>
      </c>
      <c r="L187" s="52">
        <f>(K187/$K$205)</f>
        <v>1.2378890801341044E-2</v>
      </c>
      <c r="M187" s="103">
        <v>447.12</v>
      </c>
      <c r="N187" s="103">
        <v>453.06</v>
      </c>
      <c r="O187" s="69">
        <v>849</v>
      </c>
      <c r="P187" s="76">
        <v>9.2999999999999992E-3</v>
      </c>
      <c r="Q187" s="76">
        <v>0.18640000000000001</v>
      </c>
      <c r="R187" s="80">
        <f>((K187-D187)/D187)</f>
        <v>1.3026747735631395E-3</v>
      </c>
      <c r="S187" s="80">
        <f>((N187-G187)/G187)</f>
        <v>9.3120655854571528E-3</v>
      </c>
      <c r="T187" s="80">
        <f>((O187-H187)/H187)</f>
        <v>-2.3501762632197414E-3</v>
      </c>
      <c r="U187" s="80">
        <f>P187-I187</f>
        <v>-4.6100000000000002E-2</v>
      </c>
      <c r="V187" s="81">
        <f>Q187-J187</f>
        <v>1.0900000000000021E-2</v>
      </c>
    </row>
    <row r="188" spans="1:24" ht="6" customHeight="1">
      <c r="A188" s="58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</row>
    <row r="189" spans="1:24" ht="15" customHeight="1">
      <c r="A189" s="177" t="s">
        <v>175</v>
      </c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</row>
    <row r="190" spans="1:24">
      <c r="A190" s="183">
        <v>158</v>
      </c>
      <c r="B190" s="167" t="s">
        <v>238</v>
      </c>
      <c r="C190" s="168" t="s">
        <v>239</v>
      </c>
      <c r="D190" s="51">
        <v>339675873.77999997</v>
      </c>
      <c r="E190" s="52">
        <f t="shared" ref="E190:E201" si="78">(D190/$D$205)</f>
        <v>6.6012639947843404E-3</v>
      </c>
      <c r="F190" s="101">
        <v>1046.3</v>
      </c>
      <c r="G190" s="101">
        <v>1046.3</v>
      </c>
      <c r="H190" s="54">
        <v>18</v>
      </c>
      <c r="I190" s="73">
        <v>2.8E-3</v>
      </c>
      <c r="J190" s="73">
        <v>0.12970000000000001</v>
      </c>
      <c r="K190" s="51">
        <v>340023183.07999998</v>
      </c>
      <c r="L190" s="52">
        <f t="shared" ref="L190:L201" si="79">(K190/$K$205)</f>
        <v>6.6130458770230103E-3</v>
      </c>
      <c r="M190" s="101" t="s">
        <v>299</v>
      </c>
      <c r="N190" s="101">
        <v>1047.3399999999999</v>
      </c>
      <c r="O190" s="54">
        <v>18</v>
      </c>
      <c r="P190" s="73">
        <v>1.6000000000000001E-3</v>
      </c>
      <c r="Q190" s="73">
        <v>0.1313</v>
      </c>
      <c r="R190" s="80">
        <f>((K190-D190)/D190)</f>
        <v>1.0224726770702471E-3</v>
      </c>
      <c r="S190" s="80">
        <f>((N190-G190)/G190)</f>
        <v>9.9397878237595695E-4</v>
      </c>
      <c r="T190" s="80">
        <f>((O190-H190)/H190)</f>
        <v>0</v>
      </c>
      <c r="U190" s="80">
        <f>P190-I190</f>
        <v>-1.1999999999999999E-3</v>
      </c>
      <c r="V190" s="81">
        <f>Q190-J190</f>
        <v>1.5999999999999903E-3</v>
      </c>
      <c r="X190" s="107"/>
    </row>
    <row r="191" spans="1:24">
      <c r="A191" s="183">
        <v>159</v>
      </c>
      <c r="B191" s="167" t="s">
        <v>240</v>
      </c>
      <c r="C191" s="168" t="s">
        <v>67</v>
      </c>
      <c r="D191" s="51">
        <v>129479271.36</v>
      </c>
      <c r="E191" s="52">
        <f t="shared" si="78"/>
        <v>2.5163013274627373E-3</v>
      </c>
      <c r="F191" s="101">
        <v>114.32</v>
      </c>
      <c r="G191" s="101">
        <v>114.32</v>
      </c>
      <c r="H191" s="54">
        <v>75</v>
      </c>
      <c r="I191" s="73">
        <v>2.5000000000000001E-3</v>
      </c>
      <c r="J191" s="73">
        <v>0.1404</v>
      </c>
      <c r="K191" s="51">
        <v>129956051.64</v>
      </c>
      <c r="L191" s="52">
        <f t="shared" si="79"/>
        <v>2.5274904014115185E-3</v>
      </c>
      <c r="M191" s="101">
        <v>114.61</v>
      </c>
      <c r="N191" s="101">
        <v>114.61</v>
      </c>
      <c r="O191" s="54">
        <v>75</v>
      </c>
      <c r="P191" s="73">
        <v>2.5000000000000001E-3</v>
      </c>
      <c r="Q191" s="73">
        <v>0.1396</v>
      </c>
      <c r="R191" s="80">
        <f t="shared" ref="R191:R206" si="80">((K191-D191)/D191)</f>
        <v>3.6822904160031659E-3</v>
      </c>
      <c r="S191" s="80">
        <f t="shared" ref="S191:S205" si="81">((N191-G191)/G191)</f>
        <v>2.5367389783065627E-3</v>
      </c>
      <c r="T191" s="80">
        <f t="shared" ref="T191:T205" si="82">((O191-H191)/H191)</f>
        <v>0</v>
      </c>
      <c r="U191" s="80">
        <f t="shared" ref="U191:U205" si="83">P191-I191</f>
        <v>0</v>
      </c>
      <c r="V191" s="81">
        <f t="shared" ref="V191:V205" si="84">Q191-J191</f>
        <v>-7.9999999999999516E-4</v>
      </c>
    </row>
    <row r="192" spans="1:24">
      <c r="A192" s="183">
        <v>160</v>
      </c>
      <c r="B192" s="187" t="s">
        <v>241</v>
      </c>
      <c r="C192" s="168" t="s">
        <v>73</v>
      </c>
      <c r="D192" s="67">
        <v>58973520.640000001</v>
      </c>
      <c r="E192" s="52">
        <f t="shared" si="78"/>
        <v>1.1460919320359013E-3</v>
      </c>
      <c r="F192" s="101">
        <v>105.24</v>
      </c>
      <c r="G192" s="101">
        <v>108.88</v>
      </c>
      <c r="H192" s="54">
        <v>14</v>
      </c>
      <c r="I192" s="73">
        <v>1.5E-3</v>
      </c>
      <c r="J192" s="73">
        <v>0.1105</v>
      </c>
      <c r="K192" s="67">
        <v>59072323.609999999</v>
      </c>
      <c r="L192" s="52">
        <f t="shared" si="79"/>
        <v>1.1488863275636375E-3</v>
      </c>
      <c r="M192" s="101">
        <v>105.42</v>
      </c>
      <c r="N192" s="101">
        <v>109.18</v>
      </c>
      <c r="O192" s="54">
        <v>14</v>
      </c>
      <c r="P192" s="73">
        <v>2.5000000000000001E-3</v>
      </c>
      <c r="Q192" s="73">
        <v>0.113</v>
      </c>
      <c r="R192" s="80">
        <f t="shared" si="80"/>
        <v>1.6753785245947088E-3</v>
      </c>
      <c r="S192" s="80">
        <f t="shared" si="81"/>
        <v>2.7553269654666734E-3</v>
      </c>
      <c r="T192" s="80">
        <f t="shared" si="82"/>
        <v>0</v>
      </c>
      <c r="U192" s="80">
        <f t="shared" si="83"/>
        <v>1E-3</v>
      </c>
      <c r="V192" s="81">
        <f t="shared" si="84"/>
        <v>2.5000000000000022E-3</v>
      </c>
    </row>
    <row r="193" spans="1:22">
      <c r="A193" s="183">
        <v>161</v>
      </c>
      <c r="B193" s="167" t="s">
        <v>242</v>
      </c>
      <c r="C193" s="168" t="s">
        <v>76</v>
      </c>
      <c r="D193" s="67">
        <v>104323080.23999999</v>
      </c>
      <c r="E193" s="52">
        <v>0</v>
      </c>
      <c r="F193" s="101">
        <v>1.0299</v>
      </c>
      <c r="G193" s="101">
        <v>1.0299</v>
      </c>
      <c r="H193" s="54">
        <v>24</v>
      </c>
      <c r="I193" s="73">
        <v>2.3340000000000001E-3</v>
      </c>
      <c r="J193" s="73">
        <v>9.7100000000000006E-2</v>
      </c>
      <c r="K193" s="67">
        <v>104323080.23999999</v>
      </c>
      <c r="L193" s="52">
        <f t="shared" si="79"/>
        <v>2.0289596415464291E-3</v>
      </c>
      <c r="M193" s="101">
        <v>1.0322</v>
      </c>
      <c r="N193" s="101">
        <v>1.0322</v>
      </c>
      <c r="O193" s="54">
        <v>25</v>
      </c>
      <c r="P193" s="73">
        <v>2.2000000000000001E-3</v>
      </c>
      <c r="Q193" s="73">
        <v>9.8699999999999996E-2</v>
      </c>
      <c r="R193" s="80">
        <f t="shared" ref="R193:R194" si="85">((K193-D193)/D193)</f>
        <v>0</v>
      </c>
      <c r="S193" s="80">
        <f t="shared" ref="S193:S194" si="86">((N193-G193)/G193)</f>
        <v>2.2332265268472365E-3</v>
      </c>
      <c r="T193" s="80">
        <f t="shared" ref="T193" si="87">((O193-H193)/H193)</f>
        <v>4.1666666666666664E-2</v>
      </c>
      <c r="U193" s="80">
        <f t="shared" ref="U193" si="88">P193-I193</f>
        <v>-1.34E-4</v>
      </c>
      <c r="V193" s="81">
        <f t="shared" ref="V193" si="89">Q193-J193</f>
        <v>1.5999999999999903E-3</v>
      </c>
    </row>
    <row r="194" spans="1:22">
      <c r="A194" s="183">
        <v>162</v>
      </c>
      <c r="B194" s="167" t="s">
        <v>243</v>
      </c>
      <c r="C194" s="168" t="s">
        <v>31</v>
      </c>
      <c r="D194" s="51">
        <v>7959339473.5799999</v>
      </c>
      <c r="E194" s="52">
        <f t="shared" si="78"/>
        <v>0.15468187511968959</v>
      </c>
      <c r="F194" s="101">
        <v>141.16</v>
      </c>
      <c r="G194" s="101">
        <v>141.16</v>
      </c>
      <c r="H194" s="54">
        <v>689</v>
      </c>
      <c r="I194" s="73">
        <v>2.7000000000000001E-3</v>
      </c>
      <c r="J194" s="73">
        <v>0.13539999999999999</v>
      </c>
      <c r="K194" s="51">
        <v>7987741690.75</v>
      </c>
      <c r="L194" s="52">
        <f t="shared" si="79"/>
        <v>0.15535206092788956</v>
      </c>
      <c r="M194" s="101">
        <v>141.55000000000001</v>
      </c>
      <c r="N194" s="101">
        <v>141.55000000000001</v>
      </c>
      <c r="O194" s="54">
        <v>690</v>
      </c>
      <c r="P194" s="73">
        <v>2.8E-3</v>
      </c>
      <c r="Q194" s="73">
        <v>0.13830000000000001</v>
      </c>
      <c r="R194" s="80">
        <f t="shared" si="85"/>
        <v>3.5684138444248507E-3</v>
      </c>
      <c r="S194" s="80">
        <f t="shared" si="86"/>
        <v>2.7628223292718531E-3</v>
      </c>
      <c r="T194" s="80">
        <f t="shared" si="82"/>
        <v>1.4513788098693759E-3</v>
      </c>
      <c r="U194" s="80">
        <f t="shared" si="83"/>
        <v>9.9999999999999829E-5</v>
      </c>
      <c r="V194" s="81">
        <f t="shared" si="84"/>
        <v>2.9000000000000137E-3</v>
      </c>
    </row>
    <row r="195" spans="1:22">
      <c r="A195" s="183">
        <v>163</v>
      </c>
      <c r="B195" s="167" t="s">
        <v>244</v>
      </c>
      <c r="C195" s="168" t="s">
        <v>65</v>
      </c>
      <c r="D195" s="51">
        <v>464684501.10421401</v>
      </c>
      <c r="E195" s="52">
        <f t="shared" si="78"/>
        <v>9.0306827857321494E-3</v>
      </c>
      <c r="F195" s="57">
        <v>1165.1271740658699</v>
      </c>
      <c r="G195" s="57">
        <v>1165.1271740658699</v>
      </c>
      <c r="H195" s="54">
        <v>96</v>
      </c>
      <c r="I195" s="73">
        <v>0.1873454717412939</v>
      </c>
      <c r="J195" s="73">
        <v>0.14769607250511269</v>
      </c>
      <c r="K195" s="51">
        <v>466404687.53389299</v>
      </c>
      <c r="L195" s="52">
        <f t="shared" si="79"/>
        <v>9.0710155936471418E-3</v>
      </c>
      <c r="M195" s="57">
        <v>1168.93607543806</v>
      </c>
      <c r="N195" s="57">
        <v>1168.93607543806</v>
      </c>
      <c r="O195" s="54">
        <v>96</v>
      </c>
      <c r="P195" s="73">
        <v>0.17092651628219499</v>
      </c>
      <c r="Q195" s="73">
        <v>0.14865565009466</v>
      </c>
      <c r="R195" s="80">
        <f t="shared" si="80"/>
        <v>3.7018373231544324E-3</v>
      </c>
      <c r="S195" s="80">
        <f t="shared" si="81"/>
        <v>3.2690863769818715E-3</v>
      </c>
      <c r="T195" s="80">
        <f t="shared" si="82"/>
        <v>0</v>
      </c>
      <c r="U195" s="80">
        <f t="shared" si="83"/>
        <v>-1.6418955459098911E-2</v>
      </c>
      <c r="V195" s="81">
        <f t="shared" si="84"/>
        <v>9.5957758954731687E-4</v>
      </c>
    </row>
    <row r="196" spans="1:22">
      <c r="A196" s="183">
        <v>164</v>
      </c>
      <c r="B196" s="167" t="s">
        <v>245</v>
      </c>
      <c r="C196" s="168" t="s">
        <v>236</v>
      </c>
      <c r="D196" s="51">
        <v>24349241880.310001</v>
      </c>
      <c r="E196" s="52">
        <f t="shared" si="78"/>
        <v>0.47320338632260384</v>
      </c>
      <c r="F196" s="57">
        <v>1240.3900000000001</v>
      </c>
      <c r="G196" s="57">
        <v>1240.3900000000001</v>
      </c>
      <c r="H196" s="54">
        <v>9435</v>
      </c>
      <c r="I196" s="73">
        <v>2.8E-3</v>
      </c>
      <c r="J196" s="73">
        <v>0.13059999999999999</v>
      </c>
      <c r="K196" s="51">
        <v>24298672663.720001</v>
      </c>
      <c r="L196" s="52">
        <f t="shared" si="79"/>
        <v>0.47258023885429856</v>
      </c>
      <c r="M196" s="57">
        <v>1244.45</v>
      </c>
      <c r="N196" s="57">
        <v>1244.45</v>
      </c>
      <c r="O196" s="54">
        <v>9286</v>
      </c>
      <c r="P196" s="73">
        <v>3.3E-3</v>
      </c>
      <c r="Q196" s="73">
        <v>0.13389999999999999</v>
      </c>
      <c r="R196" s="80">
        <f t="shared" si="80"/>
        <v>-2.0768292022632917E-3</v>
      </c>
      <c r="S196" s="80">
        <f t="shared" si="81"/>
        <v>3.2731640854891972E-3</v>
      </c>
      <c r="T196" s="80">
        <f t="shared" si="82"/>
        <v>-1.579226285108638E-2</v>
      </c>
      <c r="U196" s="80">
        <f t="shared" si="83"/>
        <v>5.0000000000000001E-4</v>
      </c>
      <c r="V196" s="81">
        <f t="shared" si="84"/>
        <v>3.2999999999999974E-3</v>
      </c>
    </row>
    <row r="197" spans="1:22">
      <c r="A197" s="183">
        <v>165</v>
      </c>
      <c r="B197" s="167" t="s">
        <v>246</v>
      </c>
      <c r="C197" s="168" t="s">
        <v>247</v>
      </c>
      <c r="D197" s="51">
        <v>410428269.26999998</v>
      </c>
      <c r="E197" s="52">
        <f t="shared" si="78"/>
        <v>7.9762666868959959E-3</v>
      </c>
      <c r="F197" s="103">
        <v>127.17</v>
      </c>
      <c r="G197" s="103">
        <v>127.46</v>
      </c>
      <c r="H197" s="69">
        <v>149</v>
      </c>
      <c r="I197" s="73">
        <v>4.3E-3</v>
      </c>
      <c r="J197" s="73">
        <v>0.28039999999999998</v>
      </c>
      <c r="K197" s="51">
        <v>409720219.75999999</v>
      </c>
      <c r="L197" s="52">
        <f t="shared" si="79"/>
        <v>7.968570217694081E-3</v>
      </c>
      <c r="M197" s="103">
        <v>126.98</v>
      </c>
      <c r="N197" s="103">
        <v>127.22</v>
      </c>
      <c r="O197" s="69">
        <v>149</v>
      </c>
      <c r="P197" s="73">
        <v>-1.8E-3</v>
      </c>
      <c r="Q197" s="73">
        <v>0.27810000000000001</v>
      </c>
      <c r="R197" s="80">
        <f t="shared" si="80"/>
        <v>-1.7251480051784652E-3</v>
      </c>
      <c r="S197" s="80">
        <f t="shared" si="81"/>
        <v>-1.8829436686018744E-3</v>
      </c>
      <c r="T197" s="80">
        <f t="shared" si="82"/>
        <v>0</v>
      </c>
      <c r="U197" s="80">
        <f t="shared" si="83"/>
        <v>-6.0999999999999995E-3</v>
      </c>
      <c r="V197" s="81">
        <f t="shared" si="84"/>
        <v>-2.2999999999999687E-3</v>
      </c>
    </row>
    <row r="198" spans="1:22">
      <c r="A198" s="183">
        <v>166</v>
      </c>
      <c r="B198" s="167" t="s">
        <v>248</v>
      </c>
      <c r="C198" s="168" t="s">
        <v>247</v>
      </c>
      <c r="D198" s="51">
        <v>108701289.59</v>
      </c>
      <c r="E198" s="52">
        <f t="shared" si="78"/>
        <v>2.1125018423352707E-3</v>
      </c>
      <c r="F198" s="103">
        <v>110.97</v>
      </c>
      <c r="G198" s="103">
        <v>110.97</v>
      </c>
      <c r="H198" s="69">
        <v>67</v>
      </c>
      <c r="I198" s="73">
        <v>4.1000000000000003E-3</v>
      </c>
      <c r="J198" s="73">
        <v>0.1081</v>
      </c>
      <c r="K198" s="51">
        <v>108642426.18000001</v>
      </c>
      <c r="L198" s="52">
        <f t="shared" si="79"/>
        <v>2.1129657748965563E-3</v>
      </c>
      <c r="M198" s="103">
        <v>110.4</v>
      </c>
      <c r="N198" s="103">
        <v>110.4</v>
      </c>
      <c r="O198" s="69">
        <v>67</v>
      </c>
      <c r="P198" s="73">
        <v>-5.1000000000000004E-3</v>
      </c>
      <c r="Q198" s="73">
        <v>0.1024</v>
      </c>
      <c r="R198" s="80">
        <f t="shared" si="80"/>
        <v>-5.415152867276708E-4</v>
      </c>
      <c r="S198" s="80">
        <f t="shared" si="81"/>
        <v>-5.1365233846985062E-3</v>
      </c>
      <c r="T198" s="80">
        <f t="shared" si="82"/>
        <v>0</v>
      </c>
      <c r="U198" s="80">
        <f t="shared" si="83"/>
        <v>-9.1999999999999998E-3</v>
      </c>
      <c r="V198" s="81">
        <f t="shared" si="84"/>
        <v>-5.6999999999999967E-3</v>
      </c>
    </row>
    <row r="199" spans="1:22" ht="13.5" customHeight="1">
      <c r="A199" s="183">
        <v>167</v>
      </c>
      <c r="B199" s="167" t="s">
        <v>249</v>
      </c>
      <c r="C199" s="168" t="s">
        <v>90</v>
      </c>
      <c r="D199" s="51">
        <v>1239457457.9200001</v>
      </c>
      <c r="E199" s="52">
        <f t="shared" si="78"/>
        <v>2.4087627416639844E-2</v>
      </c>
      <c r="F199" s="83">
        <v>104.63</v>
      </c>
      <c r="G199" s="83">
        <v>104.63</v>
      </c>
      <c r="H199" s="54">
        <v>584</v>
      </c>
      <c r="I199" s="73">
        <v>2.3E-3</v>
      </c>
      <c r="J199" s="73">
        <v>0.1227</v>
      </c>
      <c r="K199" s="51">
        <v>1234243352.1700001</v>
      </c>
      <c r="L199" s="52">
        <f t="shared" si="79"/>
        <v>2.4004562975314874E-2</v>
      </c>
      <c r="M199" s="83">
        <v>104.91</v>
      </c>
      <c r="N199" s="83">
        <v>104.91</v>
      </c>
      <c r="O199" s="54">
        <v>587</v>
      </c>
      <c r="P199" s="73">
        <v>2.5999999999999999E-3</v>
      </c>
      <c r="Q199" s="73">
        <v>0.1231</v>
      </c>
      <c r="R199" s="80">
        <f t="shared" si="80"/>
        <v>-4.2067645942040401E-3</v>
      </c>
      <c r="S199" s="80">
        <f t="shared" si="81"/>
        <v>2.6760967217815267E-3</v>
      </c>
      <c r="T199" s="80">
        <f t="shared" si="82"/>
        <v>5.1369863013698627E-3</v>
      </c>
      <c r="U199" s="80">
        <f t="shared" si="83"/>
        <v>2.9999999999999992E-4</v>
      </c>
      <c r="V199" s="81">
        <f t="shared" si="84"/>
        <v>3.9999999999999758E-4</v>
      </c>
    </row>
    <row r="200" spans="1:22" ht="15.75" customHeight="1">
      <c r="A200" s="183">
        <v>168</v>
      </c>
      <c r="B200" s="167" t="s">
        <v>250</v>
      </c>
      <c r="C200" s="168" t="s">
        <v>49</v>
      </c>
      <c r="D200" s="51">
        <v>6985848496.8999996</v>
      </c>
      <c r="E200" s="52">
        <f t="shared" si="78"/>
        <v>0.13576304269838177</v>
      </c>
      <c r="F200" s="83">
        <v>133.35</v>
      </c>
      <c r="G200" s="83">
        <v>133.35</v>
      </c>
      <c r="H200" s="54">
        <v>1257</v>
      </c>
      <c r="I200" s="73">
        <v>2.0000000000000001E-4</v>
      </c>
      <c r="J200" s="73">
        <v>3.9399999999999998E-2</v>
      </c>
      <c r="K200" s="51">
        <v>6954001415.5200005</v>
      </c>
      <c r="L200" s="52">
        <f t="shared" si="79"/>
        <v>0.13524704396081416</v>
      </c>
      <c r="M200" s="83">
        <v>133.37</v>
      </c>
      <c r="N200" s="83">
        <v>133.37</v>
      </c>
      <c r="O200" s="54">
        <v>1257</v>
      </c>
      <c r="P200" s="73">
        <v>1E-4</v>
      </c>
      <c r="Q200" s="73">
        <v>3.9600000000000003E-2</v>
      </c>
      <c r="R200" s="80">
        <f t="shared" si="80"/>
        <v>-4.5587993203877013E-3</v>
      </c>
      <c r="S200" s="80">
        <f t="shared" si="81"/>
        <v>1.499812523435338E-4</v>
      </c>
      <c r="T200" s="80">
        <f t="shared" si="82"/>
        <v>0</v>
      </c>
      <c r="U200" s="80">
        <f t="shared" si="83"/>
        <v>-1E-4</v>
      </c>
      <c r="V200" s="81">
        <f t="shared" si="84"/>
        <v>2.0000000000000573E-4</v>
      </c>
    </row>
    <row r="201" spans="1:22">
      <c r="A201" s="183">
        <v>169</v>
      </c>
      <c r="B201" s="167" t="s">
        <v>251</v>
      </c>
      <c r="C201" s="168" t="s">
        <v>52</v>
      </c>
      <c r="D201" s="51">
        <v>3819444775.3400002</v>
      </c>
      <c r="E201" s="52">
        <f t="shared" si="78"/>
        <v>7.4227124213858867E-2</v>
      </c>
      <c r="F201" s="83">
        <v>1.2011000000000001</v>
      </c>
      <c r="G201" s="83">
        <v>1.2011000000000001</v>
      </c>
      <c r="H201" s="54">
        <v>1196</v>
      </c>
      <c r="I201" s="73">
        <v>9.5500000000000002E-2</v>
      </c>
      <c r="J201" s="73">
        <v>9.5899999999999999E-2</v>
      </c>
      <c r="K201" s="51">
        <v>3820283741.3600001</v>
      </c>
      <c r="L201" s="52">
        <f t="shared" si="79"/>
        <v>7.4299968066926764E-2</v>
      </c>
      <c r="M201" s="83">
        <v>1.2032</v>
      </c>
      <c r="N201" s="83">
        <v>1.2032</v>
      </c>
      <c r="O201" s="54">
        <v>1211</v>
      </c>
      <c r="P201" s="73">
        <v>9.5399999999999999E-2</v>
      </c>
      <c r="Q201" s="73">
        <v>9.5799999999999996E-2</v>
      </c>
      <c r="R201" s="80">
        <f t="shared" si="80"/>
        <v>2.1965653893380293E-4</v>
      </c>
      <c r="S201" s="80">
        <f t="shared" si="81"/>
        <v>1.7483973024727255E-3</v>
      </c>
      <c r="T201" s="80">
        <f t="shared" si="82"/>
        <v>1.254180602006689E-2</v>
      </c>
      <c r="U201" s="80">
        <f t="shared" si="83"/>
        <v>-1.0000000000000286E-4</v>
      </c>
      <c r="V201" s="81">
        <f t="shared" si="84"/>
        <v>-1.0000000000000286E-4</v>
      </c>
    </row>
    <row r="202" spans="1:22" ht="6" customHeight="1">
      <c r="A202" s="58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</row>
    <row r="203" spans="1:22">
      <c r="A203" s="177" t="s">
        <v>252</v>
      </c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</row>
    <row r="204" spans="1:22">
      <c r="A204" s="188">
        <v>170</v>
      </c>
      <c r="B204" s="167" t="s">
        <v>253</v>
      </c>
      <c r="C204" s="168" t="s">
        <v>236</v>
      </c>
      <c r="D204" s="51">
        <v>221457489.46000001</v>
      </c>
      <c r="E204" s="52">
        <f t="shared" ref="E204" si="90">(D204/$D$205)</f>
        <v>4.3038068476257694E-3</v>
      </c>
      <c r="F204" s="57">
        <v>1187.07</v>
      </c>
      <c r="G204" s="57">
        <v>1187.07</v>
      </c>
      <c r="H204" s="54">
        <v>86</v>
      </c>
      <c r="I204" s="73">
        <v>4.5999999999999999E-3</v>
      </c>
      <c r="J204" s="73">
        <v>0.18709999999999999</v>
      </c>
      <c r="K204" s="51">
        <v>222028763.5</v>
      </c>
      <c r="L204" s="52">
        <f t="shared" ref="L204" si="91">(K204/$K$205)</f>
        <v>4.3181949705433367E-3</v>
      </c>
      <c r="M204" s="57">
        <v>1189.19</v>
      </c>
      <c r="N204" s="57">
        <v>1189.19</v>
      </c>
      <c r="O204" s="54">
        <v>91</v>
      </c>
      <c r="P204" s="73">
        <v>1.8E-3</v>
      </c>
      <c r="Q204" s="73">
        <v>0.18920000000000001</v>
      </c>
      <c r="R204" s="80">
        <f t="shared" ref="R204" si="92">((K204-D204)/D204)</f>
        <v>2.5796103865937487E-3</v>
      </c>
      <c r="S204" s="80">
        <f t="shared" ref="S204" si="93">((N204-G204)/G204)</f>
        <v>1.7859098452493267E-3</v>
      </c>
      <c r="T204" s="80">
        <f t="shared" ref="T204" si="94">((O204-H204)/H204)</f>
        <v>5.8139534883720929E-2</v>
      </c>
      <c r="U204" s="80">
        <f t="shared" ref="U204" si="95">P204-I204</f>
        <v>-2.8E-3</v>
      </c>
      <c r="V204" s="81">
        <f t="shared" ref="V204" si="96">Q204-J204</f>
        <v>2.1000000000000185E-3</v>
      </c>
    </row>
    <row r="205" spans="1:22">
      <c r="A205" s="58"/>
      <c r="B205" s="59"/>
      <c r="C205" s="95" t="s">
        <v>53</v>
      </c>
      <c r="D205" s="71">
        <f>SUM(D186:D204)</f>
        <v>51456186883.054207</v>
      </c>
      <c r="E205" s="62">
        <f>(D205/$D$206)</f>
        <v>1.3446455818239675E-2</v>
      </c>
      <c r="F205" s="63"/>
      <c r="G205" s="98"/>
      <c r="H205" s="108">
        <f>SUM(H186:H204)</f>
        <v>29511</v>
      </c>
      <c r="I205" s="105"/>
      <c r="J205" s="105"/>
      <c r="K205" s="71">
        <f>SUM(K186:K204)</f>
        <v>51417030730.333893</v>
      </c>
      <c r="L205" s="62">
        <f>(K205/$K$206)</f>
        <v>1.3353746693083784E-2</v>
      </c>
      <c r="M205" s="63"/>
      <c r="N205" s="98"/>
      <c r="O205" s="108">
        <f>SUM(O186:O204)</f>
        <v>29385</v>
      </c>
      <c r="P205" s="105"/>
      <c r="Q205" s="105"/>
      <c r="R205" s="80">
        <f t="shared" si="80"/>
        <v>-7.6096102513979931E-4</v>
      </c>
      <c r="S205" s="80" t="e">
        <f t="shared" si="81"/>
        <v>#DIV/0!</v>
      </c>
      <c r="T205" s="80">
        <f t="shared" si="82"/>
        <v>-4.2695943885330892E-3</v>
      </c>
      <c r="U205" s="80">
        <f t="shared" si="83"/>
        <v>0</v>
      </c>
      <c r="V205" s="81">
        <f t="shared" si="84"/>
        <v>0</v>
      </c>
    </row>
    <row r="206" spans="1:22">
      <c r="A206" s="109"/>
      <c r="B206" s="109"/>
      <c r="C206" s="110" t="s">
        <v>254</v>
      </c>
      <c r="D206" s="111">
        <f>SUM(D24,D63,D102,D136,D144,D176,D182,D205)</f>
        <v>3826747179971.0659</v>
      </c>
      <c r="E206" s="112"/>
      <c r="F206" s="112"/>
      <c r="G206" s="113"/>
      <c r="H206" s="111">
        <f>SUM(H24,H63,H102,H136,H144,H176,H182,H205)</f>
        <v>795204</v>
      </c>
      <c r="I206" s="137"/>
      <c r="J206" s="137"/>
      <c r="K206" s="111">
        <f>SUM(K24,K63,K102,K136,K144,K176,K182,K205)</f>
        <v>3850382361750.5015</v>
      </c>
      <c r="L206" s="112"/>
      <c r="M206" s="112"/>
      <c r="N206" s="113"/>
      <c r="O206" s="111">
        <f>SUM(O24,O63,O102,O136,O144,O176,O182,O205)</f>
        <v>794643</v>
      </c>
      <c r="P206" s="138"/>
      <c r="Q206" s="111"/>
      <c r="R206" s="144">
        <f t="shared" si="80"/>
        <v>6.1763112815867421E-3</v>
      </c>
      <c r="S206" s="144"/>
      <c r="T206" s="144"/>
      <c r="U206" s="144"/>
      <c r="V206" s="144"/>
    </row>
    <row r="207" spans="1:22" ht="6.75" customHeight="1">
      <c r="A207" s="58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59"/>
    </row>
    <row r="208" spans="1:22" ht="14.4" customHeight="1">
      <c r="A208" s="178" t="s">
        <v>255</v>
      </c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</row>
    <row r="209" spans="1:22" ht="14.4" customHeight="1">
      <c r="A209" s="183">
        <v>1</v>
      </c>
      <c r="B209" s="167" t="s">
        <v>256</v>
      </c>
      <c r="C209" s="168" t="s">
        <v>191</v>
      </c>
      <c r="D209" s="51">
        <v>3970389137.6971598</v>
      </c>
      <c r="E209" s="52">
        <f t="shared" ref="E209" si="97">(D209/$D$205)</f>
        <v>7.7160578313367159E-2</v>
      </c>
      <c r="F209" s="57">
        <v>123.2</v>
      </c>
      <c r="G209" s="57">
        <v>123.2</v>
      </c>
      <c r="H209" s="54">
        <v>9</v>
      </c>
      <c r="I209" s="73">
        <v>0.301611384866461</v>
      </c>
      <c r="J209" s="73">
        <v>0.23994673204325501</v>
      </c>
      <c r="K209" s="51">
        <v>3993394500.9921598</v>
      </c>
      <c r="L209" s="52">
        <f>(K209/$K$210)</f>
        <v>1</v>
      </c>
      <c r="M209" s="57">
        <v>123.2</v>
      </c>
      <c r="N209" s="57">
        <v>123.2</v>
      </c>
      <c r="O209" s="54">
        <v>9</v>
      </c>
      <c r="P209" s="73">
        <v>0.29987384566740699</v>
      </c>
      <c r="Q209" s="73">
        <v>0.241743241504463</v>
      </c>
      <c r="R209" s="80">
        <f t="shared" ref="R209:R210" si="98">((K209-D209)/D209)</f>
        <v>5.794233889210988E-3</v>
      </c>
      <c r="S209" s="80">
        <f t="shared" ref="S209" si="99">((N209-G209)/G209)</f>
        <v>0</v>
      </c>
      <c r="T209" s="80">
        <f t="shared" ref="T209" si="100">((O209-H209)/H209)</f>
        <v>0</v>
      </c>
      <c r="U209" s="80">
        <f t="shared" ref="U209" si="101">P209-I209</f>
        <v>-1.7375391990540057E-3</v>
      </c>
      <c r="V209" s="81">
        <f t="shared" ref="V209" si="102">Q209-J209</f>
        <v>1.7965094612079902E-3</v>
      </c>
    </row>
    <row r="210" spans="1:22" ht="14.4" customHeight="1">
      <c r="A210" s="114"/>
      <c r="B210" s="114"/>
      <c r="C210" s="114" t="s">
        <v>53</v>
      </c>
      <c r="D210" s="114">
        <f>SUM(D209:D209)</f>
        <v>3970389137.6971598</v>
      </c>
      <c r="E210" s="114"/>
      <c r="F210" s="114"/>
      <c r="G210" s="114"/>
      <c r="H210" s="114">
        <f>SUM(H209:H209)</f>
        <v>9</v>
      </c>
      <c r="I210" s="114"/>
      <c r="J210" s="114"/>
      <c r="K210" s="114">
        <f>SUM(K209:K209)</f>
        <v>3993394500.9921598</v>
      </c>
      <c r="L210" s="62"/>
      <c r="M210" s="114"/>
      <c r="N210" s="114"/>
      <c r="O210" s="114">
        <f>SUM(O209:O209)</f>
        <v>9</v>
      </c>
      <c r="P210" s="114"/>
      <c r="Q210" s="114"/>
      <c r="R210" s="144">
        <f t="shared" si="98"/>
        <v>5.794233889210988E-3</v>
      </c>
      <c r="S210" s="114"/>
      <c r="T210" s="114"/>
      <c r="U210" s="114"/>
      <c r="V210" s="114"/>
    </row>
    <row r="211" spans="1:22" ht="6" customHeight="1">
      <c r="A211" s="58"/>
      <c r="B211" s="66"/>
      <c r="C211" s="95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59"/>
    </row>
    <row r="212" spans="1:22" ht="15.6">
      <c r="A212" s="176" t="s">
        <v>257</v>
      </c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</row>
    <row r="213" spans="1:22">
      <c r="A213" s="183">
        <v>1</v>
      </c>
      <c r="B213" s="167" t="s">
        <v>258</v>
      </c>
      <c r="C213" s="168" t="s">
        <v>259</v>
      </c>
      <c r="D213" s="51">
        <v>103175705234</v>
      </c>
      <c r="E213" s="52">
        <f>(D213/$D$215)</f>
        <v>0.8787130855353078</v>
      </c>
      <c r="F213" s="83">
        <v>107.39</v>
      </c>
      <c r="G213" s="83">
        <v>107.39</v>
      </c>
      <c r="H213" s="54">
        <v>0</v>
      </c>
      <c r="I213" s="73">
        <v>0.13800000000000001</v>
      </c>
      <c r="J213" s="73">
        <v>0.13800000000000001</v>
      </c>
      <c r="K213" s="51">
        <v>103175705234</v>
      </c>
      <c r="L213" s="52">
        <f>(K213/$K$215)</f>
        <v>0.87830635956619019</v>
      </c>
      <c r="M213" s="83">
        <v>107.39</v>
      </c>
      <c r="N213" s="83">
        <v>107.39</v>
      </c>
      <c r="O213" s="54">
        <v>0</v>
      </c>
      <c r="P213" s="73">
        <v>0.13800000000000001</v>
      </c>
      <c r="Q213" s="73">
        <v>0.13800000000000001</v>
      </c>
      <c r="R213" s="80">
        <f>((K213-D213)/D213)</f>
        <v>0</v>
      </c>
      <c r="S213" s="80">
        <f>((N213-G213)/G213)</f>
        <v>0</v>
      </c>
      <c r="T213" s="80" t="e">
        <f>((O213-H213)/H213)</f>
        <v>#DIV/0!</v>
      </c>
      <c r="U213" s="80">
        <f>P213-I213</f>
        <v>0</v>
      </c>
      <c r="V213" s="81">
        <f>Q213-J213</f>
        <v>0</v>
      </c>
    </row>
    <row r="214" spans="1:22">
      <c r="A214" s="183">
        <v>2</v>
      </c>
      <c r="B214" s="167" t="s">
        <v>260</v>
      </c>
      <c r="C214" s="168" t="s">
        <v>52</v>
      </c>
      <c r="D214" s="51">
        <v>14241125051.559999</v>
      </c>
      <c r="E214" s="52">
        <f>(D214/$D$215)</f>
        <v>0.12128691446469222</v>
      </c>
      <c r="F214" s="115">
        <v>1000000</v>
      </c>
      <c r="G214" s="115">
        <v>1000000</v>
      </c>
      <c r="H214" s="54">
        <v>26</v>
      </c>
      <c r="I214" s="73">
        <v>0.19359999999999999</v>
      </c>
      <c r="J214" s="73">
        <v>0.19359999999999999</v>
      </c>
      <c r="K214" s="51">
        <v>14295498418.629999</v>
      </c>
      <c r="L214" s="52">
        <f>(K214/$K$215)</f>
        <v>0.12169364043380979</v>
      </c>
      <c r="M214" s="115">
        <v>1000000</v>
      </c>
      <c r="N214" s="115">
        <v>1000000</v>
      </c>
      <c r="O214" s="54">
        <v>26</v>
      </c>
      <c r="P214" s="73">
        <v>0.19389999999999999</v>
      </c>
      <c r="Q214" s="73">
        <v>0.19389999999999999</v>
      </c>
      <c r="R214" s="80">
        <f>((K214-D214)/D214)</f>
        <v>3.8180527783543009E-3</v>
      </c>
      <c r="S214" s="80">
        <f>((N214-G214)/G214)</f>
        <v>0</v>
      </c>
      <c r="T214" s="80">
        <f>((O214-H214)/H214)</f>
        <v>0</v>
      </c>
      <c r="U214" s="80">
        <f>P214-I214</f>
        <v>2.9999999999999472E-4</v>
      </c>
      <c r="V214" s="81">
        <f>Q214-J214</f>
        <v>2.9999999999999472E-4</v>
      </c>
    </row>
    <row r="215" spans="1:22">
      <c r="A215" s="109"/>
      <c r="B215" s="109"/>
      <c r="C215" s="110" t="s">
        <v>261</v>
      </c>
      <c r="D215" s="114">
        <f>SUM(D213:D214)</f>
        <v>117416830285.56</v>
      </c>
      <c r="E215" s="116"/>
      <c r="F215" s="117"/>
      <c r="G215" s="117"/>
      <c r="H215" s="114">
        <f>SUM(H213:H214)</f>
        <v>26</v>
      </c>
      <c r="I215" s="139"/>
      <c r="J215" s="139"/>
      <c r="K215" s="114">
        <f>SUM(K213:K214)</f>
        <v>117471203652.63</v>
      </c>
      <c r="L215" s="116"/>
      <c r="M215" s="117"/>
      <c r="N215" s="117"/>
      <c r="O215" s="114">
        <f>SUM(O213:O214)</f>
        <v>26</v>
      </c>
      <c r="P215" s="139"/>
      <c r="Q215" s="114"/>
      <c r="R215" s="144">
        <f>((K215-D215)/D215)</f>
        <v>4.6307984075000361E-4</v>
      </c>
      <c r="S215" s="145"/>
      <c r="T215" s="145"/>
      <c r="U215" s="144"/>
      <c r="V215" s="146"/>
    </row>
    <row r="216" spans="1:22" ht="4.5" customHeight="1">
      <c r="A216" s="58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</row>
    <row r="217" spans="1:22" ht="15.6">
      <c r="A217" s="176" t="s">
        <v>262</v>
      </c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</row>
    <row r="218" spans="1:22">
      <c r="A218" s="183">
        <v>1</v>
      </c>
      <c r="B218" s="167" t="s">
        <v>263</v>
      </c>
      <c r="C218" s="168" t="s">
        <v>83</v>
      </c>
      <c r="D218" s="118">
        <v>940721896.91009343</v>
      </c>
      <c r="E218" s="119">
        <f t="shared" ref="E218:E229" si="103">(D218/$D$230)</f>
        <v>7.2798186016676175E-2</v>
      </c>
      <c r="F218" s="115">
        <v>221.68537690823459</v>
      </c>
      <c r="G218" s="115">
        <v>223.74129083539529</v>
      </c>
      <c r="H218" s="120">
        <v>61</v>
      </c>
      <c r="I218" s="75">
        <v>-7.4204684140366517E-4</v>
      </c>
      <c r="J218" s="75">
        <v>0.26633940882117324</v>
      </c>
      <c r="K218" s="118">
        <v>930476130.04562497</v>
      </c>
      <c r="L218" s="119">
        <f t="shared" ref="L218:L229" si="104">(K218/$K$230)</f>
        <v>7.3971029608496289E-2</v>
      </c>
      <c r="M218" s="115">
        <v>219.27091552860301</v>
      </c>
      <c r="N218" s="115">
        <v>221.428752704136</v>
      </c>
      <c r="O218" s="120">
        <v>61</v>
      </c>
      <c r="P218" s="75">
        <v>-1.09E-2</v>
      </c>
      <c r="Q218" s="75">
        <v>0.2525</v>
      </c>
      <c r="R218" s="80">
        <f>((K218-D218)/D218)</f>
        <v>-1.0891387665283253E-2</v>
      </c>
      <c r="S218" s="80">
        <f>((N218-G218)/G218)</f>
        <v>-1.0335768255492027E-2</v>
      </c>
      <c r="T218" s="80">
        <f>((O218-H218)/H218)</f>
        <v>0</v>
      </c>
      <c r="U218" s="80">
        <f>P218-I218</f>
        <v>-1.0157953158596335E-2</v>
      </c>
      <c r="V218" s="81">
        <f>Q218-J218</f>
        <v>-1.3839408821173238E-2</v>
      </c>
    </row>
    <row r="219" spans="1:22">
      <c r="A219" s="183">
        <v>2</v>
      </c>
      <c r="B219" s="167" t="s">
        <v>264</v>
      </c>
      <c r="C219" s="168" t="s">
        <v>236</v>
      </c>
      <c r="D219" s="118">
        <v>955641161.07000005</v>
      </c>
      <c r="E219" s="119">
        <f t="shared" si="103"/>
        <v>7.3952719966733277E-2</v>
      </c>
      <c r="F219" s="115">
        <v>27.18</v>
      </c>
      <c r="G219" s="115">
        <v>30.04</v>
      </c>
      <c r="H219" s="120">
        <v>212</v>
      </c>
      <c r="I219" s="75">
        <v>4.1099999999999998E-2</v>
      </c>
      <c r="J219" s="75">
        <v>0.2681</v>
      </c>
      <c r="K219" s="118">
        <v>968562631.63</v>
      </c>
      <c r="L219" s="119">
        <f t="shared" si="104"/>
        <v>7.6998831875969495E-2</v>
      </c>
      <c r="M219" s="115">
        <v>27.55</v>
      </c>
      <c r="N219" s="115">
        <v>30.45</v>
      </c>
      <c r="O219" s="120">
        <v>212</v>
      </c>
      <c r="P219" s="75">
        <v>1.35E-2</v>
      </c>
      <c r="Q219" s="75">
        <v>0.2853</v>
      </c>
      <c r="R219" s="80">
        <f t="shared" ref="R219:R230" si="105">((K219-D219)/D219)</f>
        <v>1.3521257859521451E-2</v>
      </c>
      <c r="S219" s="80">
        <f t="shared" ref="S219:S230" si="106">((N219-G219)/G219)</f>
        <v>1.364846870838882E-2</v>
      </c>
      <c r="T219" s="80">
        <f t="shared" ref="T219:T230" si="107">((O219-H219)/H219)</f>
        <v>0</v>
      </c>
      <c r="U219" s="80">
        <f t="shared" ref="U219:U230" si="108">P219-I219</f>
        <v>-2.76E-2</v>
      </c>
      <c r="V219" s="81">
        <f t="shared" ref="V219:V230" si="109">Q219-J219</f>
        <v>1.7199999999999993E-2</v>
      </c>
    </row>
    <row r="220" spans="1:22">
      <c r="A220" s="183">
        <v>3</v>
      </c>
      <c r="B220" s="167" t="s">
        <v>265</v>
      </c>
      <c r="C220" s="168" t="s">
        <v>43</v>
      </c>
      <c r="D220" s="118">
        <v>341162176.73000002</v>
      </c>
      <c r="E220" s="119">
        <f t="shared" si="103"/>
        <v>2.6400988097567711E-2</v>
      </c>
      <c r="F220" s="115">
        <v>25.454391000000001</v>
      </c>
      <c r="G220" s="115">
        <v>25.750719</v>
      </c>
      <c r="H220" s="120">
        <v>167</v>
      </c>
      <c r="I220" s="75">
        <v>-1.2851166682463E-2</v>
      </c>
      <c r="J220" s="75">
        <v>0.10280656290670542</v>
      </c>
      <c r="K220" s="118">
        <v>340962219.29000002</v>
      </c>
      <c r="L220" s="119">
        <f t="shared" si="104"/>
        <v>2.7105828515173722E-2</v>
      </c>
      <c r="M220" s="115">
        <v>25.439471999999999</v>
      </c>
      <c r="N220" s="115">
        <v>25.749616</v>
      </c>
      <c r="O220" s="120">
        <v>167</v>
      </c>
      <c r="P220" s="75">
        <v>-5.8610670712844204E-4</v>
      </c>
      <c r="Q220" s="75">
        <v>0.10217142859957699</v>
      </c>
      <c r="R220" s="80">
        <f t="shared" si="105"/>
        <v>-5.8610670712845874E-4</v>
      </c>
      <c r="S220" s="80">
        <f t="shared" si="106"/>
        <v>-4.283375543807224E-5</v>
      </c>
      <c r="T220" s="80">
        <f t="shared" si="107"/>
        <v>0</v>
      </c>
      <c r="U220" s="80">
        <f t="shared" si="108"/>
        <v>1.2265059975334558E-2</v>
      </c>
      <c r="V220" s="81">
        <f t="shared" si="109"/>
        <v>-6.3513430712842933E-4</v>
      </c>
    </row>
    <row r="221" spans="1:22">
      <c r="A221" s="183">
        <v>4</v>
      </c>
      <c r="B221" s="167" t="s">
        <v>266</v>
      </c>
      <c r="C221" s="168" t="s">
        <v>43</v>
      </c>
      <c r="D221" s="118">
        <v>833902539.79999995</v>
      </c>
      <c r="E221" s="119">
        <f t="shared" si="103"/>
        <v>6.4531922145680584E-2</v>
      </c>
      <c r="F221" s="115">
        <v>62.574849999999998</v>
      </c>
      <c r="G221" s="115">
        <v>63.026651999999999</v>
      </c>
      <c r="H221" s="120">
        <v>99</v>
      </c>
      <c r="I221" s="75">
        <v>3.4042847553714894E-2</v>
      </c>
      <c r="J221" s="75">
        <v>0.68848818092772102</v>
      </c>
      <c r="K221" s="118">
        <v>819986732.49000001</v>
      </c>
      <c r="L221" s="119">
        <f t="shared" si="104"/>
        <v>6.5187338942932091E-2</v>
      </c>
      <c r="M221" s="115">
        <v>61.530628999999998</v>
      </c>
      <c r="N221" s="115">
        <v>62.003765999999999</v>
      </c>
      <c r="O221" s="120">
        <v>99</v>
      </c>
      <c r="P221" s="75">
        <v>-1.6687570364442701E-2</v>
      </c>
      <c r="Q221" s="75">
        <v>0.66075460929521701</v>
      </c>
      <c r="R221" s="80">
        <f t="shared" si="105"/>
        <v>-1.6687570364442659E-2</v>
      </c>
      <c r="S221" s="80">
        <f t="shared" si="106"/>
        <v>-1.622941989683983E-2</v>
      </c>
      <c r="T221" s="80">
        <f t="shared" si="107"/>
        <v>0</v>
      </c>
      <c r="U221" s="80">
        <f t="shared" si="108"/>
        <v>-5.0730417918157591E-2</v>
      </c>
      <c r="V221" s="81">
        <f t="shared" si="109"/>
        <v>-2.7733571632504006E-2</v>
      </c>
    </row>
    <row r="222" spans="1:22">
      <c r="A222" s="183">
        <v>5</v>
      </c>
      <c r="B222" s="167" t="s">
        <v>267</v>
      </c>
      <c r="C222" s="168" t="s">
        <v>268</v>
      </c>
      <c r="D222" s="118">
        <v>1338824231.7</v>
      </c>
      <c r="E222" s="119">
        <f t="shared" si="103"/>
        <v>0.1036055137900601</v>
      </c>
      <c r="F222" s="115">
        <v>39500</v>
      </c>
      <c r="G222" s="115">
        <v>45500</v>
      </c>
      <c r="H222" s="120">
        <v>226</v>
      </c>
      <c r="I222" s="75">
        <v>0</v>
      </c>
      <c r="J222" s="75">
        <v>1.29</v>
      </c>
      <c r="K222" s="118">
        <v>1395719136.23</v>
      </c>
      <c r="L222" s="119">
        <f t="shared" si="104"/>
        <v>0.11095693722540931</v>
      </c>
      <c r="M222" s="115">
        <v>40200</v>
      </c>
      <c r="N222" s="115">
        <v>44770</v>
      </c>
      <c r="O222" s="120">
        <v>226</v>
      </c>
      <c r="P222" s="75">
        <v>-0.02</v>
      </c>
      <c r="Q222" s="75">
        <v>1.39</v>
      </c>
      <c r="R222" s="80">
        <f t="shared" si="105"/>
        <v>4.2496171777348601E-2</v>
      </c>
      <c r="S222" s="80">
        <f t="shared" si="106"/>
        <v>-1.6043956043956045E-2</v>
      </c>
      <c r="T222" s="80">
        <f t="shared" si="107"/>
        <v>0</v>
      </c>
      <c r="U222" s="80">
        <f t="shared" si="108"/>
        <v>-0.02</v>
      </c>
      <c r="V222" s="81">
        <f t="shared" si="109"/>
        <v>9.9999999999999867E-2</v>
      </c>
    </row>
    <row r="223" spans="1:22">
      <c r="A223" s="183">
        <v>6</v>
      </c>
      <c r="B223" s="167" t="s">
        <v>269</v>
      </c>
      <c r="C223" s="168" t="s">
        <v>270</v>
      </c>
      <c r="D223" s="118">
        <v>1120843455.7</v>
      </c>
      <c r="E223" s="119">
        <f t="shared" si="103"/>
        <v>8.6736973649313251E-2</v>
      </c>
      <c r="F223" s="115">
        <v>840</v>
      </c>
      <c r="G223" s="115">
        <v>840</v>
      </c>
      <c r="H223" s="120">
        <v>130</v>
      </c>
      <c r="I223" s="75">
        <v>-5.3E-3</v>
      </c>
      <c r="J223" s="75">
        <v>0.27279999999999999</v>
      </c>
      <c r="K223" s="118">
        <v>1116823696.45</v>
      </c>
      <c r="L223" s="119">
        <f t="shared" si="104"/>
        <v>8.8785296097302777E-2</v>
      </c>
      <c r="M223" s="115">
        <v>273.08999999999997</v>
      </c>
      <c r="N223" s="115">
        <v>276.94</v>
      </c>
      <c r="O223" s="120">
        <v>130</v>
      </c>
      <c r="P223" s="75">
        <v>-4.7999999999999996E-3</v>
      </c>
      <c r="Q223" s="75">
        <v>0.26690000000000003</v>
      </c>
      <c r="R223" s="80">
        <f t="shared" si="105"/>
        <v>-3.586369915939368E-3</v>
      </c>
      <c r="S223" s="80">
        <f t="shared" si="106"/>
        <v>-0.6703095238095238</v>
      </c>
      <c r="T223" s="80">
        <f t="shared" si="107"/>
        <v>0</v>
      </c>
      <c r="U223" s="80">
        <f t="shared" si="108"/>
        <v>5.0000000000000044E-4</v>
      </c>
      <c r="V223" s="81">
        <f t="shared" si="109"/>
        <v>-5.8999999999999608E-3</v>
      </c>
    </row>
    <row r="224" spans="1:22">
      <c r="A224" s="183">
        <v>7</v>
      </c>
      <c r="B224" s="167" t="s">
        <v>271</v>
      </c>
      <c r="C224" s="168" t="s">
        <v>270</v>
      </c>
      <c r="D224" s="118">
        <v>811790848.19000006</v>
      </c>
      <c r="E224" s="119">
        <f t="shared" si="103"/>
        <v>6.2820798970749339E-2</v>
      </c>
      <c r="F224" s="115">
        <v>332.1</v>
      </c>
      <c r="G224" s="115">
        <v>332.1</v>
      </c>
      <c r="H224" s="120">
        <v>591</v>
      </c>
      <c r="I224" s="75">
        <v>0</v>
      </c>
      <c r="J224" s="75">
        <v>0.33639999999999998</v>
      </c>
      <c r="K224" s="118">
        <v>809921801.91999996</v>
      </c>
      <c r="L224" s="119">
        <f t="shared" si="104"/>
        <v>6.4387196679030673E-2</v>
      </c>
      <c r="M224" s="115">
        <v>205.15</v>
      </c>
      <c r="N224" s="115">
        <v>208.74</v>
      </c>
      <c r="O224" s="120">
        <v>591</v>
      </c>
      <c r="P224" s="75">
        <v>-2.3E-3</v>
      </c>
      <c r="Q224" s="75">
        <v>0.33329999999999999</v>
      </c>
      <c r="R224" s="80">
        <f t="shared" si="105"/>
        <v>-2.3023741572935903E-3</v>
      </c>
      <c r="S224" s="80">
        <f t="shared" si="106"/>
        <v>-0.3714543812104788</v>
      </c>
      <c r="T224" s="80">
        <f t="shared" si="107"/>
        <v>0</v>
      </c>
      <c r="U224" s="80">
        <f t="shared" si="108"/>
        <v>-2.3E-3</v>
      </c>
      <c r="V224" s="81">
        <f t="shared" si="109"/>
        <v>-3.0999999999999917E-3</v>
      </c>
    </row>
    <row r="225" spans="1:22">
      <c r="A225" s="183">
        <v>8</v>
      </c>
      <c r="B225" s="167" t="s">
        <v>272</v>
      </c>
      <c r="C225" s="168" t="s">
        <v>273</v>
      </c>
      <c r="D225" s="118">
        <v>54394179.240000002</v>
      </c>
      <c r="E225" s="119">
        <f t="shared" si="103"/>
        <v>4.2093179626671228E-3</v>
      </c>
      <c r="F225" s="115">
        <v>15.91</v>
      </c>
      <c r="G225" s="115">
        <v>16.010000000000002</v>
      </c>
      <c r="H225" s="120">
        <v>61</v>
      </c>
      <c r="I225" s="75">
        <v>0</v>
      </c>
      <c r="J225" s="75">
        <v>0.43230000000000002</v>
      </c>
      <c r="K225" s="118">
        <v>55168827.840000004</v>
      </c>
      <c r="L225" s="119">
        <f t="shared" si="104"/>
        <v>4.385813741851252E-3</v>
      </c>
      <c r="M225" s="115">
        <v>15.85</v>
      </c>
      <c r="N225" s="115">
        <v>15.95</v>
      </c>
      <c r="O225" s="120">
        <v>61</v>
      </c>
      <c r="P225" s="75">
        <v>0</v>
      </c>
      <c r="Q225" s="75">
        <v>0.43230000000000002</v>
      </c>
      <c r="R225" s="80">
        <f t="shared" si="105"/>
        <v>1.4241387788610034E-2</v>
      </c>
      <c r="S225" s="80">
        <f t="shared" si="106"/>
        <v>-3.7476577139289361E-3</v>
      </c>
      <c r="T225" s="80">
        <f t="shared" si="107"/>
        <v>0</v>
      </c>
      <c r="U225" s="80">
        <f t="shared" si="108"/>
        <v>0</v>
      </c>
      <c r="V225" s="81">
        <f t="shared" si="109"/>
        <v>0</v>
      </c>
    </row>
    <row r="226" spans="1:22">
      <c r="A226" s="183">
        <v>9</v>
      </c>
      <c r="B226" s="167" t="s">
        <v>274</v>
      </c>
      <c r="C226" s="168" t="s">
        <v>273</v>
      </c>
      <c r="D226" s="121">
        <v>658487138.20000005</v>
      </c>
      <c r="E226" s="119">
        <f t="shared" si="103"/>
        <v>5.0957322598448831E-2</v>
      </c>
      <c r="F226" s="115">
        <v>10.210000000000001</v>
      </c>
      <c r="G226" s="115">
        <v>10.31</v>
      </c>
      <c r="H226" s="120">
        <v>107</v>
      </c>
      <c r="I226" s="75">
        <v>0</v>
      </c>
      <c r="J226" s="75">
        <v>0.1552</v>
      </c>
      <c r="K226" s="121">
        <v>658798598.76999998</v>
      </c>
      <c r="L226" s="119">
        <f t="shared" si="104"/>
        <v>5.2373198067168052E-2</v>
      </c>
      <c r="M226" s="115">
        <v>10.18</v>
      </c>
      <c r="N226" s="115">
        <v>10.28</v>
      </c>
      <c r="O226" s="120">
        <v>106</v>
      </c>
      <c r="P226" s="75">
        <v>0</v>
      </c>
      <c r="Q226" s="75">
        <v>0.1552</v>
      </c>
      <c r="R226" s="80">
        <f t="shared" si="105"/>
        <v>4.72994158779354E-4</v>
      </c>
      <c r="S226" s="80">
        <f t="shared" si="106"/>
        <v>-2.9097963142581122E-3</v>
      </c>
      <c r="T226" s="80">
        <f t="shared" si="107"/>
        <v>-9.3457943925233638E-3</v>
      </c>
      <c r="U226" s="80">
        <f t="shared" si="108"/>
        <v>0</v>
      </c>
      <c r="V226" s="81">
        <f t="shared" si="109"/>
        <v>0</v>
      </c>
    </row>
    <row r="227" spans="1:22" ht="15" customHeight="1">
      <c r="A227" s="183">
        <v>10</v>
      </c>
      <c r="B227" s="167" t="s">
        <v>275</v>
      </c>
      <c r="C227" s="168" t="s">
        <v>273</v>
      </c>
      <c r="D227" s="118">
        <v>454293943.97000003</v>
      </c>
      <c r="E227" s="119">
        <f t="shared" si="103"/>
        <v>3.5155740658323657E-2</v>
      </c>
      <c r="F227" s="115">
        <v>128.05000000000001</v>
      </c>
      <c r="G227" s="115">
        <v>130.05000000000001</v>
      </c>
      <c r="H227" s="120">
        <v>280</v>
      </c>
      <c r="I227" s="75">
        <v>3.39E-2</v>
      </c>
      <c r="J227" s="75">
        <v>0.41889999999999999</v>
      </c>
      <c r="K227" s="118">
        <v>96357358.969999999</v>
      </c>
      <c r="L227" s="119">
        <f t="shared" si="104"/>
        <v>7.6602212815678333E-3</v>
      </c>
      <c r="M227" s="115">
        <v>131.71</v>
      </c>
      <c r="N227" s="115">
        <v>133.71</v>
      </c>
      <c r="O227" s="120">
        <v>281</v>
      </c>
      <c r="P227" s="75">
        <v>-1.43E-2</v>
      </c>
      <c r="Q227" s="75">
        <v>0.39860000000000001</v>
      </c>
      <c r="R227" s="80">
        <f t="shared" si="105"/>
        <v>-0.78789644843611839</v>
      </c>
      <c r="S227" s="80">
        <f t="shared" si="106"/>
        <v>2.8143021914648184E-2</v>
      </c>
      <c r="T227" s="80">
        <f t="shared" si="107"/>
        <v>3.5714285714285713E-3</v>
      </c>
      <c r="U227" s="80">
        <f t="shared" si="108"/>
        <v>-4.82E-2</v>
      </c>
      <c r="V227" s="81">
        <f t="shared" si="109"/>
        <v>-2.0299999999999985E-2</v>
      </c>
    </row>
    <row r="228" spans="1:22">
      <c r="A228" s="183">
        <v>11</v>
      </c>
      <c r="B228" s="167" t="s">
        <v>276</v>
      </c>
      <c r="C228" s="168" t="s">
        <v>273</v>
      </c>
      <c r="D228" s="118">
        <v>5349149838.3199997</v>
      </c>
      <c r="E228" s="119">
        <f t="shared" si="103"/>
        <v>0.4139463599605242</v>
      </c>
      <c r="F228" s="115">
        <v>37.049999999999997</v>
      </c>
      <c r="G228" s="115">
        <v>37.25</v>
      </c>
      <c r="H228" s="120">
        <v>285</v>
      </c>
      <c r="I228" s="75">
        <v>4.0500000000000001E-2</v>
      </c>
      <c r="J228" s="75">
        <v>0.4259</v>
      </c>
      <c r="K228" s="118">
        <v>5323285283.4099998</v>
      </c>
      <c r="L228" s="119">
        <f t="shared" si="104"/>
        <v>0.4231907521306168</v>
      </c>
      <c r="M228" s="115">
        <v>36.9</v>
      </c>
      <c r="N228" s="115">
        <v>37.1</v>
      </c>
      <c r="O228" s="120">
        <v>284</v>
      </c>
      <c r="P228" s="75">
        <v>0</v>
      </c>
      <c r="Q228" s="75">
        <v>0.4259</v>
      </c>
      <c r="R228" s="80">
        <f t="shared" si="105"/>
        <v>-4.8352646105952217E-3</v>
      </c>
      <c r="S228" s="80">
        <f t="shared" si="106"/>
        <v>-4.0268456375838549E-3</v>
      </c>
      <c r="T228" s="80">
        <f t="shared" si="107"/>
        <v>-3.5087719298245615E-3</v>
      </c>
      <c r="U228" s="80">
        <f t="shared" si="108"/>
        <v>-4.0500000000000001E-2</v>
      </c>
      <c r="V228" s="81">
        <f t="shared" si="109"/>
        <v>0</v>
      </c>
    </row>
    <row r="229" spans="1:22">
      <c r="A229" s="183">
        <v>12</v>
      </c>
      <c r="B229" s="167" t="s">
        <v>277</v>
      </c>
      <c r="C229" s="168" t="s">
        <v>273</v>
      </c>
      <c r="D229" s="121">
        <v>63114658.770000003</v>
      </c>
      <c r="E229" s="119">
        <f t="shared" si="103"/>
        <v>4.8841561832557411E-3</v>
      </c>
      <c r="F229" s="115">
        <v>34.950000000000003</v>
      </c>
      <c r="G229" s="115">
        <v>35.15</v>
      </c>
      <c r="H229" s="120">
        <v>60</v>
      </c>
      <c r="I229" s="75">
        <v>0</v>
      </c>
      <c r="J229" s="75">
        <v>0.69810000000000005</v>
      </c>
      <c r="K229" s="121">
        <v>62863886.539999999</v>
      </c>
      <c r="L229" s="119">
        <f t="shared" si="104"/>
        <v>4.9975558344817267E-3</v>
      </c>
      <c r="M229" s="115">
        <v>35.159999999999997</v>
      </c>
      <c r="N229" s="115">
        <v>35.36</v>
      </c>
      <c r="O229" s="120">
        <v>60</v>
      </c>
      <c r="P229" s="75">
        <v>0</v>
      </c>
      <c r="Q229" s="75">
        <v>0.69810000000000005</v>
      </c>
      <c r="R229" s="80">
        <f t="shared" si="105"/>
        <v>-3.9732802947387968E-3</v>
      </c>
      <c r="S229" s="80">
        <f t="shared" si="106"/>
        <v>5.9743954480796831E-3</v>
      </c>
      <c r="T229" s="80">
        <f t="shared" si="107"/>
        <v>0</v>
      </c>
      <c r="U229" s="80">
        <f t="shared" si="108"/>
        <v>0</v>
      </c>
      <c r="V229" s="81">
        <f t="shared" si="109"/>
        <v>0</v>
      </c>
    </row>
    <row r="230" spans="1:22">
      <c r="A230" s="122"/>
      <c r="B230" s="122"/>
      <c r="C230" s="123" t="s">
        <v>278</v>
      </c>
      <c r="D230" s="114">
        <f>SUM(D218:D229)</f>
        <v>12922326068.600094</v>
      </c>
      <c r="E230" s="116"/>
      <c r="F230" s="116"/>
      <c r="G230" s="117"/>
      <c r="H230" s="114">
        <f>SUM(H218:H229)</f>
        <v>2279</v>
      </c>
      <c r="I230" s="139"/>
      <c r="J230" s="139"/>
      <c r="K230" s="114">
        <f>SUM(K218:K229)</f>
        <v>12578926303.585625</v>
      </c>
      <c r="L230" s="116"/>
      <c r="M230" s="116"/>
      <c r="N230" s="117"/>
      <c r="O230" s="114">
        <f>SUM(O218:O229)</f>
        <v>2278</v>
      </c>
      <c r="P230" s="139"/>
      <c r="Q230" s="139"/>
      <c r="R230" s="80">
        <f t="shared" si="105"/>
        <v>-2.6574144870782575E-2</v>
      </c>
      <c r="S230" s="80" t="e">
        <f t="shared" si="106"/>
        <v>#DIV/0!</v>
      </c>
      <c r="T230" s="80">
        <f t="shared" si="107"/>
        <v>-4.3878894251864854E-4</v>
      </c>
      <c r="U230" s="80">
        <f t="shared" si="108"/>
        <v>0</v>
      </c>
      <c r="V230" s="81">
        <f t="shared" si="109"/>
        <v>0</v>
      </c>
    </row>
    <row r="231" spans="1:22">
      <c r="A231" s="124"/>
      <c r="B231" s="124"/>
      <c r="C231" s="125" t="s">
        <v>279</v>
      </c>
      <c r="D231" s="126">
        <f>SUM(D206,D210,D215,D230)</f>
        <v>3961056725462.9233</v>
      </c>
      <c r="E231" s="127"/>
      <c r="F231" s="127"/>
      <c r="G231" s="128"/>
      <c r="H231" s="126">
        <f>SUM(H206,H210,H215,H230)</f>
        <v>797518</v>
      </c>
      <c r="I231" s="140"/>
      <c r="J231" s="140"/>
      <c r="K231" s="126">
        <f>SUM(K206,K210,K215,K230)</f>
        <v>3984425886207.709</v>
      </c>
      <c r="L231" s="127"/>
      <c r="M231" s="127"/>
      <c r="N231" s="126"/>
      <c r="O231" s="126">
        <f>SUM(O206,O210,O215,O230)</f>
        <v>796956</v>
      </c>
      <c r="P231" s="141"/>
      <c r="Q231" s="126"/>
      <c r="R231" s="147"/>
      <c r="S231" s="148"/>
      <c r="T231" s="148"/>
      <c r="U231" s="149"/>
      <c r="V231" s="149"/>
    </row>
    <row r="232" spans="1:22">
      <c r="A232" s="129" t="s">
        <v>280</v>
      </c>
      <c r="B232" s="165" t="s">
        <v>298</v>
      </c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</row>
    <row r="233" spans="1:22">
      <c r="B233" s="166"/>
    </row>
    <row r="234" spans="1:22">
      <c r="B234" s="131"/>
      <c r="C234" s="131"/>
      <c r="D234" s="132"/>
      <c r="K234" s="132"/>
    </row>
    <row r="235" spans="1:22" ht="15">
      <c r="B235" s="133"/>
      <c r="C235" s="134"/>
      <c r="D235" s="135"/>
      <c r="F235" s="136"/>
      <c r="G235" s="136"/>
      <c r="I235" s="142"/>
      <c r="J235" s="143"/>
    </row>
    <row r="238" spans="1:22">
      <c r="B238" s="131"/>
    </row>
  </sheetData>
  <sheetProtection algorithmName="SHA-512" hashValue="miJIqHWPkaX1FWVWu20rFK76yY2lTkWLMU3ZM/6mntWTi/Yt+eosDhk8AyFREZNjAHjntZhPmjOjZGUi2l6zLw==" saltValue="9QhLq2s1juB26ZassNVxRA==" spinCount="100000" sheet="1" objects="1" scenarios="1"/>
  <mergeCells count="34">
    <mergeCell ref="A208:V208"/>
    <mergeCell ref="A212:V212"/>
    <mergeCell ref="B216:V216"/>
    <mergeCell ref="A217:V217"/>
    <mergeCell ref="B188:V188"/>
    <mergeCell ref="A189:V189"/>
    <mergeCell ref="B202:V202"/>
    <mergeCell ref="A203:V203"/>
    <mergeCell ref="B207:U207"/>
    <mergeCell ref="B177:V177"/>
    <mergeCell ref="A178:V178"/>
    <mergeCell ref="B183:V183"/>
    <mergeCell ref="A184:V184"/>
    <mergeCell ref="A185:V185"/>
    <mergeCell ref="A122:V122"/>
    <mergeCell ref="B137:V137"/>
    <mergeCell ref="A138:V138"/>
    <mergeCell ref="B145:V145"/>
    <mergeCell ref="A146:V146"/>
    <mergeCell ref="A65:V65"/>
    <mergeCell ref="B103:V103"/>
    <mergeCell ref="A104:V104"/>
    <mergeCell ref="A105:V105"/>
    <mergeCell ref="B121:V121"/>
    <mergeCell ref="B4:V4"/>
    <mergeCell ref="A5:V5"/>
    <mergeCell ref="B25:V25"/>
    <mergeCell ref="A26:V26"/>
    <mergeCell ref="B64:V64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88 E88 E70 L45 E45" formula="1"/>
    <ignoredError sqref="S144 S24 T36 S63 S102 S136 T154 S176 S182 S205 S230 T213:T214" evalError="1"/>
    <ignoredError sqref="P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5" sqref="G5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55"/>
      <c r="B1" s="155"/>
      <c r="C1" s="155"/>
      <c r="D1" s="155"/>
      <c r="E1" s="19"/>
    </row>
    <row r="2" spans="1:5" ht="27.6">
      <c r="A2" s="26" t="s">
        <v>281</v>
      </c>
      <c r="B2" s="27" t="s">
        <v>295</v>
      </c>
      <c r="C2" s="27" t="s">
        <v>301</v>
      </c>
      <c r="D2" s="28"/>
      <c r="E2" s="19"/>
    </row>
    <row r="3" spans="1:5">
      <c r="A3" s="29" t="s">
        <v>17</v>
      </c>
      <c r="B3" s="30">
        <f t="shared" ref="B3:C10" si="0">B13</f>
        <v>30.063948704580003</v>
      </c>
      <c r="C3" s="30">
        <f t="shared" si="0"/>
        <v>29.963223384749995</v>
      </c>
      <c r="D3" s="28"/>
      <c r="E3" s="19"/>
    </row>
    <row r="4" spans="1:5" ht="17.25" customHeight="1">
      <c r="A4" s="26" t="s">
        <v>54</v>
      </c>
      <c r="B4" s="31">
        <f t="shared" si="0"/>
        <v>1568.5114634132885</v>
      </c>
      <c r="C4" s="31">
        <f t="shared" si="0"/>
        <v>1581.147259519779</v>
      </c>
      <c r="D4" s="28"/>
      <c r="E4" s="19"/>
    </row>
    <row r="5" spans="1:5" ht="19.5" customHeight="1">
      <c r="A5" s="26" t="s">
        <v>282</v>
      </c>
      <c r="B5" s="30">
        <f t="shared" si="0"/>
        <v>211.30871801890351</v>
      </c>
      <c r="C5" s="30">
        <f t="shared" si="0"/>
        <v>211.81708627375338</v>
      </c>
      <c r="D5" s="28"/>
      <c r="E5" s="19"/>
    </row>
    <row r="6" spans="1:5">
      <c r="A6" s="26" t="s">
        <v>158</v>
      </c>
      <c r="B6" s="31">
        <f t="shared" si="0"/>
        <v>1806.7945870197611</v>
      </c>
      <c r="C6" s="31">
        <f t="shared" si="0"/>
        <v>1817.8268801037505</v>
      </c>
      <c r="D6" s="28"/>
      <c r="E6" s="19"/>
    </row>
    <row r="7" spans="1:5">
      <c r="A7" s="26" t="s">
        <v>283</v>
      </c>
      <c r="B7" s="30">
        <f t="shared" si="0"/>
        <v>99.71236588885381</v>
      </c>
      <c r="C7" s="30">
        <f t="shared" si="0"/>
        <v>99.287613486429763</v>
      </c>
      <c r="D7" s="28"/>
      <c r="E7" s="19"/>
    </row>
    <row r="8" spans="1:5">
      <c r="A8" s="26" t="s">
        <v>196</v>
      </c>
      <c r="B8" s="32">
        <f t="shared" si="0"/>
        <v>53.247703123154459</v>
      </c>
      <c r="C8" s="32">
        <f t="shared" si="0"/>
        <v>53.277880968774504</v>
      </c>
      <c r="D8" s="28"/>
      <c r="E8" s="19"/>
    </row>
    <row r="9" spans="1:5">
      <c r="A9" s="26" t="s">
        <v>228</v>
      </c>
      <c r="B9" s="30">
        <f t="shared" si="0"/>
        <v>5.6522069194699993</v>
      </c>
      <c r="C9" s="30">
        <f t="shared" si="0"/>
        <v>5.6453872829300007</v>
      </c>
      <c r="D9" s="28"/>
      <c r="E9" s="19"/>
    </row>
    <row r="10" spans="1:5">
      <c r="A10" s="26" t="s">
        <v>284</v>
      </c>
      <c r="B10" s="30">
        <f t="shared" si="0"/>
        <v>51.456186883054208</v>
      </c>
      <c r="C10" s="30">
        <f t="shared" si="0"/>
        <v>51.417030730333892</v>
      </c>
      <c r="D10" s="28"/>
      <c r="E10" s="19"/>
    </row>
    <row r="11" spans="1:5">
      <c r="A11" s="26"/>
      <c r="B11" s="30"/>
      <c r="C11" s="30"/>
      <c r="D11" s="28"/>
      <c r="E11" s="19"/>
    </row>
    <row r="12" spans="1:5">
      <c r="A12" s="155"/>
      <c r="B12" s="155"/>
      <c r="C12" s="155"/>
      <c r="D12" s="155"/>
      <c r="E12" s="19"/>
    </row>
    <row r="13" spans="1:5">
      <c r="A13" s="33" t="s">
        <v>17</v>
      </c>
      <c r="B13" s="34">
        <f>'Weekly Valuation'!D24/1000000000</f>
        <v>30.063948704580003</v>
      </c>
      <c r="C13" s="35">
        <f>'Weekly Valuation'!K24/1000000000</f>
        <v>29.963223384749995</v>
      </c>
      <c r="D13" s="155"/>
      <c r="E13" s="19"/>
    </row>
    <row r="14" spans="1:5">
      <c r="A14" s="36" t="s">
        <v>54</v>
      </c>
      <c r="B14" s="34">
        <f>'Weekly Valuation'!D63/1000000000</f>
        <v>1568.5114634132885</v>
      </c>
      <c r="C14" s="37">
        <f>'Weekly Valuation'!K63/1000000000</f>
        <v>1581.147259519779</v>
      </c>
      <c r="D14" s="155"/>
      <c r="E14" s="19"/>
    </row>
    <row r="15" spans="1:5">
      <c r="A15" s="36" t="s">
        <v>282</v>
      </c>
      <c r="B15" s="34">
        <f>'Weekly Valuation'!D102/1000000000</f>
        <v>211.30871801890351</v>
      </c>
      <c r="C15" s="35">
        <f>'Weekly Valuation'!K102/1000000000</f>
        <v>211.81708627375338</v>
      </c>
      <c r="D15" s="155"/>
      <c r="E15" s="19"/>
    </row>
    <row r="16" spans="1:5">
      <c r="A16" s="36" t="s">
        <v>158</v>
      </c>
      <c r="B16" s="34">
        <f>'Weekly Valuation'!D136/1000000000</f>
        <v>1806.7945870197611</v>
      </c>
      <c r="C16" s="37">
        <f>'Weekly Valuation'!K136/1000000000</f>
        <v>1817.8268801037505</v>
      </c>
      <c r="D16" s="155"/>
      <c r="E16" s="19"/>
    </row>
    <row r="17" spans="1:5">
      <c r="A17" s="36" t="s">
        <v>283</v>
      </c>
      <c r="B17" s="34">
        <f>'Weekly Valuation'!D144/1000000000</f>
        <v>99.71236588885381</v>
      </c>
      <c r="C17" s="35">
        <f>'Weekly Valuation'!K144/1000000000</f>
        <v>99.287613486429763</v>
      </c>
      <c r="D17" s="155"/>
      <c r="E17" s="19"/>
    </row>
    <row r="18" spans="1:5">
      <c r="A18" s="36" t="s">
        <v>196</v>
      </c>
      <c r="B18" s="34">
        <f>'Weekly Valuation'!D176/1000000000</f>
        <v>53.247703123154459</v>
      </c>
      <c r="C18" s="38">
        <f>'Weekly Valuation'!K176/1000000000</f>
        <v>53.277880968774504</v>
      </c>
      <c r="D18" s="155"/>
      <c r="E18" s="19"/>
    </row>
    <row r="19" spans="1:5">
      <c r="A19" s="36" t="s">
        <v>228</v>
      </c>
      <c r="B19" s="34">
        <f>'Weekly Valuation'!D182/1000000000</f>
        <v>5.6522069194699993</v>
      </c>
      <c r="C19" s="35">
        <f>'Weekly Valuation'!K182/1000000000</f>
        <v>5.6453872829300007</v>
      </c>
      <c r="D19" s="155"/>
      <c r="E19" s="19"/>
    </row>
    <row r="20" spans="1:5">
      <c r="A20" s="36" t="s">
        <v>284</v>
      </c>
      <c r="B20" s="34">
        <f>'Weekly Valuation'!D205/1000000000</f>
        <v>51.456186883054208</v>
      </c>
      <c r="C20" s="35">
        <f>'Weekly Valuation'!K205/1000000000</f>
        <v>51.417030730333892</v>
      </c>
      <c r="D20" s="155"/>
      <c r="E20" s="19"/>
    </row>
    <row r="21" spans="1:5">
      <c r="A21" s="21"/>
      <c r="B21" s="155"/>
      <c r="C21" s="24"/>
      <c r="D21" s="155"/>
      <c r="E21" s="19"/>
    </row>
    <row r="22" spans="1:5">
      <c r="A22" s="21"/>
      <c r="B22" s="155"/>
      <c r="C22" s="22"/>
      <c r="D22" s="155"/>
      <c r="E22" s="19"/>
    </row>
    <row r="23" spans="1:5">
      <c r="A23" s="39"/>
      <c r="B23" s="40"/>
      <c r="C23" s="23"/>
      <c r="D23" s="19"/>
      <c r="E23" s="19"/>
    </row>
    <row r="24" spans="1:5">
      <c r="A24" s="39"/>
      <c r="B24" s="40"/>
      <c r="C24" s="40"/>
      <c r="D24" s="19"/>
      <c r="E24" s="19"/>
    </row>
    <row r="25" spans="1:5">
      <c r="A25" s="41"/>
      <c r="B25" s="42"/>
      <c r="C25" s="42"/>
      <c r="D25" s="15"/>
      <c r="E25" s="15"/>
    </row>
    <row r="26" spans="1:5">
      <c r="A26" s="41"/>
      <c r="B26" s="42"/>
      <c r="C26" s="42"/>
      <c r="D26" s="15"/>
      <c r="E26" s="15"/>
    </row>
    <row r="27" spans="1:5">
      <c r="A27" s="41"/>
      <c r="B27" s="42"/>
      <c r="C27" s="42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5yCztakYPP+Zoji9lENkRr+s6LKqJfw5wTw3qQoNVX6TtleKuGARuDNM72Ec6NpDdt26VQIsYaRv+++VtlNlQA==" saltValue="FGrwswGZnf96Yfq/qW76o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C7" sqref="C7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157" t="s">
        <v>281</v>
      </c>
      <c r="B1" s="158">
        <v>45625</v>
      </c>
      <c r="C1" s="19"/>
      <c r="D1" s="19"/>
      <c r="E1" s="15"/>
    </row>
    <row r="2" spans="1:6">
      <c r="A2" s="21" t="s">
        <v>228</v>
      </c>
      <c r="B2" s="22">
        <f>'Weekly Valuation'!K182</f>
        <v>5645387282.9300003</v>
      </c>
      <c r="C2" s="19"/>
      <c r="D2" s="19"/>
      <c r="E2" s="15"/>
    </row>
    <row r="3" spans="1:6">
      <c r="A3" s="21" t="s">
        <v>17</v>
      </c>
      <c r="B3" s="22">
        <f>'Weekly Valuation'!K24</f>
        <v>29963223384.749996</v>
      </c>
      <c r="C3" s="19"/>
      <c r="D3" s="19"/>
      <c r="E3" s="15"/>
    </row>
    <row r="4" spans="1:6">
      <c r="A4" s="21" t="s">
        <v>284</v>
      </c>
      <c r="B4" s="23">
        <f>'Weekly Valuation'!K205</f>
        <v>51417030730.333893</v>
      </c>
      <c r="C4" s="19"/>
      <c r="D4" s="19"/>
      <c r="E4" s="15"/>
    </row>
    <row r="5" spans="1:6">
      <c r="A5" s="21" t="s">
        <v>196</v>
      </c>
      <c r="B5" s="22">
        <f>'Weekly Valuation'!K176</f>
        <v>53277880968.774506</v>
      </c>
      <c r="C5" s="19"/>
      <c r="D5" s="19"/>
      <c r="E5" s="15"/>
    </row>
    <row r="6" spans="1:6">
      <c r="A6" s="21" t="s">
        <v>283</v>
      </c>
      <c r="B6" s="22">
        <f>'Weekly Valuation'!K144</f>
        <v>99287613486.429764</v>
      </c>
      <c r="C6" s="19"/>
      <c r="D6" s="19"/>
      <c r="E6" s="15"/>
    </row>
    <row r="7" spans="1:6">
      <c r="A7" s="21" t="s">
        <v>282</v>
      </c>
      <c r="B7" s="22">
        <f>'Weekly Valuation'!K102</f>
        <v>211817086273.75339</v>
      </c>
      <c r="C7" s="19"/>
      <c r="D7" s="19"/>
      <c r="E7" s="15"/>
    </row>
    <row r="8" spans="1:6">
      <c r="A8" s="21" t="s">
        <v>54</v>
      </c>
      <c r="B8" s="24">
        <f>'Weekly Valuation'!K63</f>
        <v>1581147259519.7791</v>
      </c>
      <c r="C8" s="19"/>
      <c r="D8" s="19"/>
      <c r="E8" s="15"/>
    </row>
    <row r="9" spans="1:6">
      <c r="A9" s="21" t="s">
        <v>158</v>
      </c>
      <c r="B9" s="24">
        <f>'Weekly Valuation'!K136</f>
        <v>1817826880103.7505</v>
      </c>
      <c r="C9" s="19"/>
      <c r="D9" s="19"/>
      <c r="E9" s="15"/>
      <c r="F9" t="s">
        <v>285</v>
      </c>
    </row>
    <row r="10" spans="1:6">
      <c r="A10" s="155"/>
      <c r="B10" s="155"/>
      <c r="C10" s="19"/>
      <c r="D10" s="19"/>
      <c r="E10" s="15"/>
    </row>
    <row r="11" spans="1:6">
      <c r="A11" s="21"/>
      <c r="B11" s="159"/>
      <c r="C11" s="19"/>
      <c r="D11" s="19"/>
      <c r="E11" s="15"/>
    </row>
    <row r="12" spans="1:6">
      <c r="A12" s="21"/>
      <c r="B12" s="19"/>
      <c r="C12" s="19"/>
      <c r="D12" s="19"/>
      <c r="E12" s="15"/>
    </row>
    <row r="13" spans="1:6">
      <c r="A13" s="40"/>
      <c r="B13" s="40"/>
      <c r="C13" s="19"/>
      <c r="D13" s="19"/>
      <c r="E13" s="15"/>
    </row>
    <row r="14" spans="1:6">
      <c r="A14" s="42"/>
      <c r="B14" s="42"/>
      <c r="C14" s="15"/>
      <c r="D14" s="15"/>
      <c r="E14" s="15"/>
    </row>
    <row r="15" spans="1:6" ht="16.5" customHeight="1">
      <c r="A15" s="154"/>
      <c r="B15" s="154"/>
      <c r="C15" s="15"/>
      <c r="D15" s="15"/>
      <c r="E15" s="15"/>
    </row>
    <row r="16" spans="1:6">
      <c r="A16" s="42"/>
      <c r="B16" s="42"/>
      <c r="C16" s="15"/>
      <c r="D16" s="15"/>
      <c r="E16" s="15"/>
    </row>
    <row r="17" spans="1:17">
      <c r="A17" s="42"/>
      <c r="B17" s="42"/>
      <c r="C17" s="15"/>
      <c r="D17" s="15"/>
      <c r="E17" s="15"/>
    </row>
    <row r="18" spans="1:17">
      <c r="A18" s="156"/>
      <c r="B18" s="42"/>
      <c r="C18" s="15"/>
      <c r="D18" s="15"/>
      <c r="E18" s="15"/>
    </row>
    <row r="19" spans="1:17">
      <c r="A19" s="156"/>
      <c r="B19" s="156"/>
      <c r="C19" s="15"/>
      <c r="D19" s="15"/>
      <c r="E19" s="15"/>
    </row>
    <row r="20" spans="1:17">
      <c r="A20" s="156"/>
      <c r="B20" s="156"/>
      <c r="C20" s="15"/>
      <c r="D20" s="15"/>
      <c r="E20" s="15"/>
    </row>
    <row r="21" spans="1:17">
      <c r="A21" s="41"/>
      <c r="B21" s="156"/>
      <c r="C21" s="15"/>
      <c r="D21" s="15"/>
      <c r="E21" s="15"/>
    </row>
    <row r="22" spans="1:17">
      <c r="A22" s="15"/>
      <c r="B22" s="156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0" t="s">
        <v>302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25"/>
    </row>
    <row r="33" spans="1:17" ht="15" customHeigh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25"/>
    </row>
  </sheetData>
  <sheetProtection algorithmName="SHA-512" hashValue="5KLZpszz6gSWRhuYseUSV1BE8Q74OVzjH+QTTlFApVeJNu6lmzwaYgSMPCQrlk8VZsqBbLlakyEzoCeKRY4CyQ==" saltValue="YcPj/uEQ90nIKoltCd+IO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D7" sqref="D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0" t="s">
        <v>286</v>
      </c>
      <c r="B2" s="161">
        <v>45576</v>
      </c>
      <c r="C2" s="161">
        <v>45583</v>
      </c>
      <c r="D2" s="161">
        <v>45590</v>
      </c>
      <c r="E2" s="161">
        <v>45597</v>
      </c>
      <c r="F2" s="161">
        <v>45604</v>
      </c>
      <c r="G2" s="161">
        <v>45611</v>
      </c>
      <c r="H2" s="161">
        <v>45618</v>
      </c>
      <c r="I2" s="161">
        <v>45625</v>
      </c>
      <c r="J2" s="19"/>
      <c r="K2" s="15"/>
      <c r="L2" s="15"/>
      <c r="M2" s="15"/>
    </row>
    <row r="3" spans="1:13">
      <c r="A3" s="160" t="s">
        <v>287</v>
      </c>
      <c r="B3" s="162">
        <f t="shared" ref="B3:I3" si="0">B4</f>
        <v>3608.6485199322269</v>
      </c>
      <c r="C3" s="162">
        <f t="shared" si="0"/>
        <v>3649.8560176552623</v>
      </c>
      <c r="D3" s="162">
        <f t="shared" si="0"/>
        <v>3681.0930784539851</v>
      </c>
      <c r="E3" s="162">
        <f t="shared" si="0"/>
        <v>3756.0739614136678</v>
      </c>
      <c r="F3" s="162">
        <f t="shared" si="0"/>
        <v>3781.6039580427923</v>
      </c>
      <c r="G3" s="162">
        <f t="shared" si="0"/>
        <v>3775.5209725078448</v>
      </c>
      <c r="H3" s="162">
        <f t="shared" si="0"/>
        <v>3826.7471799710661</v>
      </c>
      <c r="I3" s="162">
        <f t="shared" si="0"/>
        <v>3850.3823617505013</v>
      </c>
      <c r="J3" s="19"/>
      <c r="K3" s="15"/>
      <c r="L3" s="15"/>
      <c r="M3" s="15"/>
    </row>
    <row r="4" spans="1:13">
      <c r="A4" s="19"/>
      <c r="B4" s="163">
        <f>'NAV Trend'!C10/1000000000</f>
        <v>3608.6485199322269</v>
      </c>
      <c r="C4" s="163">
        <f>'NAV Trend'!D10/1000000000</f>
        <v>3649.8560176552623</v>
      </c>
      <c r="D4" s="163">
        <f>'NAV Trend'!E10/1000000000</f>
        <v>3681.0930784539851</v>
      </c>
      <c r="E4" s="163">
        <f>'NAV Trend'!F10/1000000000</f>
        <v>3756.0739614136678</v>
      </c>
      <c r="F4" s="163">
        <f>'NAV Trend'!G10/1000000000</f>
        <v>3781.6039580427923</v>
      </c>
      <c r="G4" s="163">
        <f>'NAV Trend'!H10/1000000000</f>
        <v>3775.5209725078448</v>
      </c>
      <c r="H4" s="164">
        <f>'NAV Trend'!I10/1000000000</f>
        <v>3826.7471799710661</v>
      </c>
      <c r="I4" s="164">
        <f>'NAV Trend'!J10/1000000000</f>
        <v>3850.3823617505013</v>
      </c>
      <c r="J4" s="19"/>
      <c r="K4" s="15"/>
      <c r="L4" s="15"/>
      <c r="M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sCgUb/I2xdwRB4P+AQGp6XCa6AthHu8wZHGnSGv1vZ1aLPwJnAXfdFqFrI3SIqHV4VezJH8K6bPFT31aEEz73g==" saltValue="1lmnpm+RI/kHt+hEru9cS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F6" sqref="F6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60" t="s">
        <v>286</v>
      </c>
      <c r="B2" s="161">
        <v>45576</v>
      </c>
      <c r="C2" s="161">
        <v>45583</v>
      </c>
      <c r="D2" s="161">
        <v>45590</v>
      </c>
      <c r="E2" s="161">
        <v>45597</v>
      </c>
      <c r="F2" s="161">
        <v>45604</v>
      </c>
      <c r="G2" s="161">
        <v>45611</v>
      </c>
      <c r="H2" s="161">
        <v>45618</v>
      </c>
      <c r="I2" s="161">
        <v>45625</v>
      </c>
      <c r="J2" s="19"/>
      <c r="K2" s="19"/>
      <c r="L2" s="15"/>
    </row>
    <row r="3" spans="1:12">
      <c r="A3" s="160" t="s">
        <v>288</v>
      </c>
      <c r="B3" s="162">
        <f t="shared" ref="B3:I3" si="0">B4</f>
        <v>12.697813827940001</v>
      </c>
      <c r="C3" s="162">
        <f t="shared" si="0"/>
        <v>12.701048297550301</v>
      </c>
      <c r="D3" s="162">
        <f t="shared" si="0"/>
        <v>12.789155111611999</v>
      </c>
      <c r="E3" s="162">
        <f t="shared" si="0"/>
        <v>13.1600670153069</v>
      </c>
      <c r="F3" s="162">
        <f t="shared" si="0"/>
        <v>12.888080361994271</v>
      </c>
      <c r="G3" s="162">
        <f t="shared" si="0"/>
        <v>12.879805353681869</v>
      </c>
      <c r="H3" s="162">
        <f t="shared" si="0"/>
        <v>12.922326068600094</v>
      </c>
      <c r="I3" s="162">
        <f t="shared" si="0"/>
        <v>12.578926303585625</v>
      </c>
      <c r="J3" s="19"/>
      <c r="K3" s="19"/>
      <c r="L3" s="15"/>
    </row>
    <row r="4" spans="1:12">
      <c r="A4" s="19"/>
      <c r="B4" s="163">
        <f>'NAV Trend'!C16/1000000000</f>
        <v>12.697813827940001</v>
      </c>
      <c r="C4" s="163">
        <f>'NAV Trend'!D16/1000000000</f>
        <v>12.701048297550301</v>
      </c>
      <c r="D4" s="163">
        <f>'NAV Trend'!E16/1000000000</f>
        <v>12.789155111611999</v>
      </c>
      <c r="E4" s="163">
        <f>'NAV Trend'!F16/1000000000</f>
        <v>13.1600670153069</v>
      </c>
      <c r="F4" s="163">
        <f>'NAV Trend'!G16/1000000000</f>
        <v>12.888080361994271</v>
      </c>
      <c r="G4" s="163">
        <f>'NAV Trend'!H16/1000000000</f>
        <v>12.879805353681869</v>
      </c>
      <c r="H4" s="163">
        <f>'NAV Trend'!I16/1000000000</f>
        <v>12.922326068600094</v>
      </c>
      <c r="I4" s="164">
        <f>'NAV Trend'!J16/1000000000</f>
        <v>12.578926303585625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bi9XbpEB2BYdBiMloenC2z4MWi5sRnJ4sBcsUE/lqTqtR+qP8EtFg2bydccGEUQVe3FeLU1bQ/TYCEjvWlueTQ==" saltValue="AaRmCdBm1eGNyeW3Dd2OZ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C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45569</v>
      </c>
      <c r="C1" s="2">
        <v>45576</v>
      </c>
      <c r="D1" s="2">
        <v>45583</v>
      </c>
      <c r="E1" s="2">
        <v>45590</v>
      </c>
      <c r="F1" s="2">
        <v>45597</v>
      </c>
      <c r="G1" s="2">
        <v>45604</v>
      </c>
      <c r="H1" s="2">
        <v>45611</v>
      </c>
      <c r="I1" s="2">
        <v>45618</v>
      </c>
      <c r="J1" s="2">
        <v>45625</v>
      </c>
    </row>
    <row r="2" spans="1:11">
      <c r="A2" s="3" t="s">
        <v>17</v>
      </c>
      <c r="B2" s="4">
        <v>28625624040.070999</v>
      </c>
      <c r="C2" s="4">
        <v>28910390807.939201</v>
      </c>
      <c r="D2" s="4">
        <v>28835332748.209999</v>
      </c>
      <c r="E2" s="4">
        <v>29468827560.84</v>
      </c>
      <c r="F2" s="4">
        <v>29662249858.959999</v>
      </c>
      <c r="G2" s="4">
        <v>29877584741.98</v>
      </c>
      <c r="H2" s="4">
        <v>30163797785.389999</v>
      </c>
      <c r="I2" s="4">
        <v>30063948704.580002</v>
      </c>
      <c r="J2" s="4">
        <v>29963223384.749996</v>
      </c>
    </row>
    <row r="3" spans="1:11">
      <c r="A3" s="3" t="s">
        <v>54</v>
      </c>
      <c r="B3" s="4">
        <v>1431162477919.05</v>
      </c>
      <c r="C3" s="4">
        <v>1454546860218.4099</v>
      </c>
      <c r="D3" s="4">
        <v>1470975929116.3201</v>
      </c>
      <c r="E3" s="4">
        <v>1494354372784.55</v>
      </c>
      <c r="F3" s="4">
        <v>1514887327409.3999</v>
      </c>
      <c r="G3" s="4">
        <v>1524333945094.0388</v>
      </c>
      <c r="H3" s="4">
        <v>1544078501312.1094</v>
      </c>
      <c r="I3" s="4">
        <v>1568511463413.2886</v>
      </c>
      <c r="J3" s="4">
        <v>1581147259519.7791</v>
      </c>
    </row>
    <row r="4" spans="1:11">
      <c r="A4" s="3" t="s">
        <v>282</v>
      </c>
      <c r="B4" s="5">
        <v>213364990329.59201</v>
      </c>
      <c r="C4" s="5">
        <v>215873237311.21799</v>
      </c>
      <c r="D4" s="5">
        <v>217596244711.89499</v>
      </c>
      <c r="E4" s="5">
        <v>217295638150.86499</v>
      </c>
      <c r="F4" s="5">
        <v>216996701591.78</v>
      </c>
      <c r="G4" s="5">
        <v>212549652307.17569</v>
      </c>
      <c r="H4" s="5">
        <v>212512704820.16043</v>
      </c>
      <c r="I4" s="5">
        <v>211308718018.9035</v>
      </c>
      <c r="J4" s="5">
        <v>211817086273.75339</v>
      </c>
    </row>
    <row r="5" spans="1:11">
      <c r="A5" s="3" t="s">
        <v>158</v>
      </c>
      <c r="B5" s="4">
        <v>1708200360895.5601</v>
      </c>
      <c r="C5" s="4">
        <v>1701912454705.3701</v>
      </c>
      <c r="D5" s="4">
        <v>1725249769600.5901</v>
      </c>
      <c r="E5" s="4">
        <v>1732271506927.05</v>
      </c>
      <c r="F5" s="4">
        <v>1786622536580.1599</v>
      </c>
      <c r="G5" s="4">
        <v>1806075096556.1135</v>
      </c>
      <c r="H5" s="4">
        <v>1779564267121.3723</v>
      </c>
      <c r="I5" s="4">
        <v>1806794587019.7612</v>
      </c>
      <c r="J5" s="4">
        <v>1817826880103.7505</v>
      </c>
    </row>
    <row r="6" spans="1:11">
      <c r="A6" s="3" t="s">
        <v>283</v>
      </c>
      <c r="B6" s="6">
        <v>98643900599.545593</v>
      </c>
      <c r="C6" s="6">
        <v>98713044971.160706</v>
      </c>
      <c r="D6" s="6">
        <v>98768307559.7341</v>
      </c>
      <c r="E6" s="6">
        <v>98833512064.041199</v>
      </c>
      <c r="F6" s="6">
        <v>98953116968.937393</v>
      </c>
      <c r="G6" s="6">
        <v>99081658987.424438</v>
      </c>
      <c r="H6" s="6">
        <v>99228057377.56897</v>
      </c>
      <c r="I6" s="6">
        <v>99712365888.853806</v>
      </c>
      <c r="J6" s="6">
        <v>99287613486.429764</v>
      </c>
    </row>
    <row r="7" spans="1:11">
      <c r="A7" s="3" t="s">
        <v>196</v>
      </c>
      <c r="B7" s="7">
        <v>51490300364.745796</v>
      </c>
      <c r="C7" s="7">
        <v>51768750825.837799</v>
      </c>
      <c r="D7" s="7">
        <v>51772807386.093002</v>
      </c>
      <c r="E7" s="7">
        <v>52310062102.176598</v>
      </c>
      <c r="F7" s="7">
        <v>52773311659.495102</v>
      </c>
      <c r="G7" s="7">
        <v>52945664168.085022</v>
      </c>
      <c r="H7" s="7">
        <v>53058098833.391159</v>
      </c>
      <c r="I7" s="7">
        <v>53247703123.154457</v>
      </c>
      <c r="J7" s="7">
        <v>53277880968.774506</v>
      </c>
    </row>
    <row r="8" spans="1:11">
      <c r="A8" s="3" t="s">
        <v>228</v>
      </c>
      <c r="B8" s="6">
        <v>5412099692.1300001</v>
      </c>
      <c r="C8" s="6">
        <v>5446732461.79</v>
      </c>
      <c r="D8" s="6">
        <v>5394637628.9300003</v>
      </c>
      <c r="E8" s="6">
        <v>5490735929.6499996</v>
      </c>
      <c r="F8" s="6">
        <v>5514830055.6700001</v>
      </c>
      <c r="G8" s="6">
        <v>5557964924.1800003</v>
      </c>
      <c r="H8" s="6">
        <v>5640379430.5799999</v>
      </c>
      <c r="I8" s="6">
        <v>5652206919.4699993</v>
      </c>
      <c r="J8" s="6">
        <v>5645387282.9300003</v>
      </c>
    </row>
    <row r="9" spans="1:11">
      <c r="A9" s="3" t="s">
        <v>284</v>
      </c>
      <c r="B9" s="6">
        <v>50991417925.0597</v>
      </c>
      <c r="C9" s="6">
        <v>51477048630.5009</v>
      </c>
      <c r="D9" s="6">
        <v>51262988903.490097</v>
      </c>
      <c r="E9" s="6">
        <v>51068422934.812202</v>
      </c>
      <c r="F9" s="6">
        <v>50663887289.265602</v>
      </c>
      <c r="G9" s="6">
        <v>51182391263.795021</v>
      </c>
      <c r="H9" s="6">
        <v>51275165827.272346</v>
      </c>
      <c r="I9" s="6">
        <v>51456186883.054207</v>
      </c>
      <c r="J9" s="6">
        <v>51417030730.333893</v>
      </c>
    </row>
    <row r="10" spans="1:11" ht="15.6">
      <c r="A10" s="8" t="s">
        <v>289</v>
      </c>
      <c r="B10" s="9">
        <f t="shared" ref="B10:J10" si="0">SUM(B2:B9)</f>
        <v>3587891171765.7539</v>
      </c>
      <c r="C10" s="9">
        <f t="shared" si="0"/>
        <v>3608648519932.2271</v>
      </c>
      <c r="D10" s="9">
        <f t="shared" si="0"/>
        <v>3649856017655.2622</v>
      </c>
      <c r="E10" s="9">
        <f t="shared" si="0"/>
        <v>3681093078453.9849</v>
      </c>
      <c r="F10" s="9">
        <f t="shared" si="0"/>
        <v>3756073961413.668</v>
      </c>
      <c r="G10" s="9">
        <f t="shared" si="0"/>
        <v>3781603958042.7925</v>
      </c>
      <c r="H10" s="9">
        <f t="shared" si="0"/>
        <v>3775520972507.8447</v>
      </c>
      <c r="I10" s="9">
        <f t="shared" si="0"/>
        <v>3826747179971.0659</v>
      </c>
      <c r="J10" s="9">
        <f t="shared" si="0"/>
        <v>3850382361750.5015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290</v>
      </c>
      <c r="B12" s="150" t="s">
        <v>291</v>
      </c>
      <c r="C12" s="13">
        <f>(B10+C10)/2</f>
        <v>3598269845848.9902</v>
      </c>
      <c r="D12" s="14">
        <f t="shared" ref="D12:J12" si="1">(C10+D10)/2</f>
        <v>3629252268793.7446</v>
      </c>
      <c r="E12" s="14">
        <f t="shared" si="1"/>
        <v>3665474548054.6235</v>
      </c>
      <c r="F12" s="14">
        <f t="shared" si="1"/>
        <v>3718583519933.8262</v>
      </c>
      <c r="G12" s="14">
        <f t="shared" si="1"/>
        <v>3768838959728.2305</v>
      </c>
      <c r="H12" s="14">
        <f t="shared" si="1"/>
        <v>3778562465275.3184</v>
      </c>
      <c r="I12" s="14">
        <f t="shared" si="1"/>
        <v>3801134076239.4551</v>
      </c>
      <c r="J12" s="14">
        <f t="shared" si="1"/>
        <v>3838564770860.7837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45569</v>
      </c>
      <c r="C15" s="2">
        <v>45576</v>
      </c>
      <c r="D15" s="2">
        <v>45583</v>
      </c>
      <c r="E15" s="2">
        <v>45590</v>
      </c>
      <c r="F15" s="2">
        <v>45597</v>
      </c>
      <c r="G15" s="2">
        <v>45604</v>
      </c>
      <c r="H15" s="2">
        <v>45611</v>
      </c>
      <c r="I15" s="2">
        <v>45618</v>
      </c>
      <c r="J15" s="2">
        <v>45625</v>
      </c>
      <c r="K15" s="15"/>
    </row>
    <row r="16" spans="1:11">
      <c r="A16" s="16" t="s">
        <v>292</v>
      </c>
      <c r="B16" s="17">
        <v>12728824087.969999</v>
      </c>
      <c r="C16" s="17">
        <v>12697813827.940001</v>
      </c>
      <c r="D16" s="17">
        <v>12701048297.550301</v>
      </c>
      <c r="E16" s="17">
        <v>12789155111.612</v>
      </c>
      <c r="F16" s="17">
        <v>13160067015.3069</v>
      </c>
      <c r="G16" s="17">
        <v>12888080361.994272</v>
      </c>
      <c r="H16" s="17">
        <v>12879805353.68187</v>
      </c>
      <c r="I16" s="17">
        <v>12922326068.600094</v>
      </c>
      <c r="J16" s="17">
        <v>12578926303.585625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w3qJ8zjPBqNqZneLXvwS0ZOkGZZL+kDDZePp9e5zHSZiEvxGaE4Kfk2PrY+Q0YoF08UMQi/pVSNeLIJOJhReDQ==" saltValue="7IACh/DHipb5Oc2EqY3ljA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2024-12-06T10:04:26Z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