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0" yWindow="0" windowWidth="12000" windowHeight="732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B5" i="3" l="1"/>
  <c r="B4" i="3"/>
  <c r="N128" i="1" l="1"/>
  <c r="M128" i="1"/>
  <c r="K128" i="1"/>
  <c r="N117" i="1"/>
  <c r="M117" i="1"/>
  <c r="K117" i="1"/>
  <c r="N110" i="1" l="1"/>
  <c r="M110" i="1"/>
  <c r="K110" i="1"/>
  <c r="N124" i="1" l="1"/>
  <c r="M124" i="1"/>
  <c r="K124" i="1"/>
  <c r="N135" i="1"/>
  <c r="M135" i="1"/>
  <c r="K135" i="1"/>
  <c r="N119" i="1"/>
  <c r="M119" i="1"/>
  <c r="K119" i="1"/>
  <c r="N109" i="1" l="1"/>
  <c r="M109" i="1"/>
  <c r="K109" i="1"/>
  <c r="N130" i="1" l="1"/>
  <c r="M130" i="1"/>
  <c r="N120" i="1"/>
  <c r="M120" i="1"/>
  <c r="K120" i="1"/>
  <c r="N133" i="1"/>
  <c r="M133" i="1"/>
  <c r="K133" i="1"/>
  <c r="N129" i="1" l="1"/>
  <c r="M129" i="1"/>
  <c r="K129" i="1"/>
  <c r="N112" i="1"/>
  <c r="M112" i="1"/>
  <c r="K112" i="1"/>
  <c r="N116" i="1" l="1"/>
  <c r="M116" i="1"/>
  <c r="K116" i="1"/>
  <c r="N107" i="1"/>
  <c r="M107" i="1"/>
  <c r="K107" i="1"/>
  <c r="N106" i="1"/>
  <c r="M106" i="1"/>
  <c r="K106" i="1"/>
  <c r="N118" i="1"/>
  <c r="M118" i="1"/>
  <c r="K118" i="1"/>
  <c r="N125" i="1"/>
  <c r="M125" i="1"/>
  <c r="K125" i="1"/>
  <c r="N131" i="1"/>
  <c r="M131" i="1"/>
  <c r="N108" i="1" l="1"/>
  <c r="M108" i="1"/>
  <c r="K108" i="1"/>
  <c r="J10" i="4" l="1"/>
  <c r="I4" i="5" s="1"/>
  <c r="I3" i="5" s="1"/>
  <c r="I10" i="4"/>
  <c r="H10" i="4"/>
  <c r="G10" i="4"/>
  <c r="H12" i="4" s="1"/>
  <c r="F10" i="4"/>
  <c r="E10" i="4"/>
  <c r="F12" i="4" s="1"/>
  <c r="D10" i="4"/>
  <c r="C10" i="4"/>
  <c r="D12" i="4" s="1"/>
  <c r="B10" i="4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H4" i="5"/>
  <c r="G4" i="5"/>
  <c r="F4" i="5"/>
  <c r="E4" i="5"/>
  <c r="D4" i="5"/>
  <c r="C4" i="5"/>
  <c r="H3" i="5"/>
  <c r="G3" i="5"/>
  <c r="F3" i="5"/>
  <c r="E3" i="5"/>
  <c r="D3" i="5"/>
  <c r="C3" i="5"/>
  <c r="V226" i="1"/>
  <c r="U226" i="1"/>
  <c r="S226" i="1"/>
  <c r="O226" i="1"/>
  <c r="T226" i="1" s="1"/>
  <c r="K226" i="1"/>
  <c r="H226" i="1"/>
  <c r="D226" i="1"/>
  <c r="V225" i="1"/>
  <c r="U225" i="1"/>
  <c r="T225" i="1"/>
  <c r="S225" i="1"/>
  <c r="R225" i="1"/>
  <c r="L225" i="1"/>
  <c r="E225" i="1"/>
  <c r="V224" i="1"/>
  <c r="U224" i="1"/>
  <c r="T224" i="1"/>
  <c r="S224" i="1"/>
  <c r="R224" i="1"/>
  <c r="E224" i="1"/>
  <c r="V223" i="1"/>
  <c r="U223" i="1"/>
  <c r="T223" i="1"/>
  <c r="S223" i="1"/>
  <c r="R223" i="1"/>
  <c r="E223" i="1"/>
  <c r="V222" i="1"/>
  <c r="U222" i="1"/>
  <c r="T222" i="1"/>
  <c r="S222" i="1"/>
  <c r="R222" i="1"/>
  <c r="E222" i="1"/>
  <c r="V221" i="1"/>
  <c r="U221" i="1"/>
  <c r="T221" i="1"/>
  <c r="S221" i="1"/>
  <c r="R221" i="1"/>
  <c r="E221" i="1"/>
  <c r="V220" i="1"/>
  <c r="U220" i="1"/>
  <c r="T220" i="1"/>
  <c r="S220" i="1"/>
  <c r="R220" i="1"/>
  <c r="E220" i="1"/>
  <c r="V219" i="1"/>
  <c r="U219" i="1"/>
  <c r="T219" i="1"/>
  <c r="S219" i="1"/>
  <c r="R219" i="1"/>
  <c r="E219" i="1"/>
  <c r="V218" i="1"/>
  <c r="U218" i="1"/>
  <c r="T218" i="1"/>
  <c r="S218" i="1"/>
  <c r="R218" i="1"/>
  <c r="E218" i="1"/>
  <c r="V217" i="1"/>
  <c r="U217" i="1"/>
  <c r="T217" i="1"/>
  <c r="S217" i="1"/>
  <c r="R217" i="1"/>
  <c r="E217" i="1"/>
  <c r="V216" i="1"/>
  <c r="U216" i="1"/>
  <c r="T216" i="1"/>
  <c r="S216" i="1"/>
  <c r="R216" i="1"/>
  <c r="E216" i="1"/>
  <c r="V215" i="1"/>
  <c r="U215" i="1"/>
  <c r="T215" i="1"/>
  <c r="S215" i="1"/>
  <c r="R215" i="1"/>
  <c r="E215" i="1"/>
  <c r="V214" i="1"/>
  <c r="U214" i="1"/>
  <c r="T214" i="1"/>
  <c r="S214" i="1"/>
  <c r="R214" i="1"/>
  <c r="E214" i="1"/>
  <c r="K211" i="1"/>
  <c r="R211" i="1" s="1"/>
  <c r="H211" i="1"/>
  <c r="D211" i="1"/>
  <c r="V210" i="1"/>
  <c r="U210" i="1"/>
  <c r="T210" i="1"/>
  <c r="S210" i="1"/>
  <c r="R210" i="1"/>
  <c r="L210" i="1"/>
  <c r="E210" i="1"/>
  <c r="V209" i="1"/>
  <c r="U209" i="1"/>
  <c r="T209" i="1"/>
  <c r="S209" i="1"/>
  <c r="R209" i="1"/>
  <c r="E209" i="1"/>
  <c r="V205" i="1"/>
  <c r="U205" i="1"/>
  <c r="S205" i="1"/>
  <c r="O205" i="1"/>
  <c r="K205" i="1"/>
  <c r="H205" i="1"/>
  <c r="D205" i="1"/>
  <c r="B20" i="2" s="1"/>
  <c r="B10" i="2" s="1"/>
  <c r="V204" i="1"/>
  <c r="U204" i="1"/>
  <c r="T204" i="1"/>
  <c r="S204" i="1"/>
  <c r="R204" i="1"/>
  <c r="E204" i="1"/>
  <c r="V201" i="1"/>
  <c r="U201" i="1"/>
  <c r="T201" i="1"/>
  <c r="S201" i="1"/>
  <c r="R201" i="1"/>
  <c r="L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E192" i="1"/>
  <c r="V191" i="1"/>
  <c r="U191" i="1"/>
  <c r="T191" i="1"/>
  <c r="S191" i="1"/>
  <c r="R191" i="1"/>
  <c r="E191" i="1"/>
  <c r="V190" i="1"/>
  <c r="U190" i="1"/>
  <c r="T190" i="1"/>
  <c r="S190" i="1"/>
  <c r="R190" i="1"/>
  <c r="E190" i="1"/>
  <c r="V187" i="1"/>
  <c r="U187" i="1"/>
  <c r="T187" i="1"/>
  <c r="S187" i="1"/>
  <c r="R187" i="1"/>
  <c r="E187" i="1"/>
  <c r="V186" i="1"/>
  <c r="U186" i="1"/>
  <c r="T186" i="1"/>
  <c r="S186" i="1"/>
  <c r="R186" i="1"/>
  <c r="E186" i="1"/>
  <c r="V182" i="1"/>
  <c r="U182" i="1"/>
  <c r="S182" i="1"/>
  <c r="O182" i="1"/>
  <c r="K182" i="1"/>
  <c r="B2" i="3" s="1"/>
  <c r="H182" i="1"/>
  <c r="T182" i="1" s="1"/>
  <c r="D182" i="1"/>
  <c r="B19" i="2" s="1"/>
  <c r="B9" i="2" s="1"/>
  <c r="V181" i="1"/>
  <c r="U181" i="1"/>
  <c r="T181" i="1"/>
  <c r="S181" i="1"/>
  <c r="R181" i="1"/>
  <c r="L181" i="1"/>
  <c r="V180" i="1"/>
  <c r="U180" i="1"/>
  <c r="T180" i="1"/>
  <c r="S180" i="1"/>
  <c r="R180" i="1"/>
  <c r="L180" i="1"/>
  <c r="E180" i="1"/>
  <c r="V179" i="1"/>
  <c r="U179" i="1"/>
  <c r="T179" i="1"/>
  <c r="S179" i="1"/>
  <c r="R179" i="1"/>
  <c r="V176" i="1"/>
  <c r="U176" i="1"/>
  <c r="S176" i="1"/>
  <c r="O176" i="1"/>
  <c r="K176" i="1"/>
  <c r="H176" i="1"/>
  <c r="T176" i="1" s="1"/>
  <c r="D176" i="1"/>
  <c r="B18" i="2" s="1"/>
  <c r="B8" i="2" s="1"/>
  <c r="V175" i="1"/>
  <c r="U175" i="1"/>
  <c r="T175" i="1"/>
  <c r="S175" i="1"/>
  <c r="R175" i="1"/>
  <c r="L175" i="1"/>
  <c r="V174" i="1"/>
  <c r="U174" i="1"/>
  <c r="T174" i="1"/>
  <c r="S174" i="1"/>
  <c r="R174" i="1"/>
  <c r="L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L171" i="1"/>
  <c r="V170" i="1"/>
  <c r="U170" i="1"/>
  <c r="T170" i="1"/>
  <c r="S170" i="1"/>
  <c r="R170" i="1"/>
  <c r="L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L167" i="1"/>
  <c r="V166" i="1"/>
  <c r="U166" i="1"/>
  <c r="T166" i="1"/>
  <c r="S166" i="1"/>
  <c r="R166" i="1"/>
  <c r="L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L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4" i="1"/>
  <c r="U144" i="1"/>
  <c r="S144" i="1"/>
  <c r="O144" i="1"/>
  <c r="K144" i="1"/>
  <c r="B6" i="3" s="1"/>
  <c r="H144" i="1"/>
  <c r="T144" i="1" s="1"/>
  <c r="D144" i="1"/>
  <c r="B17" i="2" s="1"/>
  <c r="B7" i="2" s="1"/>
  <c r="V143" i="1"/>
  <c r="U143" i="1"/>
  <c r="T143" i="1"/>
  <c r="S143" i="1"/>
  <c r="R143" i="1"/>
  <c r="L143" i="1"/>
  <c r="V142" i="1"/>
  <c r="U142" i="1"/>
  <c r="T142" i="1"/>
  <c r="S142" i="1"/>
  <c r="R142" i="1"/>
  <c r="L142" i="1"/>
  <c r="E142" i="1"/>
  <c r="V141" i="1"/>
  <c r="U141" i="1"/>
  <c r="T141" i="1"/>
  <c r="S141" i="1"/>
  <c r="R141" i="1"/>
  <c r="V140" i="1"/>
  <c r="U140" i="1"/>
  <c r="T140" i="1"/>
  <c r="S140" i="1"/>
  <c r="R140" i="1"/>
  <c r="E140" i="1"/>
  <c r="V139" i="1"/>
  <c r="U139" i="1"/>
  <c r="T139" i="1"/>
  <c r="S139" i="1"/>
  <c r="R139" i="1"/>
  <c r="L139" i="1"/>
  <c r="V136" i="1"/>
  <c r="U136" i="1"/>
  <c r="S136" i="1"/>
  <c r="O136" i="1"/>
  <c r="H136" i="1"/>
  <c r="V135" i="1"/>
  <c r="U135" i="1"/>
  <c r="T135" i="1"/>
  <c r="S135" i="1"/>
  <c r="R135" i="1"/>
  <c r="G135" i="1"/>
  <c r="F135" i="1"/>
  <c r="D135" i="1"/>
  <c r="V134" i="1"/>
  <c r="U134" i="1"/>
  <c r="T134" i="1"/>
  <c r="S134" i="1"/>
  <c r="R134" i="1"/>
  <c r="V133" i="1"/>
  <c r="U133" i="1"/>
  <c r="T133" i="1"/>
  <c r="S133" i="1"/>
  <c r="R133" i="1"/>
  <c r="G133" i="1"/>
  <c r="F133" i="1"/>
  <c r="D133" i="1"/>
  <c r="V132" i="1"/>
  <c r="U132" i="1"/>
  <c r="T132" i="1"/>
  <c r="S132" i="1"/>
  <c r="R132" i="1"/>
  <c r="V131" i="1"/>
  <c r="U131" i="1"/>
  <c r="T131" i="1"/>
  <c r="R131" i="1"/>
  <c r="G131" i="1"/>
  <c r="F131" i="1"/>
  <c r="V130" i="1"/>
  <c r="U130" i="1"/>
  <c r="T130" i="1"/>
  <c r="R130" i="1"/>
  <c r="S130" i="1"/>
  <c r="G130" i="1"/>
  <c r="F130" i="1"/>
  <c r="V129" i="1"/>
  <c r="U129" i="1"/>
  <c r="T129" i="1"/>
  <c r="S129" i="1"/>
  <c r="G129" i="1"/>
  <c r="F129" i="1"/>
  <c r="D129" i="1"/>
  <c r="V128" i="1"/>
  <c r="U128" i="1"/>
  <c r="T128" i="1"/>
  <c r="S128" i="1"/>
  <c r="R128" i="1"/>
  <c r="G128" i="1"/>
  <c r="F128" i="1"/>
  <c r="D128" i="1"/>
  <c r="V127" i="1"/>
  <c r="U127" i="1"/>
  <c r="T127" i="1"/>
  <c r="R127" i="1"/>
  <c r="N127" i="1"/>
  <c r="M127" i="1"/>
  <c r="G127" i="1"/>
  <c r="F127" i="1"/>
  <c r="V126" i="1"/>
  <c r="U126" i="1"/>
  <c r="T126" i="1"/>
  <c r="S126" i="1"/>
  <c r="R126" i="1"/>
  <c r="V125" i="1"/>
  <c r="U125" i="1"/>
  <c r="T125" i="1"/>
  <c r="S125" i="1"/>
  <c r="R125" i="1"/>
  <c r="V124" i="1"/>
  <c r="U124" i="1"/>
  <c r="T124" i="1"/>
  <c r="S124" i="1"/>
  <c r="R124" i="1"/>
  <c r="G124" i="1"/>
  <c r="F124" i="1"/>
  <c r="D124" i="1"/>
  <c r="V123" i="1"/>
  <c r="U123" i="1"/>
  <c r="T123" i="1"/>
  <c r="S123" i="1"/>
  <c r="R123" i="1"/>
  <c r="V120" i="1"/>
  <c r="U120" i="1"/>
  <c r="T120" i="1"/>
  <c r="S120" i="1"/>
  <c r="R120" i="1"/>
  <c r="G120" i="1"/>
  <c r="F120" i="1"/>
  <c r="D120" i="1"/>
  <c r="V119" i="1"/>
  <c r="U119" i="1"/>
  <c r="T119" i="1"/>
  <c r="S119" i="1"/>
  <c r="R119" i="1"/>
  <c r="G119" i="1"/>
  <c r="F119" i="1"/>
  <c r="D119" i="1"/>
  <c r="V118" i="1"/>
  <c r="U118" i="1"/>
  <c r="T118" i="1"/>
  <c r="S118" i="1"/>
  <c r="R118" i="1"/>
  <c r="G118" i="1"/>
  <c r="F118" i="1"/>
  <c r="D118" i="1"/>
  <c r="V117" i="1"/>
  <c r="U117" i="1"/>
  <c r="T117" i="1"/>
  <c r="S117" i="1"/>
  <c r="R117" i="1"/>
  <c r="G117" i="1"/>
  <c r="F117" i="1"/>
  <c r="D117" i="1"/>
  <c r="V116" i="1"/>
  <c r="U116" i="1"/>
  <c r="T116" i="1"/>
  <c r="S116" i="1"/>
  <c r="R116" i="1"/>
  <c r="G116" i="1"/>
  <c r="F116" i="1"/>
  <c r="D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R112" i="1"/>
  <c r="G112" i="1"/>
  <c r="F112" i="1"/>
  <c r="D112" i="1"/>
  <c r="V111" i="1"/>
  <c r="U111" i="1"/>
  <c r="T111" i="1"/>
  <c r="N111" i="1"/>
  <c r="S111" i="1" s="1"/>
  <c r="M111" i="1"/>
  <c r="K111" i="1"/>
  <c r="R111" i="1" s="1"/>
  <c r="G111" i="1"/>
  <c r="F111" i="1"/>
  <c r="D111" i="1"/>
  <c r="V110" i="1"/>
  <c r="U110" i="1"/>
  <c r="T110" i="1"/>
  <c r="S110" i="1"/>
  <c r="R110" i="1"/>
  <c r="G110" i="1"/>
  <c r="F110" i="1"/>
  <c r="D110" i="1"/>
  <c r="V109" i="1"/>
  <c r="U109" i="1"/>
  <c r="T109" i="1"/>
  <c r="S109" i="1"/>
  <c r="R109" i="1"/>
  <c r="G109" i="1"/>
  <c r="F109" i="1"/>
  <c r="D109" i="1"/>
  <c r="V108" i="1"/>
  <c r="U108" i="1"/>
  <c r="T108" i="1"/>
  <c r="S108" i="1"/>
  <c r="R108" i="1"/>
  <c r="G108" i="1"/>
  <c r="F108" i="1"/>
  <c r="D108" i="1"/>
  <c r="V107" i="1"/>
  <c r="U107" i="1"/>
  <c r="T107" i="1"/>
  <c r="S107" i="1"/>
  <c r="R107" i="1"/>
  <c r="G107" i="1"/>
  <c r="F107" i="1"/>
  <c r="D107" i="1"/>
  <c r="V106" i="1"/>
  <c r="U106" i="1"/>
  <c r="T106" i="1"/>
  <c r="S106" i="1"/>
  <c r="K136" i="1"/>
  <c r="L132" i="1" s="1"/>
  <c r="G106" i="1"/>
  <c r="F106" i="1"/>
  <c r="D106" i="1"/>
  <c r="D136" i="1" s="1"/>
  <c r="E128" i="1" s="1"/>
  <c r="V102" i="1"/>
  <c r="U102" i="1"/>
  <c r="S102" i="1"/>
  <c r="O102" i="1"/>
  <c r="T102" i="1" s="1"/>
  <c r="K102" i="1"/>
  <c r="R102" i="1" s="1"/>
  <c r="H102" i="1"/>
  <c r="D102" i="1"/>
  <c r="B15" i="2" s="1"/>
  <c r="B5" i="2" s="1"/>
  <c r="V101" i="1"/>
  <c r="U101" i="1"/>
  <c r="T101" i="1"/>
  <c r="S101" i="1"/>
  <c r="R101" i="1"/>
  <c r="E101" i="1"/>
  <c r="V100" i="1"/>
  <c r="U100" i="1"/>
  <c r="T100" i="1"/>
  <c r="S100" i="1"/>
  <c r="R100" i="1"/>
  <c r="L100" i="1"/>
  <c r="E100" i="1"/>
  <c r="V99" i="1"/>
  <c r="U99" i="1"/>
  <c r="T99" i="1"/>
  <c r="S99" i="1"/>
  <c r="R99" i="1"/>
  <c r="E99" i="1"/>
  <c r="V98" i="1"/>
  <c r="U98" i="1"/>
  <c r="T98" i="1"/>
  <c r="S98" i="1"/>
  <c r="R98" i="1"/>
  <c r="E98" i="1"/>
  <c r="V97" i="1"/>
  <c r="U97" i="1"/>
  <c r="T97" i="1"/>
  <c r="S97" i="1"/>
  <c r="R97" i="1"/>
  <c r="E97" i="1"/>
  <c r="V96" i="1"/>
  <c r="U96" i="1"/>
  <c r="T96" i="1"/>
  <c r="S96" i="1"/>
  <c r="R96" i="1"/>
  <c r="E96" i="1"/>
  <c r="V95" i="1"/>
  <c r="U95" i="1"/>
  <c r="T95" i="1"/>
  <c r="S95" i="1"/>
  <c r="R95" i="1"/>
  <c r="E95" i="1"/>
  <c r="V94" i="1"/>
  <c r="U94" i="1"/>
  <c r="T94" i="1"/>
  <c r="S94" i="1"/>
  <c r="R94" i="1"/>
  <c r="E94" i="1"/>
  <c r="V93" i="1"/>
  <c r="U93" i="1"/>
  <c r="T93" i="1"/>
  <c r="S93" i="1"/>
  <c r="R93" i="1"/>
  <c r="E93" i="1"/>
  <c r="V92" i="1"/>
  <c r="U92" i="1"/>
  <c r="T92" i="1"/>
  <c r="S92" i="1"/>
  <c r="R92" i="1"/>
  <c r="E92" i="1"/>
  <c r="V91" i="1"/>
  <c r="U91" i="1"/>
  <c r="T91" i="1"/>
  <c r="S91" i="1"/>
  <c r="R91" i="1"/>
  <c r="E91" i="1"/>
  <c r="V90" i="1"/>
  <c r="U90" i="1"/>
  <c r="T90" i="1"/>
  <c r="S90" i="1"/>
  <c r="R90" i="1"/>
  <c r="E90" i="1"/>
  <c r="V89" i="1"/>
  <c r="U89" i="1"/>
  <c r="T89" i="1"/>
  <c r="S89" i="1"/>
  <c r="R89" i="1"/>
  <c r="E89" i="1"/>
  <c r="V88" i="1"/>
  <c r="U88" i="1"/>
  <c r="T88" i="1"/>
  <c r="S88" i="1"/>
  <c r="R88" i="1"/>
  <c r="V87" i="1"/>
  <c r="U87" i="1"/>
  <c r="T87" i="1"/>
  <c r="S87" i="1"/>
  <c r="R87" i="1"/>
  <c r="E87" i="1"/>
  <c r="V86" i="1"/>
  <c r="U86" i="1"/>
  <c r="T86" i="1"/>
  <c r="S86" i="1"/>
  <c r="R86" i="1"/>
  <c r="E86" i="1"/>
  <c r="V85" i="1"/>
  <c r="U85" i="1"/>
  <c r="T85" i="1"/>
  <c r="S85" i="1"/>
  <c r="R85" i="1"/>
  <c r="E85" i="1"/>
  <c r="V84" i="1"/>
  <c r="U84" i="1"/>
  <c r="T84" i="1"/>
  <c r="S84" i="1"/>
  <c r="R84" i="1"/>
  <c r="E84" i="1"/>
  <c r="V83" i="1"/>
  <c r="U83" i="1"/>
  <c r="T83" i="1"/>
  <c r="S83" i="1"/>
  <c r="R83" i="1"/>
  <c r="E83" i="1"/>
  <c r="V82" i="1"/>
  <c r="U82" i="1"/>
  <c r="T82" i="1"/>
  <c r="S82" i="1"/>
  <c r="R82" i="1"/>
  <c r="E82" i="1"/>
  <c r="V81" i="1"/>
  <c r="U81" i="1"/>
  <c r="T81" i="1"/>
  <c r="S81" i="1"/>
  <c r="R81" i="1"/>
  <c r="E81" i="1"/>
  <c r="V80" i="1"/>
  <c r="U80" i="1"/>
  <c r="T80" i="1"/>
  <c r="S80" i="1"/>
  <c r="R80" i="1"/>
  <c r="L80" i="1"/>
  <c r="E80" i="1"/>
  <c r="V79" i="1"/>
  <c r="U79" i="1"/>
  <c r="T79" i="1"/>
  <c r="S79" i="1"/>
  <c r="R79" i="1"/>
  <c r="E79" i="1"/>
  <c r="V78" i="1"/>
  <c r="U78" i="1"/>
  <c r="T78" i="1"/>
  <c r="S78" i="1"/>
  <c r="R78" i="1"/>
  <c r="E78" i="1"/>
  <c r="V77" i="1"/>
  <c r="U77" i="1"/>
  <c r="T77" i="1"/>
  <c r="S77" i="1"/>
  <c r="R77" i="1"/>
  <c r="E77" i="1"/>
  <c r="V76" i="1"/>
  <c r="U76" i="1"/>
  <c r="T76" i="1"/>
  <c r="S76" i="1"/>
  <c r="R76" i="1"/>
  <c r="E76" i="1"/>
  <c r="V75" i="1"/>
  <c r="U75" i="1"/>
  <c r="T75" i="1"/>
  <c r="S75" i="1"/>
  <c r="R75" i="1"/>
  <c r="E75" i="1"/>
  <c r="V74" i="1"/>
  <c r="U74" i="1"/>
  <c r="T74" i="1"/>
  <c r="S74" i="1"/>
  <c r="R74" i="1"/>
  <c r="E74" i="1"/>
  <c r="V73" i="1"/>
  <c r="U73" i="1"/>
  <c r="T73" i="1"/>
  <c r="S73" i="1"/>
  <c r="R73" i="1"/>
  <c r="E73" i="1"/>
  <c r="V72" i="1"/>
  <c r="U72" i="1"/>
  <c r="T72" i="1"/>
  <c r="S72" i="1"/>
  <c r="R72" i="1"/>
  <c r="E72" i="1"/>
  <c r="V71" i="1"/>
  <c r="U71" i="1"/>
  <c r="T71" i="1"/>
  <c r="S71" i="1"/>
  <c r="R71" i="1"/>
  <c r="E71" i="1"/>
  <c r="U70" i="1"/>
  <c r="T70" i="1"/>
  <c r="S70" i="1"/>
  <c r="R70" i="1"/>
  <c r="V69" i="1"/>
  <c r="U69" i="1"/>
  <c r="T69" i="1"/>
  <c r="S69" i="1"/>
  <c r="R69" i="1"/>
  <c r="E69" i="1"/>
  <c r="V68" i="1"/>
  <c r="U68" i="1"/>
  <c r="T68" i="1"/>
  <c r="S68" i="1"/>
  <c r="R68" i="1"/>
  <c r="E68" i="1"/>
  <c r="V67" i="1"/>
  <c r="U67" i="1"/>
  <c r="T67" i="1"/>
  <c r="S67" i="1"/>
  <c r="R67" i="1"/>
  <c r="E67" i="1"/>
  <c r="V66" i="1"/>
  <c r="U66" i="1"/>
  <c r="T66" i="1"/>
  <c r="S66" i="1"/>
  <c r="R66" i="1"/>
  <c r="E66" i="1"/>
  <c r="V63" i="1"/>
  <c r="U63" i="1"/>
  <c r="S63" i="1"/>
  <c r="O63" i="1"/>
  <c r="T63" i="1" s="1"/>
  <c r="K63" i="1"/>
  <c r="E88" i="1" s="1"/>
  <c r="H63" i="1"/>
  <c r="D63" i="1"/>
  <c r="B14" i="2" s="1"/>
  <c r="B4" i="2" s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E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L22" i="1" s="1"/>
  <c r="H24" i="1"/>
  <c r="H206" i="1" s="1"/>
  <c r="H227" i="1" s="1"/>
  <c r="D24" i="1"/>
  <c r="V23" i="1"/>
  <c r="U23" i="1"/>
  <c r="T23" i="1"/>
  <c r="S23" i="1"/>
  <c r="R23" i="1"/>
  <c r="E23" i="1"/>
  <c r="V22" i="1"/>
  <c r="U22" i="1"/>
  <c r="T22" i="1"/>
  <c r="S22" i="1"/>
  <c r="R22" i="1"/>
  <c r="E22" i="1"/>
  <c r="V21" i="1"/>
  <c r="U21" i="1"/>
  <c r="T21" i="1"/>
  <c r="S21" i="1"/>
  <c r="R21" i="1"/>
  <c r="E21" i="1"/>
  <c r="V20" i="1"/>
  <c r="U20" i="1"/>
  <c r="T20" i="1"/>
  <c r="S20" i="1"/>
  <c r="R20" i="1"/>
  <c r="E20" i="1"/>
  <c r="V19" i="1"/>
  <c r="U19" i="1"/>
  <c r="T19" i="1"/>
  <c r="S19" i="1"/>
  <c r="R19" i="1"/>
  <c r="E19" i="1"/>
  <c r="V18" i="1"/>
  <c r="U18" i="1"/>
  <c r="T18" i="1"/>
  <c r="S18" i="1"/>
  <c r="R18" i="1"/>
  <c r="E18" i="1"/>
  <c r="V17" i="1"/>
  <c r="U17" i="1"/>
  <c r="T17" i="1"/>
  <c r="S17" i="1"/>
  <c r="R17" i="1"/>
  <c r="E17" i="1"/>
  <c r="V16" i="1"/>
  <c r="U16" i="1"/>
  <c r="T16" i="1"/>
  <c r="S16" i="1"/>
  <c r="R16" i="1"/>
  <c r="E16" i="1"/>
  <c r="V15" i="1"/>
  <c r="U15" i="1"/>
  <c r="T15" i="1"/>
  <c r="S15" i="1"/>
  <c r="R15" i="1"/>
  <c r="E15" i="1"/>
  <c r="V14" i="1"/>
  <c r="U14" i="1"/>
  <c r="T14" i="1"/>
  <c r="S14" i="1"/>
  <c r="R14" i="1"/>
  <c r="E14" i="1"/>
  <c r="V13" i="1"/>
  <c r="U13" i="1"/>
  <c r="T13" i="1"/>
  <c r="S13" i="1"/>
  <c r="R13" i="1"/>
  <c r="E13" i="1"/>
  <c r="V12" i="1"/>
  <c r="U12" i="1"/>
  <c r="T12" i="1"/>
  <c r="S12" i="1"/>
  <c r="R12" i="1"/>
  <c r="E12" i="1"/>
  <c r="V11" i="1"/>
  <c r="U11" i="1"/>
  <c r="T11" i="1"/>
  <c r="S11" i="1"/>
  <c r="R11" i="1"/>
  <c r="E11" i="1"/>
  <c r="V10" i="1"/>
  <c r="U10" i="1"/>
  <c r="T10" i="1"/>
  <c r="S10" i="1"/>
  <c r="R10" i="1"/>
  <c r="E10" i="1"/>
  <c r="V9" i="1"/>
  <c r="U9" i="1"/>
  <c r="T9" i="1"/>
  <c r="S9" i="1"/>
  <c r="R9" i="1"/>
  <c r="E9" i="1"/>
  <c r="V8" i="1"/>
  <c r="U8" i="1"/>
  <c r="T8" i="1"/>
  <c r="S8" i="1"/>
  <c r="R8" i="1"/>
  <c r="E8" i="1"/>
  <c r="V7" i="1"/>
  <c r="U7" i="1"/>
  <c r="T7" i="1"/>
  <c r="S7" i="1"/>
  <c r="R7" i="1"/>
  <c r="E7" i="1"/>
  <c r="V6" i="1"/>
  <c r="U6" i="1"/>
  <c r="T6" i="1"/>
  <c r="S6" i="1"/>
  <c r="R6" i="1"/>
  <c r="E6" i="1"/>
  <c r="J12" i="4" l="1"/>
  <c r="B4" i="5"/>
  <c r="B3" i="5" s="1"/>
  <c r="C12" i="4"/>
  <c r="E12" i="4"/>
  <c r="G12" i="4"/>
  <c r="I12" i="4"/>
  <c r="E194" i="1"/>
  <c r="E195" i="1"/>
  <c r="E196" i="1"/>
  <c r="E197" i="1"/>
  <c r="E198" i="1"/>
  <c r="E199" i="1"/>
  <c r="E200" i="1"/>
  <c r="E201" i="1"/>
  <c r="T205" i="1"/>
  <c r="E108" i="1"/>
  <c r="E110" i="1"/>
  <c r="E168" i="1"/>
  <c r="E164" i="1"/>
  <c r="E172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6" i="1"/>
  <c r="E170" i="1"/>
  <c r="E174" i="1"/>
  <c r="L23" i="1"/>
  <c r="L209" i="1"/>
  <c r="L192" i="1"/>
  <c r="L193" i="1"/>
  <c r="L7" i="1"/>
  <c r="L15" i="1"/>
  <c r="L11" i="1"/>
  <c r="L19" i="1"/>
  <c r="R226" i="1"/>
  <c r="L217" i="1"/>
  <c r="L187" i="1"/>
  <c r="L197" i="1"/>
  <c r="L186" i="1"/>
  <c r="L190" i="1"/>
  <c r="L195" i="1"/>
  <c r="L199" i="1"/>
  <c r="T136" i="1"/>
  <c r="L9" i="1"/>
  <c r="L13" i="1"/>
  <c r="L17" i="1"/>
  <c r="L21" i="1"/>
  <c r="L221" i="1"/>
  <c r="L215" i="1"/>
  <c r="L219" i="1"/>
  <c r="L223" i="1"/>
  <c r="L214" i="1"/>
  <c r="L216" i="1"/>
  <c r="L218" i="1"/>
  <c r="L220" i="1"/>
  <c r="L222" i="1"/>
  <c r="L224" i="1"/>
  <c r="L147" i="1"/>
  <c r="L155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L41" i="1"/>
  <c r="E42" i="1"/>
  <c r="L43" i="1"/>
  <c r="E44" i="1"/>
  <c r="L46" i="1"/>
  <c r="E47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L179" i="1"/>
  <c r="L151" i="1"/>
  <c r="L159" i="1"/>
  <c r="L6" i="1"/>
  <c r="L8" i="1"/>
  <c r="L10" i="1"/>
  <c r="L12" i="1"/>
  <c r="L14" i="1"/>
  <c r="L16" i="1"/>
  <c r="L18" i="1"/>
  <c r="L20" i="1"/>
  <c r="L69" i="1"/>
  <c r="E70" i="1"/>
  <c r="L72" i="1"/>
  <c r="L149" i="1"/>
  <c r="L153" i="1"/>
  <c r="L157" i="1"/>
  <c r="L161" i="1"/>
  <c r="O206" i="1"/>
  <c r="O227" i="1" s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E46" i="1"/>
  <c r="L47" i="1"/>
  <c r="E48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76" i="1"/>
  <c r="L45" i="1"/>
  <c r="L148" i="1"/>
  <c r="L150" i="1"/>
  <c r="L152" i="1"/>
  <c r="L154" i="1"/>
  <c r="L156" i="1"/>
  <c r="L158" i="1"/>
  <c r="L160" i="1"/>
  <c r="L162" i="1"/>
  <c r="L164" i="1"/>
  <c r="L165" i="1"/>
  <c r="L168" i="1"/>
  <c r="L169" i="1"/>
  <c r="L172" i="1"/>
  <c r="L173" i="1"/>
  <c r="L140" i="1"/>
  <c r="L141" i="1"/>
  <c r="L84" i="1"/>
  <c r="L92" i="1"/>
  <c r="L96" i="1"/>
  <c r="L67" i="1"/>
  <c r="L74" i="1"/>
  <c r="L78" i="1"/>
  <c r="L82" i="1"/>
  <c r="L86" i="1"/>
  <c r="L90" i="1"/>
  <c r="L94" i="1"/>
  <c r="L98" i="1"/>
  <c r="L66" i="1"/>
  <c r="L68" i="1"/>
  <c r="L70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K206" i="1"/>
  <c r="L102" i="1" s="1"/>
  <c r="B3" i="3"/>
  <c r="C13" i="2"/>
  <c r="C3" i="2" s="1"/>
  <c r="R63" i="1"/>
  <c r="L101" i="1"/>
  <c r="E106" i="1"/>
  <c r="L106" i="1"/>
  <c r="L108" i="1"/>
  <c r="L110" i="1"/>
  <c r="L111" i="1"/>
  <c r="L113" i="1"/>
  <c r="L114" i="1"/>
  <c r="E115" i="1"/>
  <c r="E117" i="1"/>
  <c r="E119" i="1"/>
  <c r="E123" i="1"/>
  <c r="E125" i="1"/>
  <c r="L126" i="1"/>
  <c r="E127" i="1"/>
  <c r="S127" i="1"/>
  <c r="L128" i="1"/>
  <c r="L129" i="1"/>
  <c r="E133" i="1"/>
  <c r="B13" i="2"/>
  <c r="B3" i="2" s="1"/>
  <c r="D206" i="1"/>
  <c r="E63" i="1" s="1"/>
  <c r="R24" i="1"/>
  <c r="T24" i="1"/>
  <c r="B8" i="3"/>
  <c r="C14" i="2"/>
  <c r="C4" i="2" s="1"/>
  <c r="L88" i="1"/>
  <c r="B7" i="3"/>
  <c r="C15" i="2"/>
  <c r="C5" i="2" s="1"/>
  <c r="B16" i="2"/>
  <c r="B6" i="2" s="1"/>
  <c r="E135" i="1"/>
  <c r="E132" i="1"/>
  <c r="E130" i="1"/>
  <c r="E126" i="1"/>
  <c r="E114" i="1"/>
  <c r="R136" i="1"/>
  <c r="L135" i="1"/>
  <c r="B9" i="3"/>
  <c r="C16" i="2"/>
  <c r="C6" i="2" s="1"/>
  <c r="L134" i="1"/>
  <c r="L131" i="1"/>
  <c r="L127" i="1"/>
  <c r="L125" i="1"/>
  <c r="L123" i="1"/>
  <c r="L115" i="1"/>
  <c r="R106" i="1"/>
  <c r="E107" i="1"/>
  <c r="L107" i="1"/>
  <c r="E109" i="1"/>
  <c r="L109" i="1"/>
  <c r="E112" i="1"/>
  <c r="L112" i="1"/>
  <c r="E113" i="1"/>
  <c r="E116" i="1"/>
  <c r="L116" i="1"/>
  <c r="L117" i="1"/>
  <c r="E118" i="1"/>
  <c r="L118" i="1"/>
  <c r="L119" i="1"/>
  <c r="E120" i="1"/>
  <c r="L120" i="1"/>
  <c r="E124" i="1"/>
  <c r="L124" i="1"/>
  <c r="E129" i="1"/>
  <c r="R129" i="1"/>
  <c r="L130" i="1"/>
  <c r="E131" i="1"/>
  <c r="S131" i="1"/>
  <c r="L133" i="1"/>
  <c r="E139" i="1"/>
  <c r="E141" i="1"/>
  <c r="E143" i="1"/>
  <c r="E165" i="1"/>
  <c r="E167" i="1"/>
  <c r="E169" i="1"/>
  <c r="E171" i="1"/>
  <c r="E173" i="1"/>
  <c r="E175" i="1"/>
  <c r="E179" i="1"/>
  <c r="E181" i="1"/>
  <c r="L191" i="1"/>
  <c r="L194" i="1"/>
  <c r="L196" i="1"/>
  <c r="L198" i="1"/>
  <c r="L200" i="1"/>
  <c r="L204" i="1"/>
  <c r="R205" i="1"/>
  <c r="C17" i="2"/>
  <c r="C7" i="2" s="1"/>
  <c r="C18" i="2"/>
  <c r="C8" i="2" s="1"/>
  <c r="C19" i="2"/>
  <c r="C9" i="2" s="1"/>
  <c r="C20" i="2"/>
  <c r="C10" i="2" s="1"/>
  <c r="R144" i="1"/>
  <c r="R176" i="1"/>
  <c r="R182" i="1"/>
  <c r="E176" i="1" l="1"/>
  <c r="E182" i="1"/>
  <c r="E144" i="1"/>
  <c r="E136" i="1"/>
  <c r="L24" i="1"/>
  <c r="L205" i="1"/>
  <c r="L136" i="1"/>
  <c r="D227" i="1"/>
  <c r="E205" i="1"/>
  <c r="E102" i="1"/>
  <c r="K227" i="1"/>
  <c r="R206" i="1"/>
  <c r="L182" i="1"/>
  <c r="L176" i="1"/>
  <c r="L144" i="1"/>
  <c r="L63" i="1"/>
  <c r="E24" i="1"/>
</calcChain>
</file>

<file path=xl/sharedStrings.xml><?xml version="1.0" encoding="utf-8"?>
<sst xmlns="http://schemas.openxmlformats.org/spreadsheetml/2006/main" count="474" uniqueCount="301">
  <si>
    <t>NAV, Unit Price and Yield as at Week Ended October 11, 2024</t>
  </si>
  <si>
    <t>NAV, Unit Price and Yield as at Week Ended October 18, 2024</t>
  </si>
  <si>
    <t>% Change (Current from Previous)</t>
  </si>
  <si>
    <t>Difference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</si>
  <si>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</si>
  <si>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</si>
  <si>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</si>
  <si>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</si>
  <si>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</si>
  <si>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</si>
  <si>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</si>
  <si>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</si>
  <si>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</si>
  <si>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</si>
  <si>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</si>
  <si>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</si>
  <si>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</si>
  <si>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</si>
  <si>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S/N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</si>
  <si>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</si>
  <si>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</si>
  <si>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</si>
  <si>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</si>
  <si>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</si>
  <si>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</si>
  <si>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</si>
  <si>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</si>
  <si>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</si>
  <si>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</si>
  <si>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</si>
  <si>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</si>
  <si>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</si>
  <si>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</si>
  <si>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</si>
  <si>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</si>
  <si>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</si>
  <si>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</si>
  <si>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</si>
  <si>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</si>
  <si>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</si>
  <si>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</si>
  <si>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</si>
  <si>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</si>
  <si>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</si>
  <si>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</si>
  <si>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</si>
  <si>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</si>
  <si>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</si>
  <si>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</si>
  <si>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</si>
  <si>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</si>
  <si>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</si>
  <si>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</si>
  <si>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</si>
  <si>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</si>
  <si>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</si>
  <si>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</si>
  <si>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</si>
  <si>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</si>
  <si>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</si>
  <si>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</si>
  <si>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</si>
  <si>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</si>
  <si>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</si>
  <si>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</si>
  <si>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</si>
  <si>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</si>
  <si>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</si>
  <si>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</si>
  <si>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</si>
  <si>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</si>
  <si>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</si>
  <si>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</si>
  <si>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</si>
  <si>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</si>
  <si>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</si>
  <si>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</si>
  <si>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</si>
  <si>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</si>
  <si>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</si>
  <si>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</si>
  <si>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</si>
  <si>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</si>
  <si>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</si>
  <si>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</si>
  <si>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</si>
  <si>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</si>
  <si>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</si>
  <si>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</si>
  <si>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</si>
  <si>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</si>
  <si>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</si>
  <si>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</si>
  <si>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</si>
  <si>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</si>
  <si>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</si>
  <si>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</si>
  <si>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</si>
  <si>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</si>
  <si>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</si>
  <si>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</si>
  <si>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</si>
  <si>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</si>
  <si>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</si>
  <si>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</si>
  <si>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</si>
  <si>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</si>
  <si>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</si>
  <si>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</si>
  <si>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</si>
  <si>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</si>
  <si>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</si>
  <si>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</si>
  <si>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</si>
  <si>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</si>
  <si>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</si>
  <si>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</si>
  <si>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</si>
  <si>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</si>
  <si>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</si>
  <si>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</si>
  <si>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</si>
  <si>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</si>
  <si>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</si>
  <si>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</si>
  <si>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</si>
  <si>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</si>
  <si>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</si>
  <si>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</si>
  <si>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</si>
  <si>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</si>
  <si>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</si>
  <si>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</si>
  <si>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</si>
  <si>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</si>
  <si>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</si>
  <si>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</si>
  <si>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</si>
  <si>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</si>
  <si>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</si>
  <si>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</si>
  <si>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</si>
  <si>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</si>
  <si>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</si>
  <si>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</si>
  <si>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</si>
  <si>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</si>
  <si>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</si>
  <si>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</si>
  <si>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</si>
  <si>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</si>
  <si>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</si>
  <si>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</si>
  <si>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</si>
  <si>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</si>
  <si>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</si>
  <si>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</si>
  <si>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</si>
  <si>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</si>
  <si>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</si>
  <si>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</si>
  <si>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</si>
  <si>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</si>
  <si>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</si>
  <si>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</si>
  <si>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</si>
  <si>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</si>
  <si>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</si>
  <si>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</si>
  <si>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</si>
  <si>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</si>
  <si>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</si>
  <si>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</si>
  <si>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</si>
  <si>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</si>
  <si>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</si>
  <si>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</si>
  <si>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</si>
  <si>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</si>
  <si>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</si>
  <si>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</si>
  <si>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</si>
  <si>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 xml:space="preserve">                 2,530.16 </t>
  </si>
  <si>
    <t xml:space="preserve">        2,530.16 </t>
  </si>
  <si>
    <t>United Capital Global Fixed Income Fund</t>
  </si>
  <si>
    <t>RMBN Dollar Fixed Income Fund</t>
  </si>
  <si>
    <t>Zedcrest Dollar Fund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</si>
  <si>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</si>
  <si>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</si>
  <si>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</si>
  <si>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</si>
  <si>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</si>
  <si>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</si>
  <si>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</si>
  <si>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</si>
  <si>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</si>
  <si>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</si>
  <si>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</si>
  <si>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</si>
  <si>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</si>
  <si>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</si>
  <si>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</si>
  <si>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</si>
  <si>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</si>
  <si>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</si>
  <si>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</si>
  <si>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</si>
  <si>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</si>
  <si>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</si>
  <si>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</si>
  <si>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</si>
  <si>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</si>
  <si>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</si>
  <si>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</si>
  <si>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</si>
  <si>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</si>
  <si>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</si>
  <si>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</si>
  <si>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</si>
  <si>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</si>
  <si>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</si>
  <si>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</si>
  <si>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</si>
  <si>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</si>
  <si>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ARM Ethical Fund</t>
  </si>
  <si>
    <t>ESG Impact Fund</t>
  </si>
  <si>
    <t>Zenith Asset Management Ltd.</t>
  </si>
  <si>
    <t>Stanbic IBTC Ethical Fund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</si>
  <si>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</si>
  <si>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</si>
  <si>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</si>
  <si>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</si>
  <si>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</si>
  <si>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</si>
  <si>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</si>
  <si>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</si>
  <si>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</si>
  <si>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</si>
  <si>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</si>
  <si>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</si>
  <si>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</si>
  <si>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</si>
  <si>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</si>
  <si>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</si>
  <si>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</si>
  <si>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Lotus Waqf (Endowment) Fund</t>
  </si>
  <si>
    <t>Mutual Funds Total</t>
  </si>
  <si>
    <t>Nigeria Infrastructure Debt Fund (NIDF)</t>
  </si>
  <si>
    <t>Chapel Hill Denham Management Limited</t>
  </si>
  <si>
    <t>United Capital Infrastructure Fund</t>
  </si>
  <si>
    <t>Infrastructure Funds Total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</si>
  <si>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</si>
  <si>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</si>
  <si>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</si>
  <si>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</si>
  <si>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</si>
  <si>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</si>
  <si>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</si>
  <si>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</si>
  <si>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</si>
  <si>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</si>
  <si>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</si>
  <si>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</si>
  <si>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</si>
  <si>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</si>
  <si>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</si>
  <si>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</si>
  <si>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</si>
  <si>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</si>
  <si>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Week Ended October 11, 2024</t>
  </si>
  <si>
    <t>EQUITY BASED FUNDS</t>
  </si>
  <si>
    <t>MONEY MARKET FUNDS</t>
  </si>
  <si>
    <t>BONDS/FIXED INCOME FUNDS</t>
  </si>
  <si>
    <t>DOLLAR FUNDS</t>
  </si>
  <si>
    <t>REAL ESTATE INVESTMENT TRUST</t>
  </si>
  <si>
    <t>BALANCED FUNDS</t>
  </si>
  <si>
    <t>ETHICAL FUNDS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</si>
  <si>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</si>
  <si>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</si>
  <si>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</si>
  <si>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</si>
  <si>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</si>
  <si>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</si>
  <si>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</si>
  <si>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</si>
  <si>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</si>
  <si>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> 0.20</t>
  </si>
  <si>
    <t>BOND/FIXED INCOME FUNDS</t>
  </si>
  <si>
    <t>EUROBONDS</t>
  </si>
  <si>
    <t>FIXED INCOME</t>
  </si>
  <si>
    <t>REAL ESTATE INVESTMENT TRUSTS</t>
  </si>
  <si>
    <t>SHARI'AH COMPLIANT FUNDS</t>
  </si>
  <si>
    <t>EQUITIES</t>
  </si>
  <si>
    <t>BALANCED</t>
  </si>
  <si>
    <t>INFRASTRUCTURE FUNDS</t>
  </si>
  <si>
    <t>EXCHANGE TRADED FUNDS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</si>
  <si>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18th October, 2024 = N1,640.428</t>
    </r>
  </si>
  <si>
    <t>Note:</t>
  </si>
  <si>
    <t>Week Ended October 18, 2024</t>
  </si>
  <si>
    <t>The chart above shows that the Dollar Fund category (Eurobonds and Fixed Income) has the highest share of the Aggregate Net Asset Value (NAV) at 47.27%, followed by Money Market Fund with 40.30%, Bond/Fixed Income Fund at 5.96%, Real Estate Investment Trust at 2.71%.  Next is Balanced Fund at 1.42%, Shari'ah Compliant Fund at 1.40%, Equity Fund at 0.79% and Ethical Fund at 0.15%.</t>
  </si>
  <si>
    <t>WEEKLY VALUATION REPORT OF COLLECTIVE INVESTMENT SCHEMES AS AT WEEK ENDED FRIDAY, OCTOBER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</si>
</sst>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65">
    <font>
      <sz val="11"/>
      <color theme="1"/>
      <name val="Calibri"/>
      <charset val="134"/>
      <scheme val="minor"/>
    </font>
    <font>
      <b/>
      <sz val="12"/>
      <color theme="1"/>
      <name val="Arial Narrow"/>
      <charset val="134"/>
    </font>
    <font>
      <b/>
      <sz val="11"/>
      <color theme="1"/>
      <name val="Arial Narrow"/>
      <charset val="134"/>
    </font>
    <font>
      <sz val="11"/>
      <name val="Arial Narrow"/>
      <charset val="134"/>
    </font>
    <font>
      <sz val="11"/>
      <color theme="1"/>
      <name val="Arial Narrow"/>
      <charset val="134"/>
    </font>
    <font>
      <b/>
      <sz val="12"/>
      <name val="Arial Narrow"/>
      <charset val="134"/>
    </font>
    <font>
      <sz val="11"/>
      <name val="Calibri"/>
      <charset val="134"/>
      <scheme val="minor"/>
    </font>
    <font>
      <b/>
      <sz val="11"/>
      <name val="Arial Narrow"/>
      <charset val="134"/>
    </font>
    <font>
      <sz val="11"/>
      <name val="Arial Narrow"/>
      <charset val="134"/>
    </font>
    <font>
      <sz val="11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Arial Narrow"/>
      <charset val="134"/>
    </font>
    <font>
      <sz val="10"/>
      <color rgb="FFFF0000"/>
      <name val="Arial Narrow"/>
      <charset val="134"/>
    </font>
    <font>
      <b/>
      <sz val="8"/>
      <color theme="1"/>
      <name val="Arial Narrow"/>
      <charset val="134"/>
    </font>
    <font>
      <b/>
      <sz val="8"/>
      <name val="Arial Narrow"/>
      <charset val="134"/>
    </font>
    <font>
      <sz val="8"/>
      <color theme="1"/>
      <name val="Arial Narrow"/>
      <charset val="134"/>
    </font>
    <font>
      <sz val="8"/>
      <name val="Arial Narrow"/>
      <charset val="134"/>
    </font>
    <font>
      <b/>
      <sz val="8"/>
      <color theme="1"/>
      <name val="Arial Narrow"/>
      <charset val="134"/>
    </font>
    <font>
      <sz val="10"/>
      <color rgb="FF000000"/>
      <name val="Times New Roman"/>
      <charset val="134"/>
    </font>
    <font>
      <b/>
      <sz val="10"/>
      <name val="Arial Narrow"/>
      <charset val="134"/>
    </font>
    <font>
      <sz val="8"/>
      <color rgb="FF000000"/>
      <name val="Arial Narrow"/>
      <charset val="134"/>
    </font>
    <font>
      <sz val="12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sz val="8"/>
      <color rgb="FFFF0000"/>
      <name val="Arial Narrow"/>
      <charset val="134"/>
    </font>
    <font>
      <sz val="10"/>
      <name val="Arial Narrow"/>
      <charset val="134"/>
    </font>
    <font>
      <sz val="10"/>
      <color rgb="FF000000"/>
      <name val="Arial"/>
      <charset val="134"/>
    </font>
    <font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charset val="134"/>
      <scheme val="minor"/>
    </font>
    <font>
      <sz val="10"/>
      <name val="Arial"/>
      <charset val="134"/>
    </font>
    <font>
      <sz val="10"/>
      <color theme="1"/>
      <name val="Futura Bk BT"/>
      <charset val="134"/>
    </font>
    <font>
      <b/>
      <sz val="18"/>
      <color theme="3"/>
      <name val="Calibri Light"/>
      <charset val="134"/>
      <scheme val="major"/>
    </font>
    <font>
      <sz val="11"/>
      <color theme="1"/>
      <name val="Calibri"/>
      <charset val="134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b/>
      <sz val="9"/>
      <color theme="1"/>
      <name val="Arial Narrow"/>
      <family val="2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1"/>
      <name val="Calibri"/>
      <family val="2"/>
      <scheme val="minor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8"/>
      <color theme="0"/>
      <name val="Ebrima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43" fontId="2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18" borderId="0" applyNumberFormat="0" applyBorder="0" applyAlignment="0" applyProtection="0"/>
    <xf numFmtId="0" fontId="31" fillId="0" borderId="0"/>
    <xf numFmtId="0" fontId="34" fillId="0" borderId="0"/>
    <xf numFmtId="0" fontId="32" fillId="0" borderId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0" xfId="1" applyFont="1"/>
    <xf numFmtId="164" fontId="6" fillId="0" borderId="0" xfId="1" applyFont="1"/>
    <xf numFmtId="4" fontId="8" fillId="2" borderId="1" xfId="0" applyNumberFormat="1" applyFont="1" applyFill="1" applyBorder="1" applyAlignment="1">
      <alignment horizontal="right"/>
    </xf>
    <xf numFmtId="164" fontId="8" fillId="2" borderId="1" xfId="1" applyFont="1" applyFill="1" applyBorder="1" applyAlignment="1">
      <alignment horizontal="right" vertical="top" wrapText="1"/>
    </xf>
    <xf numFmtId="0" fontId="9" fillId="0" borderId="0" xfId="0" applyFont="1"/>
    <xf numFmtId="0" fontId="10" fillId="0" borderId="0" xfId="0" applyFont="1"/>
    <xf numFmtId="4" fontId="8" fillId="2" borderId="0" xfId="0" applyNumberFormat="1" applyFont="1" applyFill="1"/>
    <xf numFmtId="0" fontId="11" fillId="0" borderId="0" xfId="0" applyFont="1" applyAlignment="1">
      <alignment horizontal="right"/>
    </xf>
    <xf numFmtId="0" fontId="4" fillId="2" borderId="0" xfId="0" applyFont="1" applyFill="1" applyAlignment="1">
      <alignment wrapText="1"/>
    </xf>
    <xf numFmtId="0" fontId="13" fillId="8" borderId="1" xfId="0" applyFont="1" applyFill="1" applyBorder="1"/>
    <xf numFmtId="0" fontId="1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164" fontId="13" fillId="3" borderId="1" xfId="1" applyFont="1" applyFill="1" applyBorder="1" applyAlignment="1">
      <alignment horizontal="center" vertical="top"/>
    </xf>
    <xf numFmtId="10" fontId="18" fillId="11" borderId="0" xfId="0" applyNumberFormat="1" applyFont="1" applyFill="1" applyAlignment="1">
      <alignment horizontal="right" vertical="center" wrapText="1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164" fontId="0" fillId="0" borderId="0" xfId="1" applyFont="1"/>
    <xf numFmtId="0" fontId="16" fillId="13" borderId="1" xfId="0" applyFont="1" applyFill="1" applyBorder="1" applyAlignment="1">
      <alignment horizontal="right" vertical="top" wrapText="1"/>
    </xf>
    <xf numFmtId="0" fontId="19" fillId="13" borderId="1" xfId="0" applyFont="1" applyFill="1" applyBorder="1" applyAlignment="1">
      <alignment horizontal="right" vertical="top" wrapText="1"/>
    </xf>
    <xf numFmtId="164" fontId="19" fillId="13" borderId="1" xfId="1" applyFont="1" applyFill="1" applyBorder="1" applyAlignment="1">
      <alignment horizontal="right" vertical="top" wrapText="1"/>
    </xf>
    <xf numFmtId="164" fontId="24" fillId="13" borderId="1" xfId="1" applyFont="1" applyFill="1" applyBorder="1" applyAlignment="1">
      <alignment horizontal="right" vertical="top" wrapText="1"/>
    </xf>
    <xf numFmtId="4" fontId="24" fillId="13" borderId="1" xfId="0" applyNumberFormat="1" applyFont="1" applyFill="1" applyBorder="1" applyAlignment="1">
      <alignment horizontal="right"/>
    </xf>
    <xf numFmtId="0" fontId="25" fillId="0" borderId="0" xfId="0" applyFont="1"/>
    <xf numFmtId="0" fontId="26" fillId="0" borderId="0" xfId="0" applyFont="1"/>
    <xf numFmtId="43" fontId="0" fillId="0" borderId="0" xfId="0" applyNumberFormat="1"/>
    <xf numFmtId="0" fontId="27" fillId="0" borderId="0" xfId="0" applyFont="1"/>
    <xf numFmtId="0" fontId="23" fillId="2" borderId="0" xfId="0" applyFont="1" applyFill="1" applyAlignment="1">
      <alignment wrapText="1"/>
    </xf>
    <xf numFmtId="43" fontId="27" fillId="0" borderId="0" xfId="11" applyFont="1" applyBorder="1"/>
    <xf numFmtId="2" fontId="27" fillId="0" borderId="0" xfId="0" applyNumberFormat="1" applyFont="1"/>
    <xf numFmtId="9" fontId="24" fillId="13" borderId="1" xfId="2" applyFont="1" applyFill="1" applyBorder="1" applyAlignment="1">
      <alignment horizontal="center"/>
    </xf>
    <xf numFmtId="4" fontId="24" fillId="13" borderId="1" xfId="0" applyNumberFormat="1" applyFont="1" applyFill="1" applyBorder="1" applyAlignment="1">
      <alignment horizontal="center"/>
    </xf>
    <xf numFmtId="10" fontId="27" fillId="0" borderId="0" xfId="2" applyNumberFormat="1" applyFont="1" applyBorder="1"/>
    <xf numFmtId="10" fontId="28" fillId="0" borderId="0" xfId="2" applyNumberFormat="1" applyFont="1" applyBorder="1"/>
    <xf numFmtId="10" fontId="24" fillId="13" borderId="1" xfId="2" applyNumberFormat="1" applyFont="1" applyFill="1" applyBorder="1" applyAlignment="1">
      <alignment horizontal="center" vertical="top" wrapText="1"/>
    </xf>
    <xf numFmtId="166" fontId="24" fillId="13" borderId="1" xfId="2" applyNumberFormat="1" applyFont="1" applyFill="1" applyBorder="1" applyAlignment="1">
      <alignment horizontal="center" vertical="top" wrapText="1"/>
    </xf>
    <xf numFmtId="166" fontId="16" fillId="13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4" fontId="35" fillId="2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4" fontId="36" fillId="2" borderId="1" xfId="0" applyNumberFormat="1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4" fontId="36" fillId="2" borderId="1" xfId="0" applyNumberFormat="1" applyFont="1" applyFill="1" applyBorder="1"/>
    <xf numFmtId="164" fontId="36" fillId="2" borderId="1" xfId="10" applyFont="1" applyFill="1" applyBorder="1"/>
    <xf numFmtId="4" fontId="36" fillId="0" borderId="1" xfId="0" applyNumberFormat="1" applyFont="1" applyBorder="1" applyAlignment="1">
      <alignment wrapText="1"/>
    </xf>
    <xf numFmtId="10" fontId="36" fillId="10" borderId="1" xfId="2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center" wrapText="1"/>
    </xf>
    <xf numFmtId="0" fontId="14" fillId="3" borderId="1" xfId="0" applyFont="1" applyFill="1" applyBorder="1" applyAlignment="1">
      <alignment horizontal="center" vertical="top" wrapText="1"/>
    </xf>
    <xf numFmtId="10" fontId="36" fillId="8" borderId="1" xfId="2" applyNumberFormat="1" applyFont="1" applyFill="1" applyBorder="1" applyAlignment="1">
      <alignment horizontal="center"/>
    </xf>
    <xf numFmtId="4" fontId="36" fillId="2" borderId="1" xfId="0" applyNumberFormat="1" applyFont="1" applyFill="1" applyBorder="1" applyAlignment="1">
      <alignment horizontal="right"/>
    </xf>
    <xf numFmtId="164" fontId="36" fillId="10" borderId="1" xfId="1" applyFont="1" applyFill="1" applyBorder="1" applyAlignment="1">
      <alignment horizontal="center"/>
    </xf>
    <xf numFmtId="10" fontId="36" fillId="3" borderId="1" xfId="2" applyNumberFormat="1" applyFont="1" applyFill="1" applyBorder="1" applyAlignment="1">
      <alignment horizontal="center" vertical="top" wrapText="1"/>
    </xf>
    <xf numFmtId="10" fontId="35" fillId="3" borderId="1" xfId="2" applyNumberFormat="1" applyFont="1" applyFill="1" applyBorder="1" applyAlignment="1">
      <alignment horizontal="center" vertical="top" wrapText="1"/>
    </xf>
    <xf numFmtId="10" fontId="35" fillId="3" borderId="1" xfId="1" applyNumberFormat="1" applyFont="1" applyFill="1" applyBorder="1" applyAlignment="1">
      <alignment horizontal="center" vertical="top" wrapText="1"/>
    </xf>
    <xf numFmtId="164" fontId="35" fillId="10" borderId="1" xfId="1" applyFont="1" applyFill="1" applyBorder="1" applyAlignment="1">
      <alignment horizontal="center"/>
    </xf>
    <xf numFmtId="10" fontId="35" fillId="10" borderId="1" xfId="2" applyNumberFormat="1" applyFont="1" applyFill="1" applyBorder="1" applyAlignment="1">
      <alignment horizontal="center"/>
    </xf>
    <xf numFmtId="164" fontId="36" fillId="2" borderId="1" xfId="1" applyFont="1" applyFill="1" applyBorder="1"/>
    <xf numFmtId="0" fontId="35" fillId="2" borderId="1" xfId="0" applyFont="1" applyFill="1" applyBorder="1"/>
    <xf numFmtId="0" fontId="44" fillId="2" borderId="1" xfId="0" applyFont="1" applyFill="1" applyBorder="1" applyAlignment="1">
      <alignment horizontal="right"/>
    </xf>
    <xf numFmtId="164" fontId="44" fillId="2" borderId="1" xfId="1" applyFont="1" applyFill="1" applyBorder="1" applyAlignment="1">
      <alignment horizontal="right" vertical="top" wrapText="1"/>
    </xf>
    <xf numFmtId="10" fontId="45" fillId="8" borderId="1" xfId="2" applyNumberFormat="1" applyFont="1" applyFill="1" applyBorder="1" applyAlignment="1">
      <alignment horizontal="center" vertical="top" wrapText="1"/>
    </xf>
    <xf numFmtId="10" fontId="36" fillId="2" borderId="1" xfId="2" applyNumberFormat="1" applyFont="1" applyFill="1" applyBorder="1" applyAlignment="1">
      <alignment horizontal="center" vertical="top" wrapText="1"/>
    </xf>
    <xf numFmtId="4" fontId="36" fillId="2" borderId="1" xfId="1" applyNumberFormat="1" applyFont="1" applyFill="1" applyBorder="1" applyAlignment="1">
      <alignment vertical="top" wrapText="1"/>
    </xf>
    <xf numFmtId="164" fontId="44" fillId="10" borderId="1" xfId="1" applyFont="1" applyFill="1" applyBorder="1" applyAlignment="1">
      <alignment horizontal="center"/>
    </xf>
    <xf numFmtId="10" fontId="36" fillId="10" borderId="1" xfId="2" applyNumberFormat="1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wrapText="1"/>
    </xf>
    <xf numFmtId="164" fontId="36" fillId="2" borderId="1" xfId="10" applyFont="1" applyFill="1" applyBorder="1" applyAlignment="1">
      <alignment horizontal="right"/>
    </xf>
    <xf numFmtId="4" fontId="36" fillId="2" borderId="1" xfId="1" applyNumberFormat="1" applyFont="1" applyFill="1" applyBorder="1" applyAlignment="1">
      <alignment horizontal="right"/>
    </xf>
    <xf numFmtId="164" fontId="36" fillId="10" borderId="1" xfId="1" applyFont="1" applyFill="1" applyBorder="1" applyAlignment="1">
      <alignment horizontal="center" wrapText="1"/>
    </xf>
    <xf numFmtId="10" fontId="36" fillId="10" borderId="1" xfId="2" applyNumberFormat="1" applyFont="1" applyFill="1" applyBorder="1" applyAlignment="1">
      <alignment horizontal="center" wrapText="1"/>
    </xf>
    <xf numFmtId="10" fontId="36" fillId="8" borderId="1" xfId="2" applyNumberFormat="1" applyFont="1" applyFill="1" applyBorder="1" applyAlignment="1">
      <alignment horizontal="center" wrapText="1"/>
    </xf>
    <xf numFmtId="164" fontId="36" fillId="2" borderId="1" xfId="10" applyFont="1" applyFill="1" applyBorder="1" applyAlignment="1">
      <alignment horizontal="right" wrapText="1"/>
    </xf>
    <xf numFmtId="164" fontId="44" fillId="2" borderId="1" xfId="1" applyFont="1" applyFill="1" applyBorder="1" applyAlignment="1">
      <alignment horizontal="right"/>
    </xf>
    <xf numFmtId="10" fontId="36" fillId="10" borderId="1" xfId="1" applyNumberFormat="1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2" fontId="36" fillId="2" borderId="1" xfId="0" applyNumberFormat="1" applyFont="1" applyFill="1" applyBorder="1"/>
    <xf numFmtId="164" fontId="36" fillId="2" borderId="1" xfId="10" applyFont="1" applyFill="1" applyBorder="1" applyAlignment="1">
      <alignment wrapText="1"/>
    </xf>
    <xf numFmtId="10" fontId="36" fillId="7" borderId="1" xfId="2" applyNumberFormat="1" applyFont="1" applyFill="1" applyBorder="1" applyAlignment="1">
      <alignment horizontal="center"/>
    </xf>
    <xf numFmtId="164" fontId="36" fillId="19" borderId="1" xfId="1" applyFont="1" applyFill="1" applyBorder="1" applyAlignment="1">
      <alignment horizontal="center"/>
    </xf>
    <xf numFmtId="10" fontId="36" fillId="19" borderId="1" xfId="2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right"/>
    </xf>
    <xf numFmtId="4" fontId="36" fillId="10" borderId="1" xfId="1" applyNumberFormat="1" applyFont="1" applyFill="1" applyBorder="1" applyAlignment="1">
      <alignment horizontal="center"/>
    </xf>
    <xf numFmtId="0" fontId="46" fillId="2" borderId="1" xfId="0" applyFont="1" applyFill="1" applyBorder="1"/>
    <xf numFmtId="4" fontId="36" fillId="2" borderId="1" xfId="1" applyNumberFormat="1" applyFont="1" applyFill="1" applyBorder="1" applyAlignment="1">
      <alignment horizontal="right" vertical="top" wrapText="1"/>
    </xf>
    <xf numFmtId="4" fontId="36" fillId="10" borderId="1" xfId="1" applyNumberFormat="1" applyFont="1" applyFill="1" applyBorder="1" applyAlignment="1">
      <alignment horizontal="center" vertical="top" wrapText="1"/>
    </xf>
    <xf numFmtId="164" fontId="44" fillId="2" borderId="1" xfId="1" applyFont="1" applyFill="1" applyBorder="1"/>
    <xf numFmtId="43" fontId="36" fillId="2" borderId="1" xfId="0" applyNumberFormat="1" applyFont="1" applyFill="1" applyBorder="1"/>
    <xf numFmtId="43" fontId="36" fillId="10" borderId="1" xfId="0" applyNumberFormat="1" applyFont="1" applyFill="1" applyBorder="1" applyAlignment="1">
      <alignment horizontal="center"/>
    </xf>
    <xf numFmtId="4" fontId="36" fillId="2" borderId="1" xfId="10" applyNumberFormat="1" applyFont="1" applyFill="1" applyBorder="1" applyAlignment="1">
      <alignment horizontal="right"/>
    </xf>
    <xf numFmtId="4" fontId="36" fillId="2" borderId="1" xfId="10" applyNumberFormat="1" applyFont="1" applyFill="1" applyBorder="1" applyAlignment="1">
      <alignment horizontal="right" wrapText="1"/>
    </xf>
    <xf numFmtId="0" fontId="36" fillId="12" borderId="1" xfId="0" applyFont="1" applyFill="1" applyBorder="1" applyAlignment="1">
      <alignment horizontal="right" vertical="center"/>
    </xf>
    <xf numFmtId="0" fontId="44" fillId="12" borderId="1" xfId="0" applyFont="1" applyFill="1" applyBorder="1" applyAlignment="1">
      <alignment horizontal="right" vertical="center"/>
    </xf>
    <xf numFmtId="164" fontId="44" fillId="12" borderId="1" xfId="1" applyFont="1" applyFill="1" applyBorder="1" applyAlignment="1">
      <alignment horizontal="right" vertical="center" wrapText="1"/>
    </xf>
    <xf numFmtId="10" fontId="36" fillId="12" borderId="1" xfId="1" applyNumberFormat="1" applyFont="1" applyFill="1" applyBorder="1" applyAlignment="1">
      <alignment horizontal="right" vertical="center" wrapText="1"/>
    </xf>
    <xf numFmtId="4" fontId="36" fillId="12" borderId="1" xfId="1" applyNumberFormat="1" applyFont="1" applyFill="1" applyBorder="1" applyAlignment="1">
      <alignment horizontal="right" vertical="center" wrapText="1"/>
    </xf>
    <xf numFmtId="9" fontId="36" fillId="12" borderId="1" xfId="2" applyFont="1" applyFill="1" applyBorder="1" applyAlignment="1">
      <alignment horizontal="center" vertical="center" wrapText="1"/>
    </xf>
    <xf numFmtId="4" fontId="36" fillId="12" borderId="1" xfId="1" applyNumberFormat="1" applyFont="1" applyFill="1" applyBorder="1" applyAlignment="1">
      <alignment horizontal="center" vertical="center" wrapText="1"/>
    </xf>
    <xf numFmtId="10" fontId="35" fillId="12" borderId="1" xfId="2" applyNumberFormat="1" applyFont="1" applyFill="1" applyBorder="1" applyAlignment="1">
      <alignment horizontal="center" vertical="top" wrapText="1"/>
    </xf>
    <xf numFmtId="4" fontId="36" fillId="2" borderId="1" xfId="10" applyNumberFormat="1" applyFont="1" applyFill="1" applyBorder="1" applyAlignment="1">
      <alignment horizontal="right" vertical="top" wrapText="1"/>
    </xf>
    <xf numFmtId="164" fontId="44" fillId="12" borderId="1" xfId="1" applyFont="1" applyFill="1" applyBorder="1" applyAlignment="1">
      <alignment horizontal="right" vertical="top" wrapText="1"/>
    </xf>
    <xf numFmtId="164" fontId="47" fillId="12" borderId="1" xfId="1" applyFont="1" applyFill="1" applyBorder="1" applyAlignment="1">
      <alignment horizontal="right" vertical="top" wrapText="1"/>
    </xf>
    <xf numFmtId="4" fontId="36" fillId="12" borderId="1" xfId="1" applyNumberFormat="1" applyFont="1" applyFill="1" applyBorder="1" applyAlignment="1">
      <alignment horizontal="right" vertical="top" wrapText="1"/>
    </xf>
    <xf numFmtId="4" fontId="36" fillId="12" borderId="1" xfId="1" applyNumberFormat="1" applyFont="1" applyFill="1" applyBorder="1" applyAlignment="1">
      <alignment horizontal="center" vertical="top" wrapText="1"/>
    </xf>
    <xf numFmtId="166" fontId="35" fillId="12" borderId="1" xfId="2" applyNumberFormat="1" applyFont="1" applyFill="1" applyBorder="1" applyAlignment="1">
      <alignment horizontal="center" vertical="top" wrapText="1"/>
    </xf>
    <xf numFmtId="10" fontId="35" fillId="12" borderId="1" xfId="1" applyNumberFormat="1" applyFont="1" applyFill="1" applyBorder="1" applyAlignment="1">
      <alignment horizontal="center" vertical="top" wrapText="1"/>
    </xf>
    <xf numFmtId="0" fontId="35" fillId="2" borderId="1" xfId="0" applyFont="1" applyFill="1" applyBorder="1" applyAlignment="1">
      <alignment horizontal="center"/>
    </xf>
    <xf numFmtId="164" fontId="36" fillId="2" borderId="1" xfId="10" applyFont="1" applyFill="1" applyBorder="1" applyAlignment="1">
      <alignment horizontal="right" vertical="top" wrapText="1"/>
    </xf>
    <xf numFmtId="10" fontId="36" fillId="8" borderId="1" xfId="2" applyNumberFormat="1" applyFont="1" applyFill="1" applyBorder="1" applyAlignment="1">
      <alignment horizontal="center" vertical="top" wrapText="1"/>
    </xf>
    <xf numFmtId="164" fontId="36" fillId="10" borderId="1" xfId="1" applyFont="1" applyFill="1" applyBorder="1" applyAlignment="1">
      <alignment horizontal="center" vertical="top" wrapText="1"/>
    </xf>
    <xf numFmtId="164" fontId="36" fillId="2" borderId="1" xfId="1" applyFont="1" applyFill="1" applyBorder="1" applyAlignment="1">
      <alignment horizontal="right" vertical="top" wrapText="1"/>
    </xf>
    <xf numFmtId="0" fontId="36" fillId="2" borderId="1" xfId="0" applyFont="1" applyFill="1" applyBorder="1" applyAlignment="1">
      <alignment horizontal="left" wrapText="1"/>
    </xf>
    <xf numFmtId="49" fontId="36" fillId="0" borderId="1" xfId="0" applyNumberFormat="1" applyFont="1" applyBorder="1" applyAlignment="1">
      <alignment wrapText="1"/>
    </xf>
    <xf numFmtId="0" fontId="42" fillId="9" borderId="1" xfId="0" applyFont="1" applyFill="1" applyBorder="1" applyAlignment="1">
      <alignment horizontal="center"/>
    </xf>
    <xf numFmtId="0" fontId="42" fillId="21" borderId="1" xfId="0" applyFont="1" applyFill="1" applyBorder="1" applyAlignment="1">
      <alignment horizontal="center" wrapText="1"/>
    </xf>
    <xf numFmtId="0" fontId="41" fillId="0" borderId="0" xfId="0" applyFont="1" applyBorder="1" applyAlignment="1">
      <alignment horizontal="right"/>
    </xf>
    <xf numFmtId="4" fontId="44" fillId="10" borderId="1" xfId="1" applyNumberFormat="1" applyFont="1" applyFill="1" applyBorder="1" applyAlignment="1">
      <alignment horizontal="right" vertical="top" wrapText="1"/>
    </xf>
    <xf numFmtId="0" fontId="51" fillId="0" borderId="0" xfId="0" applyFont="1"/>
    <xf numFmtId="164" fontId="52" fillId="2" borderId="0" xfId="1" applyFont="1" applyFill="1" applyBorder="1" applyAlignment="1">
      <alignment horizontal="right" vertical="top" wrapText="1"/>
    </xf>
    <xf numFmtId="4" fontId="52" fillId="2" borderId="0" xfId="0" applyNumberFormat="1" applyFont="1" applyFill="1"/>
    <xf numFmtId="4" fontId="52" fillId="2" borderId="0" xfId="0" applyNumberFormat="1" applyFont="1" applyFill="1" applyAlignment="1">
      <alignment horizontal="right"/>
    </xf>
    <xf numFmtId="0" fontId="41" fillId="0" borderId="0" xfId="0" applyFont="1" applyAlignment="1">
      <alignment horizontal="right"/>
    </xf>
    <xf numFmtId="0" fontId="53" fillId="0" borderId="0" xfId="0" applyFont="1" applyBorder="1" applyAlignment="1">
      <alignment horizontal="right"/>
    </xf>
    <xf numFmtId="16" fontId="54" fillId="2" borderId="0" xfId="0" applyNumberFormat="1" applyFont="1" applyFill="1" applyBorder="1"/>
    <xf numFmtId="0" fontId="39" fillId="0" borderId="0" xfId="0" applyFont="1"/>
    <xf numFmtId="0" fontId="54" fillId="0" borderId="0" xfId="0" applyFont="1" applyBorder="1" applyAlignment="1">
      <alignment horizontal="right"/>
    </xf>
    <xf numFmtId="4" fontId="55" fillId="2" borderId="0" xfId="0" applyNumberFormat="1" applyFont="1" applyFill="1" applyBorder="1"/>
    <xf numFmtId="164" fontId="55" fillId="2" borderId="0" xfId="1" applyFont="1" applyFill="1" applyBorder="1" applyAlignment="1">
      <alignment horizontal="right" vertical="top" wrapText="1"/>
    </xf>
    <xf numFmtId="4" fontId="55" fillId="2" borderId="0" xfId="0" applyNumberFormat="1" applyFont="1" applyFill="1" applyBorder="1" applyAlignment="1">
      <alignment horizontal="right"/>
    </xf>
    <xf numFmtId="0" fontId="39" fillId="0" borderId="0" xfId="0" applyFont="1" applyBorder="1"/>
    <xf numFmtId="164" fontId="39" fillId="0" borderId="0" xfId="1" applyFont="1" applyBorder="1"/>
    <xf numFmtId="0" fontId="38" fillId="0" borderId="0" xfId="0" applyFont="1"/>
    <xf numFmtId="16" fontId="56" fillId="2" borderId="0" xfId="0" applyNumberFormat="1" applyFont="1" applyFill="1"/>
    <xf numFmtId="164" fontId="57" fillId="0" borderId="0" xfId="1" applyFont="1"/>
    <xf numFmtId="43" fontId="57" fillId="0" borderId="0" xfId="0" applyNumberFormat="1" applyFont="1"/>
    <xf numFmtId="4" fontId="57" fillId="0" borderId="0" xfId="0" applyNumberFormat="1" applyFont="1"/>
    <xf numFmtId="0" fontId="58" fillId="5" borderId="0" xfId="0" applyFont="1" applyFill="1" applyAlignment="1">
      <alignment horizontal="center" wrapText="1"/>
    </xf>
    <xf numFmtId="0" fontId="59" fillId="0" borderId="0" xfId="0" applyFont="1" applyBorder="1" applyAlignment="1">
      <alignment horizontal="right"/>
    </xf>
    <xf numFmtId="16" fontId="59" fillId="2" borderId="0" xfId="0" applyNumberFormat="1" applyFont="1" applyFill="1" applyBorder="1" applyAlignment="1">
      <alignment horizontal="center" wrapText="1"/>
    </xf>
    <xf numFmtId="0" fontId="60" fillId="0" borderId="0" xfId="0" applyFont="1" applyBorder="1"/>
    <xf numFmtId="0" fontId="59" fillId="0" borderId="0" xfId="0" applyFont="1" applyBorder="1" applyAlignment="1">
      <alignment horizontal="right" wrapText="1"/>
    </xf>
    <xf numFmtId="4" fontId="61" fillId="2" borderId="0" xfId="0" applyNumberFormat="1" applyFont="1" applyFill="1" applyBorder="1"/>
    <xf numFmtId="4" fontId="61" fillId="2" borderId="0" xfId="0" applyNumberFormat="1" applyFont="1" applyFill="1" applyBorder="1" applyAlignment="1">
      <alignment horizontal="right"/>
    </xf>
    <xf numFmtId="164" fontId="61" fillId="2" borderId="0" xfId="1" applyFont="1" applyFill="1" applyBorder="1" applyAlignment="1">
      <alignment horizontal="right" vertical="top" wrapText="1"/>
    </xf>
    <xf numFmtId="0" fontId="62" fillId="0" borderId="0" xfId="0" applyFont="1" applyBorder="1" applyAlignment="1">
      <alignment horizontal="right" wrapText="1"/>
    </xf>
    <xf numFmtId="164" fontId="63" fillId="0" borderId="0" xfId="1" applyFont="1" applyBorder="1"/>
    <xf numFmtId="4" fontId="63" fillId="2" borderId="0" xfId="0" applyNumberFormat="1" applyFont="1" applyFill="1" applyBorder="1"/>
    <xf numFmtId="0" fontId="62" fillId="0" borderId="0" xfId="0" applyFont="1" applyBorder="1" applyAlignment="1">
      <alignment horizontal="right"/>
    </xf>
    <xf numFmtId="4" fontId="63" fillId="2" borderId="0" xfId="0" applyNumberFormat="1" applyFont="1" applyFill="1" applyBorder="1" applyAlignment="1">
      <alignment horizontal="right"/>
    </xf>
    <xf numFmtId="164" fontId="63" fillId="2" borderId="0" xfId="1" applyFont="1" applyFill="1" applyBorder="1" applyAlignment="1">
      <alignment horizontal="right" vertical="top" wrapText="1"/>
    </xf>
    <xf numFmtId="0" fontId="54" fillId="0" borderId="0" xfId="0" applyFont="1" applyAlignment="1">
      <alignment horizontal="right"/>
    </xf>
    <xf numFmtId="4" fontId="55" fillId="2" borderId="0" xfId="0" applyNumberFormat="1" applyFont="1" applyFill="1"/>
    <xf numFmtId="0" fontId="64" fillId="6" borderId="1" xfId="0" applyFont="1" applyFill="1" applyBorder="1" applyAlignment="1">
      <alignment horizontal="center"/>
    </xf>
    <xf numFmtId="0" fontId="0" fillId="7" borderId="1" xfId="0" applyFill="1" applyBorder="1"/>
    <xf numFmtId="0" fontId="17" fillId="8" borderId="1" xfId="0" applyFont="1" applyFill="1" applyBorder="1" applyAlignment="1">
      <alignment horizontal="center" vertical="top" wrapText="1"/>
    </xf>
    <xf numFmtId="0" fontId="0" fillId="0" borderId="1" xfId="0" applyBorder="1"/>
    <xf numFmtId="0" fontId="43" fillId="9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6" fillId="0" borderId="1" xfId="0" applyFont="1" applyBorder="1" applyAlignment="1">
      <alignment horizontal="center"/>
    </xf>
    <xf numFmtId="0" fontId="48" fillId="20" borderId="1" xfId="0" applyFont="1" applyFill="1" applyBorder="1" applyAlignment="1">
      <alignment horizontal="center"/>
    </xf>
    <xf numFmtId="4" fontId="37" fillId="0" borderId="1" xfId="0" applyNumberFormat="1" applyFont="1" applyFill="1" applyBorder="1" applyAlignment="1" applyProtection="1"/>
    <xf numFmtId="4" fontId="36" fillId="2" borderId="1" xfId="0" applyNumberFormat="1" applyFont="1" applyFill="1" applyBorder="1" applyAlignment="1">
      <alignment horizontal="right" wrapText="1"/>
    </xf>
    <xf numFmtId="0" fontId="35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6" fillId="12" borderId="1" xfId="0" applyFont="1" applyFill="1" applyBorder="1" applyAlignment="1">
      <alignment horizontal="right"/>
    </xf>
    <xf numFmtId="0" fontId="44" fillId="12" borderId="1" xfId="0" applyFont="1" applyFill="1" applyBorder="1" applyAlignment="1">
      <alignment horizontal="right"/>
    </xf>
    <xf numFmtId="0" fontId="49" fillId="6" borderId="1" xfId="0" applyFont="1" applyFill="1" applyBorder="1" applyAlignment="1">
      <alignment horizontal="right" vertical="center"/>
    </xf>
    <xf numFmtId="0" fontId="49" fillId="6" borderId="1" xfId="0" applyFont="1" applyFill="1" applyBorder="1" applyAlignment="1">
      <alignment horizontal="left"/>
    </xf>
    <xf numFmtId="0" fontId="9" fillId="6" borderId="1" xfId="0" applyFont="1" applyFill="1" applyBorder="1"/>
  </cellXfs>
  <cellStyles count="28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October 11,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1454.5468602184092</c:v>
                </c:pt>
                <c:pt idx="1">
                  <c:v>215.87323731121811</c:v>
                </c:pt>
                <c:pt idx="2">
                  <c:v>1701.9144035928202</c:v>
                </c:pt>
                <c:pt idx="3">
                  <c:v>98.713044971160656</c:v>
                </c:pt>
                <c:pt idx="4" formatCode="_-* #,##0.00_-;\-* #,##0.00_-;_-* &quot;-&quot;??_-;_-@_-">
                  <c:v>51.76875082583782</c:v>
                </c:pt>
                <c:pt idx="5">
                  <c:v>5.4467324617899999</c:v>
                </c:pt>
                <c:pt idx="6">
                  <c:v>51.477048630500875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D-4122-88CB-8E43C765DFA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October 18,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1470.975929116318</c:v>
                </c:pt>
                <c:pt idx="1">
                  <c:v>217.59624471189483</c:v>
                </c:pt>
                <c:pt idx="2">
                  <c:v>1725.2497696005873</c:v>
                </c:pt>
                <c:pt idx="3">
                  <c:v>98.768307559734097</c:v>
                </c:pt>
                <c:pt idx="4" formatCode="_-* #,##0.00_-;\-* #,##0.00_-;_-* &quot;-&quot;??_-;_-@_-">
                  <c:v>51.772807386092971</c:v>
                </c:pt>
                <c:pt idx="5">
                  <c:v>5.39463762893</c:v>
                </c:pt>
                <c:pt idx="6">
                  <c:v>51.262988903490061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D-4122-88CB-8E43C765DF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18TH OCTOBER,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18-Oct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DE-4751-93A2-25B9382548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DE-4751-93A2-25B9382548A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DE-4751-93A2-25B9382548A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DE-4751-93A2-25B9382548A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ADE-4751-93A2-25B9382548A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ADE-4751-93A2-25B9382548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ADE-4751-93A2-25B9382548A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ADE-4751-93A2-25B9382548A8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DE-4751-93A2-25B9382548A8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DE-4751-93A2-25B9382548A8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DE-4751-93A2-25B9382548A8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ADE-4751-93A2-25B9382548A8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ADE-4751-93A2-25B9382548A8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ADE-4751-93A2-25B9382548A8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ADE-4751-93A2-25B9382548A8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ADE-4751-93A2-25B9382548A8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5394637628.9300003</c:v>
                </c:pt>
                <c:pt idx="1">
                  <c:v>28835332748.210007</c:v>
                </c:pt>
                <c:pt idx="2" formatCode="_-* #,##0.00_-;\-* #,##0.00_-;_-* &quot;-&quot;??_-;_-@_-">
                  <c:v>51262988903.490059</c:v>
                </c:pt>
                <c:pt idx="3">
                  <c:v>51772807386.092972</c:v>
                </c:pt>
                <c:pt idx="4">
                  <c:v>98768307559.7341</c:v>
                </c:pt>
                <c:pt idx="5">
                  <c:v>217596244711.89484</c:v>
                </c:pt>
                <c:pt idx="6">
                  <c:v>1470975929116.3179</c:v>
                </c:pt>
                <c:pt idx="7">
                  <c:v>1725249769600.5874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DE-4751-93A2-25B9382548A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45534</c:v>
                </c:pt>
                <c:pt idx="1">
                  <c:v>45541</c:v>
                </c:pt>
                <c:pt idx="2">
                  <c:v>45548</c:v>
                </c:pt>
                <c:pt idx="3">
                  <c:v>45555</c:v>
                </c:pt>
                <c:pt idx="4">
                  <c:v>45562</c:v>
                </c:pt>
                <c:pt idx="5">
                  <c:v>45569</c:v>
                </c:pt>
                <c:pt idx="6">
                  <c:v>45576</c:v>
                </c:pt>
                <c:pt idx="7">
                  <c:v>45583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3346.0742802576997</c:v>
                </c:pt>
                <c:pt idx="1">
                  <c:v>3400.7528613225986</c:v>
                </c:pt>
                <c:pt idx="2">
                  <c:v>3452.8102334622345</c:v>
                </c:pt>
                <c:pt idx="3">
                  <c:v>3459.9856712522856</c:v>
                </c:pt>
                <c:pt idx="4">
                  <c:v>3518.3374037557901</c:v>
                </c:pt>
                <c:pt idx="5">
                  <c:v>3587.8911717657538</c:v>
                </c:pt>
                <c:pt idx="6">
                  <c:v>3608.6485199322269</c:v>
                </c:pt>
                <c:pt idx="7">
                  <c:v>3649.8560176552569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9-46D6-9171-05477CAE0F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45534</c:v>
                </c:pt>
                <c:pt idx="1">
                  <c:v>45541</c:v>
                </c:pt>
                <c:pt idx="2">
                  <c:v>45548</c:v>
                </c:pt>
                <c:pt idx="3">
                  <c:v>45555</c:v>
                </c:pt>
                <c:pt idx="4">
                  <c:v>45562</c:v>
                </c:pt>
                <c:pt idx="5">
                  <c:v>45569</c:v>
                </c:pt>
                <c:pt idx="6">
                  <c:v>45576</c:v>
                </c:pt>
                <c:pt idx="7">
                  <c:v>45583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12.190662825377601</c:v>
                </c:pt>
                <c:pt idx="1">
                  <c:v>12.1682734018876</c:v>
                </c:pt>
                <c:pt idx="2">
                  <c:v>12.3487801515176</c:v>
                </c:pt>
                <c:pt idx="3">
                  <c:v>12.596631014149999</c:v>
                </c:pt>
                <c:pt idx="4">
                  <c:v>12.728824087969999</c:v>
                </c:pt>
                <c:pt idx="5">
                  <c:v>12.697813827940001</c:v>
                </c:pt>
                <c:pt idx="6">
                  <c:v>12.701048297550301</c:v>
                </c:pt>
                <c:pt idx="7">
                  <c:v>12.789155111611999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0-4A7C-AA0F-C2E36D2459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" defaultRowHeight="15"/>
  <cols>
    <col min="1" max="1" width="6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75" t="s">
        <v>300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5" ht="15" customHeight="1">
      <c r="A2" s="176"/>
      <c r="B2" s="26"/>
      <c r="C2" s="26"/>
      <c r="D2" s="69" t="s">
        <v>0</v>
      </c>
      <c r="E2" s="69"/>
      <c r="F2" s="69"/>
      <c r="G2" s="69"/>
      <c r="H2" s="69"/>
      <c r="I2" s="69"/>
      <c r="J2" s="69"/>
      <c r="K2" s="177" t="s">
        <v>1</v>
      </c>
      <c r="L2" s="69"/>
      <c r="M2" s="69"/>
      <c r="N2" s="69"/>
      <c r="O2" s="69"/>
      <c r="P2" s="69"/>
      <c r="Q2" s="69"/>
      <c r="R2" s="69" t="s">
        <v>2</v>
      </c>
      <c r="S2" s="69"/>
      <c r="T2" s="69"/>
      <c r="U2" s="69" t="s">
        <v>3</v>
      </c>
      <c r="V2" s="69"/>
    </row>
    <row r="3" spans="1:25" ht="25.5">
      <c r="A3" s="71" t="s">
        <v>18</v>
      </c>
      <c r="B3" s="27" t="s">
        <v>4</v>
      </c>
      <c r="C3" s="28" t="s">
        <v>5</v>
      </c>
      <c r="D3" s="29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  <c r="K3" s="31" t="s">
        <v>6</v>
      </c>
      <c r="L3" s="30" t="s">
        <v>7</v>
      </c>
      <c r="M3" s="30" t="s">
        <v>8</v>
      </c>
      <c r="N3" s="30" t="s">
        <v>9</v>
      </c>
      <c r="O3" s="30" t="s">
        <v>10</v>
      </c>
      <c r="P3" s="30" t="s">
        <v>11</v>
      </c>
      <c r="Q3" s="30" t="s">
        <v>12</v>
      </c>
      <c r="R3" s="29" t="s">
        <v>13</v>
      </c>
      <c r="S3" s="30" t="s">
        <v>14</v>
      </c>
      <c r="T3" s="30" t="s">
        <v>15</v>
      </c>
      <c r="U3" s="30" t="s">
        <v>16</v>
      </c>
      <c r="V3" s="30" t="s">
        <v>17</v>
      </c>
    </row>
    <row r="4" spans="1:25" ht="5.25" customHeight="1">
      <c r="A4" s="17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5" ht="15" customHeight="1">
      <c r="A5" s="179" t="s">
        <v>270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80">
        <v>1</v>
      </c>
      <c r="B6" s="62" t="s">
        <v>19</v>
      </c>
      <c r="C6" s="63" t="s">
        <v>20</v>
      </c>
      <c r="D6" s="65">
        <v>1114466374.9100001</v>
      </c>
      <c r="E6" s="72">
        <f t="shared" ref="E6:E23" si="0">(D6/$D$24)</f>
        <v>3.8548990302958892E-2</v>
      </c>
      <c r="F6" s="73">
        <v>352.74180000000001</v>
      </c>
      <c r="G6" s="73">
        <v>352.74180000000001</v>
      </c>
      <c r="H6" s="74">
        <v>1812</v>
      </c>
      <c r="I6" s="67">
        <v>6.4999999999999997E-3</v>
      </c>
      <c r="J6" s="67">
        <v>0.17419999999999999</v>
      </c>
      <c r="K6" s="65">
        <v>1116454854.6400001</v>
      </c>
      <c r="L6" s="72">
        <f>(K6/$K$24)</f>
        <v>3.8718292741369724E-2</v>
      </c>
      <c r="M6" s="73">
        <v>353.7552</v>
      </c>
      <c r="N6" s="73">
        <v>353.7552</v>
      </c>
      <c r="O6" s="74">
        <v>1812</v>
      </c>
      <c r="P6" s="67">
        <v>2.8999999999999998E-3</v>
      </c>
      <c r="Q6" s="67">
        <v>0.17749999999999999</v>
      </c>
      <c r="R6" s="75">
        <f>((K6-D6)/D6)</f>
        <v>1.7842438092047423E-3</v>
      </c>
      <c r="S6" s="75">
        <f>((N6-G6)/G6)</f>
        <v>2.8729229141541777E-3</v>
      </c>
      <c r="T6" s="75">
        <f>((O6-H6)/H6)</f>
        <v>0</v>
      </c>
      <c r="U6" s="76">
        <f>P6-I6</f>
        <v>-3.5999999999999999E-3</v>
      </c>
      <c r="V6" s="77">
        <f>Q6-J6</f>
        <v>3.2999999999999974E-3</v>
      </c>
    </row>
    <row r="7" spans="1:25">
      <c r="A7" s="180">
        <v>2</v>
      </c>
      <c r="B7" s="62" t="s">
        <v>21</v>
      </c>
      <c r="C7" s="63" t="s">
        <v>22</v>
      </c>
      <c r="D7" s="64">
        <v>599969890.78999996</v>
      </c>
      <c r="E7" s="72">
        <f t="shared" si="0"/>
        <v>2.0752742319389186E-2</v>
      </c>
      <c r="F7" s="64">
        <v>223.6344</v>
      </c>
      <c r="G7" s="64">
        <v>226.196</v>
      </c>
      <c r="H7" s="74">
        <v>451</v>
      </c>
      <c r="I7" s="67">
        <v>3.0409999999999999E-3</v>
      </c>
      <c r="J7" s="67">
        <v>0.17449999999999999</v>
      </c>
      <c r="K7" s="64">
        <v>610725368.03999996</v>
      </c>
      <c r="L7" s="72">
        <f t="shared" ref="L7:L23" si="1">(K7/$K$24)</f>
        <v>2.1179757950874057E-2</v>
      </c>
      <c r="M7" s="64">
        <v>224.53389999999999</v>
      </c>
      <c r="N7" s="64">
        <v>227.10669999999999</v>
      </c>
      <c r="O7" s="74">
        <v>453</v>
      </c>
      <c r="P7" s="67">
        <v>2.362E-3</v>
      </c>
      <c r="Q7" s="67">
        <v>0.16070000000000001</v>
      </c>
      <c r="R7" s="75">
        <f t="shared" ref="R7:R24" si="2">((K7-D7)/D7)</f>
        <v>1.7926695014374657E-2</v>
      </c>
      <c r="S7" s="75">
        <f t="shared" ref="S7:S24" si="3">((N7-G7)/G7)</f>
        <v>4.0261543086526352E-3</v>
      </c>
      <c r="T7" s="75">
        <f t="shared" ref="T7:T24" si="4">((O7-H7)/H7)</f>
        <v>4.434589800443459E-3</v>
      </c>
      <c r="U7" s="76">
        <f t="shared" ref="U7:U24" si="5">P7-I7</f>
        <v>-6.7899999999999992E-4</v>
      </c>
      <c r="V7" s="77">
        <f t="shared" ref="V7:V24" si="6">Q7-J7</f>
        <v>-1.3799999999999979E-2</v>
      </c>
    </row>
    <row r="8" spans="1:25">
      <c r="A8" s="180">
        <v>3</v>
      </c>
      <c r="B8" s="62" t="s">
        <v>23</v>
      </c>
      <c r="C8" s="63" t="s">
        <v>24</v>
      </c>
      <c r="D8" s="64">
        <v>3675495258.1399999</v>
      </c>
      <c r="E8" s="72">
        <f t="shared" si="0"/>
        <v>0.12713405649053547</v>
      </c>
      <c r="F8" s="64">
        <v>33.210700000000003</v>
      </c>
      <c r="G8" s="64">
        <v>34.212000000000003</v>
      </c>
      <c r="H8" s="78">
        <v>6606</v>
      </c>
      <c r="I8" s="79">
        <v>-0.1217</v>
      </c>
      <c r="J8" s="79">
        <v>0.1119</v>
      </c>
      <c r="K8" s="64">
        <v>3679999257.9099998</v>
      </c>
      <c r="L8" s="72">
        <f t="shared" si="1"/>
        <v>0.12762118231975114</v>
      </c>
      <c r="M8" s="64">
        <v>33.348799999999997</v>
      </c>
      <c r="N8" s="64">
        <v>34.354300000000002</v>
      </c>
      <c r="O8" s="78">
        <v>6609</v>
      </c>
      <c r="P8" s="79">
        <v>0.2175</v>
      </c>
      <c r="Q8" s="79">
        <v>0.1149</v>
      </c>
      <c r="R8" s="75">
        <f t="shared" si="2"/>
        <v>1.2254130269995912E-3</v>
      </c>
      <c r="S8" s="75">
        <f t="shared" si="3"/>
        <v>4.1593592891382772E-3</v>
      </c>
      <c r="T8" s="75">
        <f t="shared" si="4"/>
        <v>4.5413260672116256E-4</v>
      </c>
      <c r="U8" s="76">
        <f t="shared" si="5"/>
        <v>0.3392</v>
      </c>
      <c r="V8" s="77">
        <f t="shared" si="6"/>
        <v>3.0000000000000027E-3</v>
      </c>
      <c r="X8" s="32"/>
      <c r="Y8" s="32"/>
    </row>
    <row r="9" spans="1:25">
      <c r="A9" s="180">
        <v>4</v>
      </c>
      <c r="B9" s="62" t="s">
        <v>25</v>
      </c>
      <c r="C9" s="63" t="s">
        <v>26</v>
      </c>
      <c r="D9" s="64">
        <v>548827662.13</v>
      </c>
      <c r="E9" s="72">
        <f t="shared" si="0"/>
        <v>1.8983751059473197E-2</v>
      </c>
      <c r="F9" s="64">
        <v>201.33420000000001</v>
      </c>
      <c r="G9" s="64">
        <v>201.33420000000001</v>
      </c>
      <c r="H9" s="74">
        <v>1829</v>
      </c>
      <c r="I9" s="67">
        <v>2.0999999999999999E-3</v>
      </c>
      <c r="J9" s="67">
        <v>0.1666</v>
      </c>
      <c r="K9" s="64">
        <v>549370248.11000001</v>
      </c>
      <c r="L9" s="72">
        <f t="shared" si="1"/>
        <v>1.9051982264505097E-2</v>
      </c>
      <c r="M9" s="64">
        <v>201.17930000000001</v>
      </c>
      <c r="N9" s="64">
        <v>201.17930000000001</v>
      </c>
      <c r="O9" s="74">
        <v>1829</v>
      </c>
      <c r="P9" s="67">
        <v>-8.0000000000000004E-4</v>
      </c>
      <c r="Q9" s="67">
        <v>0.16589999999999999</v>
      </c>
      <c r="R9" s="75">
        <f t="shared" si="2"/>
        <v>9.8862724574458045E-4</v>
      </c>
      <c r="S9" s="75">
        <f t="shared" si="3"/>
        <v>-7.6936754908007586E-4</v>
      </c>
      <c r="T9" s="75">
        <f t="shared" si="4"/>
        <v>0</v>
      </c>
      <c r="U9" s="76">
        <f t="shared" si="5"/>
        <v>-2.8999999999999998E-3</v>
      </c>
      <c r="V9" s="77">
        <f t="shared" si="6"/>
        <v>-7.0000000000000617E-4</v>
      </c>
    </row>
    <row r="10" spans="1:25">
      <c r="A10" s="180">
        <v>5</v>
      </c>
      <c r="B10" s="62" t="s">
        <v>27</v>
      </c>
      <c r="C10" s="63" t="s">
        <v>28</v>
      </c>
      <c r="D10" s="64">
        <v>894615667.41999996</v>
      </c>
      <c r="E10" s="72">
        <f t="shared" si="0"/>
        <v>3.0944433555506481E-2</v>
      </c>
      <c r="F10" s="64">
        <v>1.1457999999999999</v>
      </c>
      <c r="G10" s="64">
        <v>1.1557999999999999</v>
      </c>
      <c r="H10" s="74">
        <v>514</v>
      </c>
      <c r="I10" s="67">
        <v>-3.0999999999999999E-3</v>
      </c>
      <c r="J10" s="67">
        <v>0.15079999999999999</v>
      </c>
      <c r="K10" s="64">
        <v>902034768.59000003</v>
      </c>
      <c r="L10" s="72">
        <f t="shared" si="1"/>
        <v>3.1282273607402537E-2</v>
      </c>
      <c r="M10" s="64">
        <v>1.1420999999999999</v>
      </c>
      <c r="N10" s="64">
        <v>1.153</v>
      </c>
      <c r="O10" s="74">
        <v>510</v>
      </c>
      <c r="P10" s="67">
        <v>-8.2000000000000007E-3</v>
      </c>
      <c r="Q10" s="67">
        <v>0.14760000000000001</v>
      </c>
      <c r="R10" s="75">
        <f t="shared" si="2"/>
        <v>8.2930597352449363E-3</v>
      </c>
      <c r="S10" s="75">
        <f t="shared" si="3"/>
        <v>-2.4225644575185273E-3</v>
      </c>
      <c r="T10" s="75">
        <f t="shared" si="4"/>
        <v>-7.7821011673151752E-3</v>
      </c>
      <c r="U10" s="76">
        <f t="shared" si="5"/>
        <v>-5.1000000000000004E-3</v>
      </c>
      <c r="V10" s="77">
        <f t="shared" si="6"/>
        <v>-3.1999999999999806E-3</v>
      </c>
    </row>
    <row r="11" spans="1:25">
      <c r="A11" s="180">
        <v>6</v>
      </c>
      <c r="B11" s="62" t="s">
        <v>29</v>
      </c>
      <c r="C11" s="63" t="s">
        <v>30</v>
      </c>
      <c r="D11" s="80">
        <v>91643501.090000004</v>
      </c>
      <c r="E11" s="72">
        <f t="shared" si="0"/>
        <v>3.1699156783737909E-3</v>
      </c>
      <c r="F11" s="64">
        <v>164.3828</v>
      </c>
      <c r="G11" s="64">
        <v>165.00550000000001</v>
      </c>
      <c r="H11" s="78">
        <v>97</v>
      </c>
      <c r="I11" s="79">
        <v>8.7100000000000003E-4</v>
      </c>
      <c r="J11" s="79">
        <v>0.191</v>
      </c>
      <c r="K11" s="80">
        <v>91643501.090000004</v>
      </c>
      <c r="L11" s="72">
        <f t="shared" si="1"/>
        <v>3.1781669346502999E-3</v>
      </c>
      <c r="M11" s="64">
        <v>164.3828</v>
      </c>
      <c r="N11" s="64">
        <v>165.00550000000001</v>
      </c>
      <c r="O11" s="78">
        <v>97</v>
      </c>
      <c r="P11" s="79">
        <v>8.7100000000000003E-4</v>
      </c>
      <c r="Q11" s="79">
        <v>0.191</v>
      </c>
      <c r="R11" s="75">
        <f t="shared" si="2"/>
        <v>0</v>
      </c>
      <c r="S11" s="75">
        <f t="shared" si="3"/>
        <v>0</v>
      </c>
      <c r="T11" s="75">
        <f t="shared" si="4"/>
        <v>0</v>
      </c>
      <c r="U11" s="76">
        <f t="shared" si="5"/>
        <v>0</v>
      </c>
      <c r="V11" s="77">
        <f t="shared" si="6"/>
        <v>0</v>
      </c>
    </row>
    <row r="12" spans="1:25">
      <c r="A12" s="180">
        <v>7</v>
      </c>
      <c r="B12" s="62" t="s">
        <v>31</v>
      </c>
      <c r="C12" s="63" t="s">
        <v>32</v>
      </c>
      <c r="D12" s="64">
        <v>1133521784.05</v>
      </c>
      <c r="E12" s="72">
        <f t="shared" si="0"/>
        <v>3.9208110038371352E-2</v>
      </c>
      <c r="F12" s="64">
        <v>319.95</v>
      </c>
      <c r="G12" s="64">
        <v>324.39999999999998</v>
      </c>
      <c r="H12" s="78">
        <v>1832</v>
      </c>
      <c r="I12" s="79">
        <v>-2.3E-3</v>
      </c>
      <c r="J12" s="79">
        <v>0.28660000000000002</v>
      </c>
      <c r="K12" s="64">
        <v>1129960565.73</v>
      </c>
      <c r="L12" s="72">
        <f t="shared" si="1"/>
        <v>3.9186666427497491E-2</v>
      </c>
      <c r="M12" s="64">
        <v>318.58</v>
      </c>
      <c r="N12" s="64">
        <v>322.99</v>
      </c>
      <c r="O12" s="78">
        <v>1625</v>
      </c>
      <c r="P12" s="79">
        <v>-4.3E-3</v>
      </c>
      <c r="Q12" s="79">
        <v>0.28110000000000002</v>
      </c>
      <c r="R12" s="75">
        <f t="shared" si="2"/>
        <v>-3.1417290519781022E-3</v>
      </c>
      <c r="S12" s="75">
        <f t="shared" si="3"/>
        <v>-4.3464858199752411E-3</v>
      </c>
      <c r="T12" s="75">
        <f t="shared" si="4"/>
        <v>-0.11299126637554585</v>
      </c>
      <c r="U12" s="76">
        <f t="shared" si="5"/>
        <v>-2E-3</v>
      </c>
      <c r="V12" s="77">
        <f t="shared" si="6"/>
        <v>-5.5000000000000049E-3</v>
      </c>
    </row>
    <row r="13" spans="1:25">
      <c r="A13" s="180">
        <v>8</v>
      </c>
      <c r="B13" s="62" t="s">
        <v>33</v>
      </c>
      <c r="C13" s="63" t="s">
        <v>34</v>
      </c>
      <c r="D13" s="65">
        <v>379085261.75999999</v>
      </c>
      <c r="E13" s="72">
        <f t="shared" si="0"/>
        <v>1.3112422598448508E-2</v>
      </c>
      <c r="F13" s="64">
        <v>190.68</v>
      </c>
      <c r="G13" s="64">
        <v>198.5</v>
      </c>
      <c r="H13" s="74">
        <v>2465</v>
      </c>
      <c r="I13" s="67">
        <v>4.1599999999999996E-3</v>
      </c>
      <c r="J13" s="67">
        <v>0.13639999999999999</v>
      </c>
      <c r="K13" s="65">
        <v>381497775.82999998</v>
      </c>
      <c r="L13" s="72">
        <f t="shared" si="1"/>
        <v>1.3230219299400386E-2</v>
      </c>
      <c r="M13" s="64">
        <v>191.9</v>
      </c>
      <c r="N13" s="64">
        <v>199.85</v>
      </c>
      <c r="O13" s="74">
        <v>2465</v>
      </c>
      <c r="P13" s="67">
        <v>6.4000000000000003E-3</v>
      </c>
      <c r="Q13" s="67">
        <v>0.52649999999999997</v>
      </c>
      <c r="R13" s="75">
        <f t="shared" si="2"/>
        <v>6.3640407933541945E-3</v>
      </c>
      <c r="S13" s="75">
        <f t="shared" si="3"/>
        <v>6.8010075566750346E-3</v>
      </c>
      <c r="T13" s="75">
        <f t="shared" si="4"/>
        <v>0</v>
      </c>
      <c r="U13" s="76">
        <f t="shared" si="5"/>
        <v>2.2400000000000007E-3</v>
      </c>
      <c r="V13" s="77">
        <f t="shared" si="6"/>
        <v>0.3901</v>
      </c>
    </row>
    <row r="14" spans="1:25">
      <c r="A14" s="180">
        <v>9</v>
      </c>
      <c r="B14" s="62" t="s">
        <v>35</v>
      </c>
      <c r="C14" s="63" t="s">
        <v>36</v>
      </c>
      <c r="D14" s="80">
        <v>57286558.689199999</v>
      </c>
      <c r="E14" s="72">
        <f t="shared" si="0"/>
        <v>1.9815214214768864E-3</v>
      </c>
      <c r="F14" s="64">
        <v>204.1694832</v>
      </c>
      <c r="G14" s="64">
        <v>210.34293919999999</v>
      </c>
      <c r="H14" s="74">
        <v>16</v>
      </c>
      <c r="I14" s="67">
        <v>1.7600000000000001E-2</v>
      </c>
      <c r="J14" s="67">
        <v>0.1326</v>
      </c>
      <c r="K14" s="80">
        <v>55917382.630000003</v>
      </c>
      <c r="L14" s="72">
        <f t="shared" si="1"/>
        <v>1.939196718077448E-3</v>
      </c>
      <c r="M14" s="64">
        <v>199.32</v>
      </c>
      <c r="N14" s="64">
        <v>205.29</v>
      </c>
      <c r="O14" s="74">
        <v>16</v>
      </c>
      <c r="P14" s="67">
        <v>-2.3900000000000001E-2</v>
      </c>
      <c r="Q14" s="67">
        <v>0.1055</v>
      </c>
      <c r="R14" s="75">
        <f t="shared" si="2"/>
        <v>-2.3900476665534482E-2</v>
      </c>
      <c r="S14" s="75">
        <f t="shared" si="3"/>
        <v>-2.402238562995224E-2</v>
      </c>
      <c r="T14" s="75">
        <f t="shared" si="4"/>
        <v>0</v>
      </c>
      <c r="U14" s="76">
        <f t="shared" si="5"/>
        <v>-4.1500000000000002E-2</v>
      </c>
      <c r="V14" s="77">
        <f t="shared" si="6"/>
        <v>-2.7099999999999999E-2</v>
      </c>
    </row>
    <row r="15" spans="1:25" ht="14.25" customHeight="1">
      <c r="A15" s="180">
        <v>10</v>
      </c>
      <c r="B15" s="62" t="s">
        <v>37</v>
      </c>
      <c r="C15" s="63" t="s">
        <v>38</v>
      </c>
      <c r="D15" s="65">
        <v>577129320.63999999</v>
      </c>
      <c r="E15" s="72">
        <f t="shared" si="0"/>
        <v>1.9962695228648106E-2</v>
      </c>
      <c r="F15" s="64">
        <v>1.972089</v>
      </c>
      <c r="G15" s="64">
        <v>1.998024</v>
      </c>
      <c r="H15" s="74">
        <v>461</v>
      </c>
      <c r="I15" s="67">
        <v>-4.7999999999999996E-3</v>
      </c>
      <c r="J15" s="67">
        <v>0.16370000000000001</v>
      </c>
      <c r="K15" s="65">
        <v>576728338.87</v>
      </c>
      <c r="L15" s="72">
        <f t="shared" si="1"/>
        <v>2.0000751990829766E-2</v>
      </c>
      <c r="M15" s="64">
        <v>1.9730000000000001</v>
      </c>
      <c r="N15" s="64">
        <v>2.0002</v>
      </c>
      <c r="O15" s="74">
        <v>461</v>
      </c>
      <c r="P15" s="67">
        <v>5.0000000000000001E-4</v>
      </c>
      <c r="Q15" s="67">
        <v>0.16420000000000001</v>
      </c>
      <c r="R15" s="75">
        <f t="shared" si="2"/>
        <v>-6.9478668932522339E-4</v>
      </c>
      <c r="S15" s="75">
        <f t="shared" si="3"/>
        <v>1.0890760070949878E-3</v>
      </c>
      <c r="T15" s="75">
        <f t="shared" si="4"/>
        <v>0</v>
      </c>
      <c r="U15" s="76">
        <f t="shared" si="5"/>
        <v>5.2999999999999992E-3</v>
      </c>
      <c r="V15" s="77">
        <f t="shared" si="6"/>
        <v>5.0000000000000044E-4</v>
      </c>
    </row>
    <row r="16" spans="1:25" ht="14.25" customHeight="1">
      <c r="A16" s="180">
        <v>11</v>
      </c>
      <c r="B16" s="62" t="s">
        <v>39</v>
      </c>
      <c r="C16" s="63" t="s">
        <v>40</v>
      </c>
      <c r="D16" s="65">
        <v>14054798.15</v>
      </c>
      <c r="E16" s="72">
        <f t="shared" si="0"/>
        <v>4.8615040327093588E-4</v>
      </c>
      <c r="F16" s="64">
        <v>12.2</v>
      </c>
      <c r="G16" s="64">
        <v>12.81</v>
      </c>
      <c r="H16" s="74">
        <v>28</v>
      </c>
      <c r="I16" s="67">
        <v>0.44800000000000001</v>
      </c>
      <c r="J16" s="67">
        <v>-1.0564</v>
      </c>
      <c r="K16" s="65">
        <v>14536915.35</v>
      </c>
      <c r="L16" s="72">
        <f t="shared" si="1"/>
        <v>5.0413551585952823E-4</v>
      </c>
      <c r="M16" s="64">
        <v>12.57</v>
      </c>
      <c r="N16" s="64">
        <v>13.19</v>
      </c>
      <c r="O16" s="74">
        <v>28</v>
      </c>
      <c r="P16" s="67">
        <v>-6.1750999999999996</v>
      </c>
      <c r="Q16" s="67">
        <v>5.1181000000000001</v>
      </c>
      <c r="R16" s="75">
        <f t="shared" ref="R16" si="7">((K16-D16)/D16)</f>
        <v>3.4302676911798925E-2</v>
      </c>
      <c r="S16" s="75">
        <f t="shared" ref="S16" si="8">((N16-G16)/G16)</f>
        <v>2.9664324746291881E-2</v>
      </c>
      <c r="T16" s="75">
        <f t="shared" ref="T16" si="9">((O16-H16)/H16)</f>
        <v>0</v>
      </c>
      <c r="U16" s="76">
        <f t="shared" ref="U16" si="10">P16-I16</f>
        <v>-6.6231</v>
      </c>
      <c r="V16" s="77">
        <f t="shared" ref="V16" si="11">Q16-J16</f>
        <v>6.1745000000000001</v>
      </c>
    </row>
    <row r="17" spans="1:22">
      <c r="A17" s="180">
        <v>12</v>
      </c>
      <c r="B17" s="62" t="s">
        <v>41</v>
      </c>
      <c r="C17" s="63" t="s">
        <v>42</v>
      </c>
      <c r="D17" s="65">
        <v>1645467891.27</v>
      </c>
      <c r="E17" s="72">
        <f t="shared" si="0"/>
        <v>5.6916141404014894E-2</v>
      </c>
      <c r="F17" s="64">
        <v>3.35</v>
      </c>
      <c r="G17" s="64">
        <v>3.42</v>
      </c>
      <c r="H17" s="74">
        <v>3662</v>
      </c>
      <c r="I17" s="67">
        <v>-5.1999999999999998E-3</v>
      </c>
      <c r="J17" s="67">
        <v>0.20880000000000001</v>
      </c>
      <c r="K17" s="65">
        <v>1664971822.53</v>
      </c>
      <c r="L17" s="72">
        <f t="shared" si="1"/>
        <v>5.7740683524221008E-2</v>
      </c>
      <c r="M17" s="64">
        <v>3.39</v>
      </c>
      <c r="N17" s="64">
        <v>3.46</v>
      </c>
      <c r="O17" s="74">
        <v>3663</v>
      </c>
      <c r="P17" s="67">
        <v>2E-3</v>
      </c>
      <c r="Q17" s="67">
        <v>0.22309999999999999</v>
      </c>
      <c r="R17" s="75">
        <f t="shared" si="2"/>
        <v>1.1853121755506591E-2</v>
      </c>
      <c r="S17" s="75">
        <f t="shared" si="3"/>
        <v>1.169590643274855E-2</v>
      </c>
      <c r="T17" s="75">
        <f t="shared" si="4"/>
        <v>2.7307482250136535E-4</v>
      </c>
      <c r="U17" s="76">
        <f t="shared" si="5"/>
        <v>7.1999999999999998E-3</v>
      </c>
      <c r="V17" s="77">
        <f t="shared" si="6"/>
        <v>1.4299999999999979E-2</v>
      </c>
    </row>
    <row r="18" spans="1:22">
      <c r="A18" s="180">
        <v>13</v>
      </c>
      <c r="B18" s="62" t="s">
        <v>43</v>
      </c>
      <c r="C18" s="63" t="s">
        <v>44</v>
      </c>
      <c r="D18" s="64">
        <v>657838629.25</v>
      </c>
      <c r="E18" s="72">
        <f t="shared" si="0"/>
        <v>2.2754401129345792E-2</v>
      </c>
      <c r="F18" s="64">
        <v>22.275808999999999</v>
      </c>
      <c r="G18" s="64">
        <v>22.42858</v>
      </c>
      <c r="H18" s="74">
        <v>332</v>
      </c>
      <c r="I18" s="67">
        <v>4.9759895192720102E-2</v>
      </c>
      <c r="J18" s="67">
        <v>0.26776698704438401</v>
      </c>
      <c r="K18" s="64">
        <v>624165477.64999998</v>
      </c>
      <c r="L18" s="72">
        <f t="shared" si="1"/>
        <v>2.1645856598923621E-2</v>
      </c>
      <c r="M18" s="64">
        <v>21.32</v>
      </c>
      <c r="N18" s="64">
        <v>21.48</v>
      </c>
      <c r="O18" s="74">
        <v>333</v>
      </c>
      <c r="P18" s="67">
        <v>-4.2900000000000001E-2</v>
      </c>
      <c r="Q18" s="67">
        <v>0.2157</v>
      </c>
      <c r="R18" s="75">
        <f t="shared" si="2"/>
        <v>-5.118755588797011E-2</v>
      </c>
      <c r="S18" s="75">
        <f t="shared" si="3"/>
        <v>-4.2293359633110955E-2</v>
      </c>
      <c r="T18" s="75">
        <f t="shared" si="4"/>
        <v>3.0120481927710845E-3</v>
      </c>
      <c r="U18" s="76">
        <f t="shared" si="5"/>
        <v>-9.265989519272011E-2</v>
      </c>
      <c r="V18" s="77">
        <f t="shared" si="6"/>
        <v>-5.2066987044384005E-2</v>
      </c>
    </row>
    <row r="19" spans="1:22">
      <c r="A19" s="180">
        <v>14</v>
      </c>
      <c r="B19" s="62" t="s">
        <v>45</v>
      </c>
      <c r="C19" s="63" t="s">
        <v>46</v>
      </c>
      <c r="D19" s="64">
        <v>119316667.36</v>
      </c>
      <c r="E19" s="72">
        <f t="shared" si="0"/>
        <v>4.1271205274483512E-3</v>
      </c>
      <c r="F19" s="64">
        <v>1.295258</v>
      </c>
      <c r="G19" s="64">
        <v>1.359369</v>
      </c>
      <c r="H19" s="74">
        <v>21</v>
      </c>
      <c r="I19" s="67">
        <v>-4.3E-3</v>
      </c>
      <c r="J19" s="67">
        <v>-0.38850000000000001</v>
      </c>
      <c r="K19" s="64">
        <v>119578908.53</v>
      </c>
      <c r="L19" s="72">
        <f t="shared" si="1"/>
        <v>4.1469578164456252E-3</v>
      </c>
      <c r="M19" s="64">
        <v>1.2981050000000001</v>
      </c>
      <c r="N19" s="64">
        <v>1.362816</v>
      </c>
      <c r="O19" s="74">
        <v>21</v>
      </c>
      <c r="P19" s="67">
        <v>4.0000000000000002E-4</v>
      </c>
      <c r="Q19" s="67">
        <v>-0.3871</v>
      </c>
      <c r="R19" s="75">
        <f t="shared" si="2"/>
        <v>2.1978586546401993E-3</v>
      </c>
      <c r="S19" s="75">
        <f t="shared" si="3"/>
        <v>2.5357353301421305E-3</v>
      </c>
      <c r="T19" s="75">
        <f t="shared" si="4"/>
        <v>0</v>
      </c>
      <c r="U19" s="76">
        <f t="shared" si="5"/>
        <v>4.7000000000000002E-3</v>
      </c>
      <c r="V19" s="77">
        <f t="shared" si="6"/>
        <v>1.4000000000000123E-3</v>
      </c>
    </row>
    <row r="20" spans="1:22">
      <c r="A20" s="180">
        <v>15</v>
      </c>
      <c r="B20" s="62" t="s">
        <v>47</v>
      </c>
      <c r="C20" s="63" t="s">
        <v>48</v>
      </c>
      <c r="D20" s="65">
        <v>1560877328.5899999</v>
      </c>
      <c r="E20" s="72">
        <f t="shared" si="0"/>
        <v>5.3990184323670955E-2</v>
      </c>
      <c r="F20" s="64">
        <v>27.83</v>
      </c>
      <c r="G20" s="64">
        <v>28.4</v>
      </c>
      <c r="H20" s="74">
        <v>8834</v>
      </c>
      <c r="I20" s="67">
        <v>1.3599999999999999E-2</v>
      </c>
      <c r="J20" s="67">
        <v>0.10589999999999999</v>
      </c>
      <c r="K20" s="65">
        <v>1566512542.27</v>
      </c>
      <c r="L20" s="72">
        <f t="shared" si="1"/>
        <v>5.4326147575572657E-2</v>
      </c>
      <c r="M20" s="64">
        <v>27.94</v>
      </c>
      <c r="N20" s="64">
        <v>28.5</v>
      </c>
      <c r="O20" s="74">
        <v>8834</v>
      </c>
      <c r="P20" s="67">
        <v>3.7000000000000002E-3</v>
      </c>
      <c r="Q20" s="67">
        <v>0.11</v>
      </c>
      <c r="R20" s="75">
        <f t="shared" si="2"/>
        <v>3.6102860723145813E-3</v>
      </c>
      <c r="S20" s="75">
        <f t="shared" si="3"/>
        <v>3.5211267605634307E-3</v>
      </c>
      <c r="T20" s="75">
        <f t="shared" si="4"/>
        <v>0</v>
      </c>
      <c r="U20" s="76">
        <f t="shared" si="5"/>
        <v>-9.8999999999999991E-3</v>
      </c>
      <c r="V20" s="77">
        <f t="shared" si="6"/>
        <v>4.1000000000000064E-3</v>
      </c>
    </row>
    <row r="21" spans="1:22" ht="12.75" customHeight="1">
      <c r="A21" s="180">
        <v>16</v>
      </c>
      <c r="B21" s="62" t="s">
        <v>49</v>
      </c>
      <c r="C21" s="63" t="s">
        <v>50</v>
      </c>
      <c r="D21" s="64">
        <v>662495537.45000005</v>
      </c>
      <c r="E21" s="72">
        <f t="shared" si="0"/>
        <v>2.2915481905836758E-2</v>
      </c>
      <c r="F21" s="64">
        <v>7097.32</v>
      </c>
      <c r="G21" s="64">
        <v>7202.41</v>
      </c>
      <c r="H21" s="74">
        <v>19</v>
      </c>
      <c r="I21" s="67">
        <v>6.1000000000000004E-3</v>
      </c>
      <c r="J21" s="67">
        <v>0.3221</v>
      </c>
      <c r="K21" s="64">
        <v>660046383.16999996</v>
      </c>
      <c r="L21" s="72">
        <f t="shared" si="1"/>
        <v>2.2890194780602047E-2</v>
      </c>
      <c r="M21" s="64">
        <v>7071.15</v>
      </c>
      <c r="N21" s="64">
        <v>7175.74</v>
      </c>
      <c r="O21" s="74">
        <v>19</v>
      </c>
      <c r="P21" s="67">
        <v>-3.7000000000000002E-3</v>
      </c>
      <c r="Q21" s="67">
        <v>0.31719999999999998</v>
      </c>
      <c r="R21" s="75">
        <f t="shared" si="2"/>
        <v>-3.6968615508371381E-3</v>
      </c>
      <c r="S21" s="75">
        <f t="shared" si="3"/>
        <v>-3.702927214640665E-3</v>
      </c>
      <c r="T21" s="75">
        <f t="shared" si="4"/>
        <v>0</v>
      </c>
      <c r="U21" s="76">
        <f t="shared" si="5"/>
        <v>-9.7999999999999997E-3</v>
      </c>
      <c r="V21" s="77">
        <f t="shared" si="6"/>
        <v>-4.9000000000000155E-3</v>
      </c>
    </row>
    <row r="22" spans="1:22">
      <c r="A22" s="180">
        <v>17</v>
      </c>
      <c r="B22" s="62" t="s">
        <v>51</v>
      </c>
      <c r="C22" s="63" t="s">
        <v>50</v>
      </c>
      <c r="D22" s="64">
        <v>11745135613.15</v>
      </c>
      <c r="E22" s="72">
        <f t="shared" si="0"/>
        <v>0.40626000842315213</v>
      </c>
      <c r="F22" s="64">
        <v>23333.97</v>
      </c>
      <c r="G22" s="64">
        <v>23688.99</v>
      </c>
      <c r="H22" s="74">
        <v>17434</v>
      </c>
      <c r="I22" s="67">
        <v>1.2999999999999999E-2</v>
      </c>
      <c r="J22" s="67">
        <v>0.28999999999999998</v>
      </c>
      <c r="K22" s="64">
        <v>11681980749.51</v>
      </c>
      <c r="L22" s="72">
        <f t="shared" si="1"/>
        <v>0.40512730862227264</v>
      </c>
      <c r="M22" s="64">
        <v>23231</v>
      </c>
      <c r="N22" s="64">
        <v>23584.71</v>
      </c>
      <c r="O22" s="74">
        <v>17435</v>
      </c>
      <c r="P22" s="67">
        <v>-4.4000000000000003E-3</v>
      </c>
      <c r="Q22" s="67">
        <v>0.28439999999999999</v>
      </c>
      <c r="R22" s="75">
        <f t="shared" si="2"/>
        <v>-5.3771080828807476E-3</v>
      </c>
      <c r="S22" s="75">
        <f t="shared" si="3"/>
        <v>-4.4020450006523057E-3</v>
      </c>
      <c r="T22" s="75">
        <f t="shared" si="4"/>
        <v>5.7359183205231155E-5</v>
      </c>
      <c r="U22" s="76">
        <f t="shared" si="5"/>
        <v>-1.7399999999999999E-2</v>
      </c>
      <c r="V22" s="77">
        <f t="shared" si="6"/>
        <v>-5.5999999999999939E-3</v>
      </c>
    </row>
    <row r="23" spans="1:22">
      <c r="A23" s="180">
        <v>18</v>
      </c>
      <c r="B23" s="63" t="s">
        <v>52</v>
      </c>
      <c r="C23" s="63" t="s">
        <v>53</v>
      </c>
      <c r="D23" s="64">
        <v>3433163063.0999999</v>
      </c>
      <c r="E23" s="72">
        <f t="shared" si="0"/>
        <v>0.11875187319007825</v>
      </c>
      <c r="F23" s="64">
        <v>1.3875999999999999</v>
      </c>
      <c r="G23" s="73">
        <v>1.4011</v>
      </c>
      <c r="H23" s="74">
        <v>4160</v>
      </c>
      <c r="I23" s="67">
        <v>1.5599999999999999E-2</v>
      </c>
      <c r="J23" s="67">
        <v>0.2412</v>
      </c>
      <c r="K23" s="64">
        <v>3409207887.7600002</v>
      </c>
      <c r="L23" s="72">
        <f t="shared" si="1"/>
        <v>0.11823022531174472</v>
      </c>
      <c r="M23" s="64">
        <v>1.3783000000000001</v>
      </c>
      <c r="N23" s="73">
        <v>1.3916999999999999</v>
      </c>
      <c r="O23" s="74">
        <v>4160</v>
      </c>
      <c r="P23" s="67">
        <v>-6.7000000000000002E-3</v>
      </c>
      <c r="Q23" s="67">
        <v>0.23430000000000001</v>
      </c>
      <c r="R23" s="75">
        <f t="shared" si="2"/>
        <v>-6.9775815770222035E-3</v>
      </c>
      <c r="S23" s="75">
        <f t="shared" si="3"/>
        <v>-6.7090143458711548E-3</v>
      </c>
      <c r="T23" s="75">
        <f t="shared" si="4"/>
        <v>0</v>
      </c>
      <c r="U23" s="76">
        <f t="shared" si="5"/>
        <v>-2.23E-2</v>
      </c>
      <c r="V23" s="77">
        <f t="shared" si="6"/>
        <v>-6.8999999999999895E-3</v>
      </c>
    </row>
    <row r="24" spans="1:22">
      <c r="A24" s="181"/>
      <c r="B24" s="81"/>
      <c r="C24" s="82" t="s">
        <v>54</v>
      </c>
      <c r="D24" s="83">
        <f>SUM(D6:D23)</f>
        <v>28910390807.939201</v>
      </c>
      <c r="E24" s="84">
        <f>(D24/$D$206)</f>
        <v>8.0114134238651446E-3</v>
      </c>
      <c r="F24" s="85"/>
      <c r="G24" s="86"/>
      <c r="H24" s="87">
        <f>SUM(H6:H23)</f>
        <v>50573</v>
      </c>
      <c r="I24" s="88"/>
      <c r="J24" s="74">
        <v>0</v>
      </c>
      <c r="K24" s="83">
        <f>SUM(K6:K23)</f>
        <v>28835332748.210007</v>
      </c>
      <c r="L24" s="84">
        <f>(K24/$K$206)</f>
        <v>7.900402812803126E-3</v>
      </c>
      <c r="M24" s="85"/>
      <c r="N24" s="86"/>
      <c r="O24" s="87">
        <f>SUM(O6:O23)</f>
        <v>50370</v>
      </c>
      <c r="P24" s="88"/>
      <c r="Q24" s="87"/>
      <c r="R24" s="75">
        <f t="shared" si="2"/>
        <v>-2.5962312383747727E-3</v>
      </c>
      <c r="S24" s="75" t="e">
        <f t="shared" si="3"/>
        <v>#DIV/0!</v>
      </c>
      <c r="T24" s="75">
        <f t="shared" si="4"/>
        <v>-4.0139995649852685E-3</v>
      </c>
      <c r="U24" s="76">
        <f t="shared" si="5"/>
        <v>0</v>
      </c>
      <c r="V24" s="77">
        <f t="shared" si="6"/>
        <v>0</v>
      </c>
    </row>
    <row r="25" spans="1:22" ht="4.5" customHeight="1">
      <c r="A25" s="181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ht="15" customHeight="1">
      <c r="A26" s="179" t="s">
        <v>271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</row>
    <row r="27" spans="1:22">
      <c r="A27" s="182">
        <v>19</v>
      </c>
      <c r="B27" s="62" t="s">
        <v>55</v>
      </c>
      <c r="C27" s="63" t="s">
        <v>20</v>
      </c>
      <c r="D27" s="90">
        <v>1283569096.9000001</v>
      </c>
      <c r="E27" s="72">
        <f>(D27/$K$63)</f>
        <v>8.7259694159040277E-4</v>
      </c>
      <c r="F27" s="73">
        <v>100</v>
      </c>
      <c r="G27" s="73">
        <v>100</v>
      </c>
      <c r="H27" s="74">
        <v>1071</v>
      </c>
      <c r="I27" s="67">
        <v>0.192</v>
      </c>
      <c r="J27" s="67">
        <v>0.192</v>
      </c>
      <c r="K27" s="90">
        <v>1310152412.47</v>
      </c>
      <c r="L27" s="72">
        <f t="shared" ref="L27:L62" si="12">(K27/$K$63)</f>
        <v>8.9066883185305969E-4</v>
      </c>
      <c r="M27" s="73">
        <v>100</v>
      </c>
      <c r="N27" s="73">
        <v>100</v>
      </c>
      <c r="O27" s="74">
        <v>1071</v>
      </c>
      <c r="P27" s="67">
        <v>0.19170000000000001</v>
      </c>
      <c r="Q27" s="67">
        <v>0.19170000000000001</v>
      </c>
      <c r="R27" s="75">
        <f>((K27-D27)/D27)</f>
        <v>2.0710467114082427E-2</v>
      </c>
      <c r="S27" s="75">
        <f>((N27-G27)/G27)</f>
        <v>0</v>
      </c>
      <c r="T27" s="75">
        <f>((O27-H27)/H27)</f>
        <v>0</v>
      </c>
      <c r="U27" s="76">
        <f>P27-I27</f>
        <v>-2.9999999999999472E-4</v>
      </c>
      <c r="V27" s="77">
        <f>Q27-J27</f>
        <v>-2.9999999999999472E-4</v>
      </c>
    </row>
    <row r="28" spans="1:22">
      <c r="A28" s="182">
        <v>20</v>
      </c>
      <c r="B28" s="62" t="s">
        <v>56</v>
      </c>
      <c r="C28" s="63" t="s">
        <v>57</v>
      </c>
      <c r="D28" s="90">
        <v>8617847636.6700001</v>
      </c>
      <c r="E28" s="72">
        <f t="shared" ref="E28:E62" si="13">(D28/$K$63)</f>
        <v>5.8585918818176265E-3</v>
      </c>
      <c r="F28" s="73">
        <v>100</v>
      </c>
      <c r="G28" s="73">
        <v>100</v>
      </c>
      <c r="H28" s="74">
        <v>1717</v>
      </c>
      <c r="I28" s="67">
        <v>0.195462</v>
      </c>
      <c r="J28" s="67">
        <v>8.6264999999999994E-2</v>
      </c>
      <c r="K28" s="90">
        <v>8838801129.1900005</v>
      </c>
      <c r="L28" s="72">
        <f t="shared" si="12"/>
        <v>6.0088006569216056E-3</v>
      </c>
      <c r="M28" s="73">
        <v>100</v>
      </c>
      <c r="N28" s="73">
        <v>100</v>
      </c>
      <c r="O28" s="74">
        <v>1726</v>
      </c>
      <c r="P28" s="67">
        <v>0.22072</v>
      </c>
      <c r="Q28" s="67">
        <v>0.22072</v>
      </c>
      <c r="R28" s="75">
        <f t="shared" ref="R28:R63" si="14">((K28-D28)/D28)</f>
        <v>2.5639057666767769E-2</v>
      </c>
      <c r="S28" s="75">
        <f t="shared" ref="S28:S63" si="15">((N28-G28)/G28)</f>
        <v>0</v>
      </c>
      <c r="T28" s="75">
        <f t="shared" ref="T28:T63" si="16">((O28-H28)/H28)</f>
        <v>5.2417006406523005E-3</v>
      </c>
      <c r="U28" s="76">
        <f t="shared" ref="U28:U63" si="17">P28-I28</f>
        <v>2.5258000000000003E-2</v>
      </c>
      <c r="V28" s="77">
        <f t="shared" ref="V28:V63" si="18">Q28-J28</f>
        <v>0.13445499999999999</v>
      </c>
    </row>
    <row r="29" spans="1:22">
      <c r="A29" s="182">
        <v>21</v>
      </c>
      <c r="B29" s="62" t="s">
        <v>58</v>
      </c>
      <c r="C29" s="63" t="s">
        <v>22</v>
      </c>
      <c r="D29" s="90">
        <v>874636790.82000005</v>
      </c>
      <c r="E29" s="72">
        <f t="shared" si="13"/>
        <v>5.9459626327497698E-4</v>
      </c>
      <c r="F29" s="73">
        <v>100</v>
      </c>
      <c r="G29" s="73">
        <v>100</v>
      </c>
      <c r="H29" s="74">
        <v>1737</v>
      </c>
      <c r="I29" s="67">
        <v>0.19270000000000001</v>
      </c>
      <c r="J29" s="67">
        <v>0.19270000000000001</v>
      </c>
      <c r="K29" s="90">
        <v>906678461.41999996</v>
      </c>
      <c r="L29" s="72">
        <f t="shared" si="12"/>
        <v>6.1637885669868367E-4</v>
      </c>
      <c r="M29" s="73">
        <v>100</v>
      </c>
      <c r="N29" s="73">
        <v>100</v>
      </c>
      <c r="O29" s="74">
        <v>1745</v>
      </c>
      <c r="P29" s="67">
        <v>0.18609999999999999</v>
      </c>
      <c r="Q29" s="67">
        <v>0.18609999999999999</v>
      </c>
      <c r="R29" s="75">
        <f t="shared" si="14"/>
        <v>3.6634258856135943E-2</v>
      </c>
      <c r="S29" s="75">
        <f t="shared" si="15"/>
        <v>0</v>
      </c>
      <c r="T29" s="75">
        <f t="shared" si="16"/>
        <v>4.6056419113413936E-3</v>
      </c>
      <c r="U29" s="76">
        <f t="shared" si="17"/>
        <v>-6.6000000000000225E-3</v>
      </c>
      <c r="V29" s="77">
        <f t="shared" si="18"/>
        <v>-6.6000000000000225E-3</v>
      </c>
    </row>
    <row r="30" spans="1:22">
      <c r="A30" s="182">
        <v>22</v>
      </c>
      <c r="B30" s="62" t="s">
        <v>59</v>
      </c>
      <c r="C30" s="63" t="s">
        <v>24</v>
      </c>
      <c r="D30" s="90">
        <v>111876368792.53</v>
      </c>
      <c r="E30" s="72">
        <f t="shared" si="13"/>
        <v>7.6055880030436132E-2</v>
      </c>
      <c r="F30" s="73">
        <v>1</v>
      </c>
      <c r="G30" s="73">
        <v>1</v>
      </c>
      <c r="H30" s="74">
        <v>61968</v>
      </c>
      <c r="I30" s="67">
        <v>0.1991</v>
      </c>
      <c r="J30" s="67">
        <v>0.1991</v>
      </c>
      <c r="K30" s="90">
        <v>111397746013.97</v>
      </c>
      <c r="L30" s="72">
        <f t="shared" si="12"/>
        <v>7.5730502320926277E-2</v>
      </c>
      <c r="M30" s="73">
        <v>1</v>
      </c>
      <c r="N30" s="73">
        <v>1</v>
      </c>
      <c r="O30" s="74">
        <v>62093</v>
      </c>
      <c r="P30" s="67">
        <v>0.1991</v>
      </c>
      <c r="Q30" s="67">
        <v>0.1991</v>
      </c>
      <c r="R30" s="75">
        <f t="shared" si="14"/>
        <v>-4.2781400909389835E-3</v>
      </c>
      <c r="S30" s="75">
        <f t="shared" si="15"/>
        <v>0</v>
      </c>
      <c r="T30" s="75">
        <f t="shared" si="16"/>
        <v>2.0171701523366897E-3</v>
      </c>
      <c r="U30" s="76">
        <f t="shared" si="17"/>
        <v>0</v>
      </c>
      <c r="V30" s="77">
        <f t="shared" si="18"/>
        <v>0</v>
      </c>
    </row>
    <row r="31" spans="1:22">
      <c r="A31" s="182">
        <v>23</v>
      </c>
      <c r="B31" s="62" t="s">
        <v>60</v>
      </c>
      <c r="C31" s="63" t="s">
        <v>26</v>
      </c>
      <c r="D31" s="90">
        <v>72800059403.600006</v>
      </c>
      <c r="E31" s="72">
        <f t="shared" si="13"/>
        <v>4.9490992994925695E-2</v>
      </c>
      <c r="F31" s="73">
        <v>1</v>
      </c>
      <c r="G31" s="73">
        <v>1</v>
      </c>
      <c r="H31" s="74">
        <v>29758</v>
      </c>
      <c r="I31" s="67">
        <v>0.19020000000000001</v>
      </c>
      <c r="J31" s="67">
        <v>0.19020000000000001</v>
      </c>
      <c r="K31" s="90">
        <v>72316495604.179993</v>
      </c>
      <c r="L31" s="72">
        <f t="shared" si="12"/>
        <v>4.9162256276772523E-2</v>
      </c>
      <c r="M31" s="73">
        <v>1</v>
      </c>
      <c r="N31" s="73">
        <v>1</v>
      </c>
      <c r="O31" s="74">
        <v>29803</v>
      </c>
      <c r="P31" s="67">
        <v>0.2026</v>
      </c>
      <c r="Q31" s="67">
        <v>0.2026</v>
      </c>
      <c r="R31" s="75">
        <f t="shared" si="14"/>
        <v>-6.6423544620912893E-3</v>
      </c>
      <c r="S31" s="75">
        <f t="shared" si="15"/>
        <v>0</v>
      </c>
      <c r="T31" s="75">
        <f t="shared" si="16"/>
        <v>1.5121984004301365E-3</v>
      </c>
      <c r="U31" s="76">
        <f t="shared" si="17"/>
        <v>1.2399999999999994E-2</v>
      </c>
      <c r="V31" s="77">
        <f t="shared" si="18"/>
        <v>1.2399999999999994E-2</v>
      </c>
    </row>
    <row r="32" spans="1:22" ht="15" customHeight="1">
      <c r="A32" s="182">
        <v>24</v>
      </c>
      <c r="B32" s="62" t="s">
        <v>61</v>
      </c>
      <c r="C32" s="63" t="s">
        <v>48</v>
      </c>
      <c r="D32" s="90">
        <v>10537808023</v>
      </c>
      <c r="E32" s="72">
        <f t="shared" si="13"/>
        <v>7.1638208446623188E-3</v>
      </c>
      <c r="F32" s="73">
        <v>100</v>
      </c>
      <c r="G32" s="73">
        <v>100</v>
      </c>
      <c r="H32" s="74">
        <v>2891</v>
      </c>
      <c r="I32" s="67">
        <v>0.21299999999999999</v>
      </c>
      <c r="J32" s="67">
        <v>0.21299999999999999</v>
      </c>
      <c r="K32" s="90">
        <v>10800897861</v>
      </c>
      <c r="L32" s="72">
        <f t="shared" si="12"/>
        <v>7.3426747829168021E-3</v>
      </c>
      <c r="M32" s="73">
        <v>100</v>
      </c>
      <c r="N32" s="73">
        <v>100</v>
      </c>
      <c r="O32" s="74">
        <v>2891</v>
      </c>
      <c r="P32" s="67">
        <v>0.22</v>
      </c>
      <c r="Q32" s="67">
        <v>0.22</v>
      </c>
      <c r="R32" s="75">
        <f t="shared" si="14"/>
        <v>2.4966277372464523E-2</v>
      </c>
      <c r="S32" s="75">
        <f t="shared" si="15"/>
        <v>0</v>
      </c>
      <c r="T32" s="75">
        <f t="shared" si="16"/>
        <v>0</v>
      </c>
      <c r="U32" s="76">
        <f t="shared" si="17"/>
        <v>7.0000000000000062E-3</v>
      </c>
      <c r="V32" s="77">
        <f t="shared" si="18"/>
        <v>7.0000000000000062E-3</v>
      </c>
    </row>
    <row r="33" spans="1:22" ht="15" customHeight="1">
      <c r="A33" s="182">
        <v>25</v>
      </c>
      <c r="B33" s="62" t="s">
        <v>62</v>
      </c>
      <c r="C33" s="63" t="s">
        <v>63</v>
      </c>
      <c r="D33" s="90">
        <v>344980135.16000003</v>
      </c>
      <c r="E33" s="72">
        <f t="shared" si="13"/>
        <v>2.3452466374976325E-4</v>
      </c>
      <c r="F33" s="73">
        <v>1</v>
      </c>
      <c r="G33" s="73">
        <v>1</v>
      </c>
      <c r="H33" s="74">
        <v>224</v>
      </c>
      <c r="I33" s="67">
        <v>0.19500000000000001</v>
      </c>
      <c r="J33" s="67">
        <v>0.19500000000000001</v>
      </c>
      <c r="K33" s="90">
        <v>322826338.39999998</v>
      </c>
      <c r="L33" s="72">
        <f t="shared" si="12"/>
        <v>2.1946405240902647E-4</v>
      </c>
      <c r="M33" s="73">
        <v>1</v>
      </c>
      <c r="N33" s="73">
        <v>1</v>
      </c>
      <c r="O33" s="74">
        <v>232</v>
      </c>
      <c r="P33" s="67">
        <v>0.19500000000000001</v>
      </c>
      <c r="Q33" s="67">
        <v>0.19500000000000001</v>
      </c>
      <c r="R33" s="75">
        <f t="shared" si="14"/>
        <v>-6.4217601253258344E-2</v>
      </c>
      <c r="S33" s="75">
        <f t="shared" si="15"/>
        <v>0</v>
      </c>
      <c r="T33" s="75">
        <f t="shared" si="16"/>
        <v>3.5714285714285712E-2</v>
      </c>
      <c r="U33" s="76">
        <f t="shared" si="17"/>
        <v>0</v>
      </c>
      <c r="V33" s="77">
        <f t="shared" si="18"/>
        <v>0</v>
      </c>
    </row>
    <row r="34" spans="1:22">
      <c r="A34" s="182">
        <v>26</v>
      </c>
      <c r="B34" s="62" t="s">
        <v>64</v>
      </c>
      <c r="C34" s="63" t="s">
        <v>65</v>
      </c>
      <c r="D34" s="90">
        <v>30322816907</v>
      </c>
      <c r="E34" s="72">
        <f t="shared" si="13"/>
        <v>2.0614080969507294E-2</v>
      </c>
      <c r="F34" s="73">
        <v>100</v>
      </c>
      <c r="G34" s="73">
        <v>100</v>
      </c>
      <c r="H34" s="74">
        <v>3014</v>
      </c>
      <c r="I34" s="67">
        <v>0.2155</v>
      </c>
      <c r="J34" s="67">
        <v>0.2155</v>
      </c>
      <c r="K34" s="90">
        <v>30825168758.02</v>
      </c>
      <c r="L34" s="72">
        <f t="shared" si="12"/>
        <v>2.0955590195509237E-2</v>
      </c>
      <c r="M34" s="73">
        <v>100</v>
      </c>
      <c r="N34" s="73">
        <v>100</v>
      </c>
      <c r="O34" s="74">
        <v>3032</v>
      </c>
      <c r="P34" s="67">
        <v>0.21574310497587901</v>
      </c>
      <c r="Q34" s="67">
        <v>0.21574310497587901</v>
      </c>
      <c r="R34" s="75">
        <f t="shared" si="14"/>
        <v>1.6566793664345641E-2</v>
      </c>
      <c r="S34" s="75">
        <f t="shared" si="15"/>
        <v>0</v>
      </c>
      <c r="T34" s="75">
        <f t="shared" si="16"/>
        <v>5.9721300597213008E-3</v>
      </c>
      <c r="U34" s="76">
        <f t="shared" si="17"/>
        <v>2.4310497587901048E-4</v>
      </c>
      <c r="V34" s="77">
        <f t="shared" si="18"/>
        <v>2.4310497587901048E-4</v>
      </c>
    </row>
    <row r="35" spans="1:22">
      <c r="A35" s="182">
        <v>27</v>
      </c>
      <c r="B35" s="62" t="s">
        <v>66</v>
      </c>
      <c r="C35" s="63" t="s">
        <v>67</v>
      </c>
      <c r="D35" s="90">
        <v>11911588608.66</v>
      </c>
      <c r="E35" s="72">
        <f t="shared" si="13"/>
        <v>8.0977454306922839E-3</v>
      </c>
      <c r="F35" s="73">
        <v>100</v>
      </c>
      <c r="G35" s="73">
        <v>100</v>
      </c>
      <c r="H35" s="74">
        <v>6313</v>
      </c>
      <c r="I35" s="67">
        <v>0.20619999999999999</v>
      </c>
      <c r="J35" s="67">
        <v>0.20619999999999999</v>
      </c>
      <c r="K35" s="90">
        <v>11816732209.98</v>
      </c>
      <c r="L35" s="72">
        <f t="shared" si="12"/>
        <v>8.0332600799789076E-3</v>
      </c>
      <c r="M35" s="73">
        <v>100</v>
      </c>
      <c r="N35" s="73">
        <v>100</v>
      </c>
      <c r="O35" s="74">
        <v>6336</v>
      </c>
      <c r="P35" s="67">
        <v>0.2069</v>
      </c>
      <c r="Q35" s="67">
        <v>0.2069</v>
      </c>
      <c r="R35" s="75">
        <f t="shared" si="14"/>
        <v>-7.963370948778194E-3</v>
      </c>
      <c r="S35" s="75">
        <f t="shared" si="15"/>
        <v>0</v>
      </c>
      <c r="T35" s="75">
        <f t="shared" si="16"/>
        <v>3.643275780136227E-3</v>
      </c>
      <c r="U35" s="76">
        <f t="shared" si="17"/>
        <v>7.0000000000000617E-4</v>
      </c>
      <c r="V35" s="77">
        <f t="shared" si="18"/>
        <v>7.0000000000000617E-4</v>
      </c>
    </row>
    <row r="36" spans="1:22">
      <c r="A36" s="182">
        <v>28</v>
      </c>
      <c r="B36" s="62" t="s">
        <v>68</v>
      </c>
      <c r="C36" s="63" t="s">
        <v>69</v>
      </c>
      <c r="D36" s="90">
        <v>44514190.369999997</v>
      </c>
      <c r="E36" s="72">
        <f t="shared" si="13"/>
        <v>3.0261671512695449E-5</v>
      </c>
      <c r="F36" s="73">
        <v>100</v>
      </c>
      <c r="G36" s="73">
        <v>100</v>
      </c>
      <c r="H36" s="74">
        <v>0</v>
      </c>
      <c r="I36" s="67">
        <v>0</v>
      </c>
      <c r="J36" s="67">
        <v>0</v>
      </c>
      <c r="K36" s="90">
        <v>44514190.369999997</v>
      </c>
      <c r="L36" s="72">
        <f t="shared" si="12"/>
        <v>3.0261671512695449E-5</v>
      </c>
      <c r="M36" s="73">
        <v>100</v>
      </c>
      <c r="N36" s="73">
        <v>100</v>
      </c>
      <c r="O36" s="74">
        <v>0</v>
      </c>
      <c r="P36" s="67">
        <v>0</v>
      </c>
      <c r="Q36" s="67">
        <v>0</v>
      </c>
      <c r="R36" s="75">
        <f t="shared" si="14"/>
        <v>0</v>
      </c>
      <c r="S36" s="75">
        <f t="shared" si="15"/>
        <v>0</v>
      </c>
      <c r="T36" s="75" t="e">
        <f t="shared" si="16"/>
        <v>#DIV/0!</v>
      </c>
      <c r="U36" s="76">
        <f t="shared" si="17"/>
        <v>0</v>
      </c>
      <c r="V36" s="77">
        <f t="shared" si="18"/>
        <v>0</v>
      </c>
    </row>
    <row r="37" spans="1:22">
      <c r="A37" s="182">
        <v>29</v>
      </c>
      <c r="B37" s="62" t="s">
        <v>70</v>
      </c>
      <c r="C37" s="63" t="s">
        <v>71</v>
      </c>
      <c r="D37" s="90">
        <v>8370548802.71</v>
      </c>
      <c r="E37" s="72">
        <f t="shared" si="13"/>
        <v>5.6904729962091016E-3</v>
      </c>
      <c r="F37" s="73">
        <v>1</v>
      </c>
      <c r="G37" s="73">
        <v>1</v>
      </c>
      <c r="H37" s="74">
        <v>2893</v>
      </c>
      <c r="I37" s="67">
        <v>0</v>
      </c>
      <c r="J37" s="67">
        <v>0</v>
      </c>
      <c r="K37" s="90">
        <v>8304712818.7600002</v>
      </c>
      <c r="L37" s="72">
        <f t="shared" si="12"/>
        <v>5.6457163264044836E-3</v>
      </c>
      <c r="M37" s="73">
        <v>1</v>
      </c>
      <c r="N37" s="73">
        <v>1</v>
      </c>
      <c r="O37" s="74">
        <v>2920</v>
      </c>
      <c r="P37" s="67">
        <v>0.19170000000000001</v>
      </c>
      <c r="Q37" s="67">
        <v>0.19170000000000001</v>
      </c>
      <c r="R37" s="75">
        <f t="shared" si="14"/>
        <v>-7.8651932509712068E-3</v>
      </c>
      <c r="S37" s="75">
        <f t="shared" si="15"/>
        <v>0</v>
      </c>
      <c r="T37" s="75">
        <f t="shared" si="16"/>
        <v>9.3328724507431727E-3</v>
      </c>
      <c r="U37" s="76">
        <f t="shared" si="17"/>
        <v>0.19170000000000001</v>
      </c>
      <c r="V37" s="77">
        <f t="shared" si="18"/>
        <v>0.19170000000000001</v>
      </c>
    </row>
    <row r="38" spans="1:22">
      <c r="A38" s="182">
        <v>30</v>
      </c>
      <c r="B38" s="62" t="s">
        <v>72</v>
      </c>
      <c r="C38" s="63" t="s">
        <v>73</v>
      </c>
      <c r="D38" s="90">
        <v>17837140299.720001</v>
      </c>
      <c r="E38" s="72">
        <f t="shared" si="13"/>
        <v>1.2126058589167793E-2</v>
      </c>
      <c r="F38" s="91">
        <v>100</v>
      </c>
      <c r="G38" s="91">
        <v>100</v>
      </c>
      <c r="H38" s="74">
        <v>2983</v>
      </c>
      <c r="I38" s="67">
        <v>0.20300000000000001</v>
      </c>
      <c r="J38" s="67">
        <v>0.20300000000000001</v>
      </c>
      <c r="K38" s="90">
        <v>18055263745.07</v>
      </c>
      <c r="L38" s="72">
        <f t="shared" si="12"/>
        <v>1.2274343439403946E-2</v>
      </c>
      <c r="M38" s="91">
        <v>100</v>
      </c>
      <c r="N38" s="91">
        <v>100</v>
      </c>
      <c r="O38" s="74">
        <v>3004</v>
      </c>
      <c r="P38" s="67">
        <v>0.1915</v>
      </c>
      <c r="Q38" s="67">
        <v>0.1915</v>
      </c>
      <c r="R38" s="75">
        <f t="shared" si="14"/>
        <v>1.2228610734951862E-2</v>
      </c>
      <c r="S38" s="75">
        <f t="shared" si="15"/>
        <v>0</v>
      </c>
      <c r="T38" s="75">
        <f t="shared" si="16"/>
        <v>7.0398927254441837E-3</v>
      </c>
      <c r="U38" s="76">
        <f t="shared" si="17"/>
        <v>-1.150000000000001E-2</v>
      </c>
      <c r="V38" s="77">
        <f t="shared" si="18"/>
        <v>-1.150000000000001E-2</v>
      </c>
    </row>
    <row r="39" spans="1:22">
      <c r="A39" s="182">
        <v>31</v>
      </c>
      <c r="B39" s="62" t="s">
        <v>74</v>
      </c>
      <c r="C39" s="63" t="s">
        <v>73</v>
      </c>
      <c r="D39" s="90">
        <v>439241728.81999999</v>
      </c>
      <c r="E39" s="72">
        <f t="shared" si="13"/>
        <v>2.9860565365190747E-4</v>
      </c>
      <c r="F39" s="91">
        <v>1000000</v>
      </c>
      <c r="G39" s="91">
        <v>1000000</v>
      </c>
      <c r="H39" s="74">
        <v>3</v>
      </c>
      <c r="I39" s="67">
        <v>0.19900000000000001</v>
      </c>
      <c r="J39" s="67">
        <v>0.19900000000000001</v>
      </c>
      <c r="K39" s="90">
        <v>440796910.88999999</v>
      </c>
      <c r="L39" s="72">
        <f t="shared" si="12"/>
        <v>2.9966289873608384E-4</v>
      </c>
      <c r="M39" s="91">
        <v>1000000</v>
      </c>
      <c r="N39" s="91">
        <v>1000000</v>
      </c>
      <c r="O39" s="74">
        <v>3</v>
      </c>
      <c r="P39" s="67">
        <v>0.18859999999999999</v>
      </c>
      <c r="Q39" s="67">
        <v>0.18859999999999999</v>
      </c>
      <c r="R39" s="75">
        <f t="shared" si="14"/>
        <v>3.5406063858684565E-3</v>
      </c>
      <c r="S39" s="75">
        <f t="shared" si="15"/>
        <v>0</v>
      </c>
      <c r="T39" s="75">
        <f t="shared" si="16"/>
        <v>0</v>
      </c>
      <c r="U39" s="76">
        <f t="shared" si="17"/>
        <v>-1.040000000000002E-2</v>
      </c>
      <c r="V39" s="77">
        <f t="shared" si="18"/>
        <v>-1.040000000000002E-2</v>
      </c>
    </row>
    <row r="40" spans="1:22">
      <c r="A40" s="182">
        <v>32</v>
      </c>
      <c r="B40" s="62" t="s">
        <v>75</v>
      </c>
      <c r="C40" s="63" t="s">
        <v>76</v>
      </c>
      <c r="D40" s="90">
        <v>3902579592.8200002</v>
      </c>
      <c r="E40" s="72">
        <f t="shared" si="13"/>
        <v>2.6530546935356427E-3</v>
      </c>
      <c r="F40" s="73">
        <v>1</v>
      </c>
      <c r="G40" s="73">
        <v>1</v>
      </c>
      <c r="H40" s="74">
        <v>627</v>
      </c>
      <c r="I40" s="67">
        <v>0.22</v>
      </c>
      <c r="J40" s="67">
        <v>0.22</v>
      </c>
      <c r="K40" s="90">
        <v>3764820852.6900001</v>
      </c>
      <c r="L40" s="72">
        <f t="shared" si="12"/>
        <v>2.5594034396957802E-3</v>
      </c>
      <c r="M40" s="73">
        <v>1</v>
      </c>
      <c r="N40" s="73">
        <v>1</v>
      </c>
      <c r="O40" s="74">
        <v>634</v>
      </c>
      <c r="P40" s="67">
        <v>0.21829999999999999</v>
      </c>
      <c r="Q40" s="67">
        <v>0.21829999999999999</v>
      </c>
      <c r="R40" s="75">
        <f t="shared" si="14"/>
        <v>-3.5299405650418982E-2</v>
      </c>
      <c r="S40" s="75">
        <f t="shared" si="15"/>
        <v>0</v>
      </c>
      <c r="T40" s="75">
        <f t="shared" si="16"/>
        <v>1.1164274322169059E-2</v>
      </c>
      <c r="U40" s="76">
        <f t="shared" si="17"/>
        <v>-1.7000000000000071E-3</v>
      </c>
      <c r="V40" s="77">
        <f t="shared" si="18"/>
        <v>-1.7000000000000071E-3</v>
      </c>
    </row>
    <row r="41" spans="1:22">
      <c r="A41" s="182">
        <v>33</v>
      </c>
      <c r="B41" s="62" t="s">
        <v>77</v>
      </c>
      <c r="C41" s="63" t="s">
        <v>32</v>
      </c>
      <c r="D41" s="90">
        <v>326840169684.87</v>
      </c>
      <c r="E41" s="72">
        <f t="shared" si="13"/>
        <v>0.22219273831436367</v>
      </c>
      <c r="F41" s="73">
        <v>100</v>
      </c>
      <c r="G41" s="73">
        <v>100</v>
      </c>
      <c r="H41" s="74">
        <v>15010</v>
      </c>
      <c r="I41" s="67">
        <v>0.2167</v>
      </c>
      <c r="J41" s="67">
        <v>0.2167</v>
      </c>
      <c r="K41" s="90">
        <v>330829202090.71997</v>
      </c>
      <c r="L41" s="72">
        <f t="shared" si="12"/>
        <v>0.22490456542648127</v>
      </c>
      <c r="M41" s="73">
        <v>100</v>
      </c>
      <c r="N41" s="73">
        <v>100</v>
      </c>
      <c r="O41" s="74">
        <v>15109</v>
      </c>
      <c r="P41" s="67">
        <v>0.217</v>
      </c>
      <c r="Q41" s="67">
        <v>0.217</v>
      </c>
      <c r="R41" s="75">
        <f t="shared" si="14"/>
        <v>1.2204841313404309E-2</v>
      </c>
      <c r="S41" s="75">
        <f t="shared" si="15"/>
        <v>0</v>
      </c>
      <c r="T41" s="75">
        <f t="shared" si="16"/>
        <v>6.5956029313790805E-3</v>
      </c>
      <c r="U41" s="76">
        <f t="shared" si="17"/>
        <v>2.9999999999999472E-4</v>
      </c>
      <c r="V41" s="77">
        <f t="shared" si="18"/>
        <v>2.9999999999999472E-4</v>
      </c>
    </row>
    <row r="42" spans="1:22">
      <c r="A42" s="182">
        <v>34</v>
      </c>
      <c r="B42" s="62" t="s">
        <v>78</v>
      </c>
      <c r="C42" s="63" t="s">
        <v>79</v>
      </c>
      <c r="D42" s="90">
        <v>530986206.94</v>
      </c>
      <c r="E42" s="72">
        <f t="shared" si="13"/>
        <v>3.609754561102761E-4</v>
      </c>
      <c r="F42" s="73">
        <v>1</v>
      </c>
      <c r="G42" s="73">
        <v>1</v>
      </c>
      <c r="H42" s="92">
        <v>716</v>
      </c>
      <c r="I42" s="93">
        <v>0.2016</v>
      </c>
      <c r="J42" s="93">
        <v>0.2016</v>
      </c>
      <c r="K42" s="90">
        <v>533582075.81</v>
      </c>
      <c r="L42" s="72">
        <f t="shared" si="12"/>
        <v>3.6274018170409287E-4</v>
      </c>
      <c r="M42" s="73">
        <v>1</v>
      </c>
      <c r="N42" s="73">
        <v>1</v>
      </c>
      <c r="O42" s="92">
        <v>720</v>
      </c>
      <c r="P42" s="93">
        <v>0.2056</v>
      </c>
      <c r="Q42" s="93">
        <v>0.2056</v>
      </c>
      <c r="R42" s="75">
        <f t="shared" si="14"/>
        <v>4.8887689285935275E-3</v>
      </c>
      <c r="S42" s="75">
        <f t="shared" si="15"/>
        <v>0</v>
      </c>
      <c r="T42" s="75">
        <f t="shared" si="16"/>
        <v>5.5865921787709499E-3</v>
      </c>
      <c r="U42" s="76">
        <f t="shared" si="17"/>
        <v>4.0000000000000036E-3</v>
      </c>
      <c r="V42" s="77">
        <f t="shared" si="18"/>
        <v>4.0000000000000036E-3</v>
      </c>
    </row>
    <row r="43" spans="1:22">
      <c r="A43" s="182">
        <v>35</v>
      </c>
      <c r="B43" s="62" t="s">
        <v>80</v>
      </c>
      <c r="C43" s="63" t="s">
        <v>81</v>
      </c>
      <c r="D43" s="90">
        <v>854170272.45000005</v>
      </c>
      <c r="E43" s="72">
        <f t="shared" si="13"/>
        <v>5.8068269884140045E-4</v>
      </c>
      <c r="F43" s="73">
        <v>10</v>
      </c>
      <c r="G43" s="73">
        <v>10</v>
      </c>
      <c r="H43" s="74">
        <v>390</v>
      </c>
      <c r="I43" s="67">
        <v>3.8E-3</v>
      </c>
      <c r="J43" s="67">
        <v>0.1198</v>
      </c>
      <c r="K43" s="90">
        <v>803849268.25999999</v>
      </c>
      <c r="L43" s="72">
        <f t="shared" si="12"/>
        <v>5.4647343464206703E-4</v>
      </c>
      <c r="M43" s="73">
        <v>10</v>
      </c>
      <c r="N43" s="73">
        <v>10</v>
      </c>
      <c r="O43" s="74">
        <v>390</v>
      </c>
      <c r="P43" s="67">
        <v>0.16619999999999999</v>
      </c>
      <c r="Q43" s="67">
        <v>0.16619999999999999</v>
      </c>
      <c r="R43" s="75">
        <f t="shared" si="14"/>
        <v>-5.8912146457245927E-2</v>
      </c>
      <c r="S43" s="75">
        <f t="shared" si="15"/>
        <v>0</v>
      </c>
      <c r="T43" s="75">
        <f t="shared" si="16"/>
        <v>0</v>
      </c>
      <c r="U43" s="76">
        <f t="shared" si="17"/>
        <v>0.16239999999999999</v>
      </c>
      <c r="V43" s="77">
        <f t="shared" si="18"/>
        <v>4.6399999999999983E-2</v>
      </c>
    </row>
    <row r="44" spans="1:22">
      <c r="A44" s="182">
        <v>36</v>
      </c>
      <c r="B44" s="62" t="s">
        <v>82</v>
      </c>
      <c r="C44" s="63" t="s">
        <v>83</v>
      </c>
      <c r="D44" s="90">
        <v>4400919901.1899996</v>
      </c>
      <c r="E44" s="72">
        <f t="shared" si="13"/>
        <v>2.9918367894937836E-3</v>
      </c>
      <c r="F44" s="73">
        <v>100</v>
      </c>
      <c r="G44" s="73">
        <v>100</v>
      </c>
      <c r="H44" s="74">
        <v>682</v>
      </c>
      <c r="I44" s="67">
        <v>0.19539999999999999</v>
      </c>
      <c r="J44" s="67">
        <v>0.19539999999999999</v>
      </c>
      <c r="K44" s="90">
        <v>4459300204.5600004</v>
      </c>
      <c r="L44" s="72">
        <f t="shared" si="12"/>
        <v>3.0315249327287803E-3</v>
      </c>
      <c r="M44" s="73">
        <v>100</v>
      </c>
      <c r="N44" s="73">
        <v>100</v>
      </c>
      <c r="O44" s="74">
        <v>682</v>
      </c>
      <c r="P44" s="67">
        <v>0.1948</v>
      </c>
      <c r="Q44" s="67">
        <v>0.1948</v>
      </c>
      <c r="R44" s="75">
        <f t="shared" si="14"/>
        <v>1.3265477373086233E-2</v>
      </c>
      <c r="S44" s="75">
        <f t="shared" si="15"/>
        <v>0</v>
      </c>
      <c r="T44" s="75">
        <f t="shared" si="16"/>
        <v>0</v>
      </c>
      <c r="U44" s="76">
        <f t="shared" si="17"/>
        <v>-5.9999999999998943E-4</v>
      </c>
      <c r="V44" s="77">
        <f t="shared" si="18"/>
        <v>-5.9999999999998943E-4</v>
      </c>
    </row>
    <row r="45" spans="1:22">
      <c r="A45" s="182">
        <v>37</v>
      </c>
      <c r="B45" s="62" t="s">
        <v>84</v>
      </c>
      <c r="C45" s="62" t="s">
        <v>85</v>
      </c>
      <c r="D45" s="64">
        <v>57982252.090000004</v>
      </c>
      <c r="E45" s="72">
        <f t="shared" ref="E45" si="19">(D45/$D$176)</f>
        <v>1.1200241683456077E-3</v>
      </c>
      <c r="F45" s="64">
        <v>1</v>
      </c>
      <c r="G45" s="64">
        <v>1</v>
      </c>
      <c r="H45" s="74">
        <v>31</v>
      </c>
      <c r="I45" s="67">
        <v>1.32E-2</v>
      </c>
      <c r="J45" s="67">
        <v>0.16880000000000001</v>
      </c>
      <c r="K45" s="64">
        <v>58968778.149999999</v>
      </c>
      <c r="L45" s="94">
        <f t="shared" ref="L45" si="20">(K45/$K$176)</f>
        <v>1.1389913185553848E-3</v>
      </c>
      <c r="M45" s="64">
        <v>1</v>
      </c>
      <c r="N45" s="64">
        <v>1</v>
      </c>
      <c r="O45" s="74">
        <v>33</v>
      </c>
      <c r="P45" s="67">
        <v>0.112</v>
      </c>
      <c r="Q45" s="67">
        <v>0.112</v>
      </c>
      <c r="R45" s="76">
        <f t="shared" si="14"/>
        <v>1.701427634215915E-2</v>
      </c>
      <c r="S45" s="76">
        <f t="shared" si="15"/>
        <v>0</v>
      </c>
      <c r="T45" s="76">
        <f t="shared" si="16"/>
        <v>6.4516129032258063E-2</v>
      </c>
      <c r="U45" s="76">
        <f t="shared" si="17"/>
        <v>9.8799999999999999E-2</v>
      </c>
      <c r="V45" s="77">
        <f t="shared" si="18"/>
        <v>-5.6800000000000003E-2</v>
      </c>
    </row>
    <row r="46" spans="1:22">
      <c r="A46" s="182">
        <v>38</v>
      </c>
      <c r="B46" s="62" t="s">
        <v>86</v>
      </c>
      <c r="C46" s="63" t="s">
        <v>38</v>
      </c>
      <c r="D46" s="90">
        <v>36088368741.629997</v>
      </c>
      <c r="E46" s="72">
        <f t="shared" si="13"/>
        <v>2.4533622901164617E-2</v>
      </c>
      <c r="F46" s="73">
        <v>100</v>
      </c>
      <c r="G46" s="73">
        <v>100</v>
      </c>
      <c r="H46" s="74">
        <v>12477</v>
      </c>
      <c r="I46" s="67">
        <v>0.1845</v>
      </c>
      <c r="J46" s="67">
        <v>0.1686</v>
      </c>
      <c r="K46" s="90">
        <v>38571436010.75</v>
      </c>
      <c r="L46" s="72">
        <f t="shared" si="12"/>
        <v>2.6221663622953785E-2</v>
      </c>
      <c r="M46" s="73">
        <v>100</v>
      </c>
      <c r="N46" s="73">
        <v>100</v>
      </c>
      <c r="O46" s="74">
        <v>12526</v>
      </c>
      <c r="P46" s="67">
        <v>0.20219999999999999</v>
      </c>
      <c r="Q46" s="67">
        <v>0.20219999999999999</v>
      </c>
      <c r="R46" s="75">
        <f t="shared" si="14"/>
        <v>6.8805195571382052E-2</v>
      </c>
      <c r="S46" s="75">
        <f t="shared" si="15"/>
        <v>0</v>
      </c>
      <c r="T46" s="75">
        <f t="shared" si="16"/>
        <v>3.927226096016671E-3</v>
      </c>
      <c r="U46" s="76">
        <f t="shared" si="17"/>
        <v>1.7699999999999994E-2</v>
      </c>
      <c r="V46" s="77">
        <f t="shared" si="18"/>
        <v>3.3599999999999991E-2</v>
      </c>
    </row>
    <row r="47" spans="1:22">
      <c r="A47" s="182">
        <v>39</v>
      </c>
      <c r="B47" s="62" t="s">
        <v>87</v>
      </c>
      <c r="C47" s="63" t="s">
        <v>42</v>
      </c>
      <c r="D47" s="90">
        <v>6303926343.4099998</v>
      </c>
      <c r="E47" s="72">
        <f t="shared" si="13"/>
        <v>4.2855401088697995E-3</v>
      </c>
      <c r="F47" s="73">
        <v>1</v>
      </c>
      <c r="G47" s="73">
        <v>1</v>
      </c>
      <c r="H47" s="74">
        <v>1091</v>
      </c>
      <c r="I47" s="67">
        <v>0.19600000000000001</v>
      </c>
      <c r="J47" s="67">
        <v>0.19600000000000001</v>
      </c>
      <c r="K47" s="90">
        <v>6546507505.6800003</v>
      </c>
      <c r="L47" s="72">
        <f t="shared" si="12"/>
        <v>4.4504518232414483E-3</v>
      </c>
      <c r="M47" s="73">
        <v>1</v>
      </c>
      <c r="N47" s="73">
        <v>1</v>
      </c>
      <c r="O47" s="74">
        <v>1095</v>
      </c>
      <c r="P47" s="67">
        <v>0.1948</v>
      </c>
      <c r="Q47" s="67">
        <v>0.1948</v>
      </c>
      <c r="R47" s="75">
        <f t="shared" si="14"/>
        <v>3.8480963935054541E-2</v>
      </c>
      <c r="S47" s="75">
        <f t="shared" si="15"/>
        <v>0</v>
      </c>
      <c r="T47" s="75">
        <f t="shared" si="16"/>
        <v>3.6663611365719525E-3</v>
      </c>
      <c r="U47" s="76">
        <f t="shared" si="17"/>
        <v>-1.2000000000000066E-3</v>
      </c>
      <c r="V47" s="77">
        <f t="shared" si="18"/>
        <v>-1.2000000000000066E-3</v>
      </c>
    </row>
    <row r="48" spans="1:22">
      <c r="A48" s="182">
        <v>40</v>
      </c>
      <c r="B48" s="62" t="s">
        <v>88</v>
      </c>
      <c r="C48" s="63" t="s">
        <v>44</v>
      </c>
      <c r="D48" s="95">
        <v>12956889722.049999</v>
      </c>
      <c r="E48" s="72">
        <f t="shared" si="13"/>
        <v>8.8083628464496987E-3</v>
      </c>
      <c r="F48" s="73">
        <v>10</v>
      </c>
      <c r="G48" s="73">
        <v>10</v>
      </c>
      <c r="H48" s="74">
        <v>2773</v>
      </c>
      <c r="I48" s="67">
        <v>0.21390000000000001</v>
      </c>
      <c r="J48" s="67">
        <v>0.21390000000000001</v>
      </c>
      <c r="K48" s="95">
        <v>12486554671.25</v>
      </c>
      <c r="L48" s="72">
        <f t="shared" si="12"/>
        <v>8.4886193064703935E-3</v>
      </c>
      <c r="M48" s="73">
        <v>10</v>
      </c>
      <c r="N48" s="73">
        <v>10</v>
      </c>
      <c r="O48" s="74">
        <v>2789</v>
      </c>
      <c r="P48" s="67">
        <v>0.23400000000000001</v>
      </c>
      <c r="Q48" s="67">
        <v>0.23400000000000001</v>
      </c>
      <c r="R48" s="75">
        <f t="shared" si="14"/>
        <v>-3.629999644124348E-2</v>
      </c>
      <c r="S48" s="75">
        <f t="shared" si="15"/>
        <v>0</v>
      </c>
      <c r="T48" s="75">
        <f t="shared" si="16"/>
        <v>5.7699242697439599E-3</v>
      </c>
      <c r="U48" s="76">
        <f t="shared" si="17"/>
        <v>2.0100000000000007E-2</v>
      </c>
      <c r="V48" s="77">
        <f t="shared" si="18"/>
        <v>2.0100000000000007E-2</v>
      </c>
    </row>
    <row r="49" spans="1:22">
      <c r="A49" s="182">
        <v>41</v>
      </c>
      <c r="B49" s="62" t="s">
        <v>89</v>
      </c>
      <c r="C49" s="63" t="s">
        <v>90</v>
      </c>
      <c r="D49" s="90">
        <v>9456671711.6900005</v>
      </c>
      <c r="E49" s="72">
        <f t="shared" si="13"/>
        <v>6.4288419167885724E-3</v>
      </c>
      <c r="F49" s="73">
        <v>100</v>
      </c>
      <c r="G49" s="73">
        <v>100</v>
      </c>
      <c r="H49" s="74">
        <v>2889</v>
      </c>
      <c r="I49" s="67">
        <v>0.20960000000000001</v>
      </c>
      <c r="J49" s="67">
        <v>0.13350000000000001</v>
      </c>
      <c r="K49" s="90">
        <v>9835574511.7800007</v>
      </c>
      <c r="L49" s="72">
        <f t="shared" si="12"/>
        <v>6.6864279129901722E-3</v>
      </c>
      <c r="M49" s="73">
        <v>100</v>
      </c>
      <c r="N49" s="73">
        <v>100</v>
      </c>
      <c r="O49" s="74">
        <v>2915</v>
      </c>
      <c r="P49" s="67">
        <v>0.21110000000000001</v>
      </c>
      <c r="Q49" s="67">
        <v>0.21110000000000001</v>
      </c>
      <c r="R49" s="75">
        <f t="shared" si="14"/>
        <v>4.0067246875199657E-2</v>
      </c>
      <c r="S49" s="75">
        <f t="shared" si="15"/>
        <v>0</v>
      </c>
      <c r="T49" s="75">
        <f t="shared" si="16"/>
        <v>8.9996538594669436E-3</v>
      </c>
      <c r="U49" s="76">
        <f t="shared" si="17"/>
        <v>1.5000000000000013E-3</v>
      </c>
      <c r="V49" s="77">
        <f t="shared" si="18"/>
        <v>7.7600000000000002E-2</v>
      </c>
    </row>
    <row r="50" spans="1:22">
      <c r="A50" s="182">
        <v>42</v>
      </c>
      <c r="B50" s="62" t="s">
        <v>91</v>
      </c>
      <c r="C50" s="63" t="s">
        <v>92</v>
      </c>
      <c r="D50" s="90">
        <v>187400561.19</v>
      </c>
      <c r="E50" s="72">
        <f t="shared" si="13"/>
        <v>1.2739879523560935E-4</v>
      </c>
      <c r="F50" s="73">
        <v>1</v>
      </c>
      <c r="G50" s="73">
        <v>1</v>
      </c>
      <c r="H50" s="74">
        <v>82</v>
      </c>
      <c r="I50" s="67">
        <v>0.16800000000000001</v>
      </c>
      <c r="J50" s="67">
        <v>0.16800000000000001</v>
      </c>
      <c r="K50" s="90">
        <v>189301561.22999999</v>
      </c>
      <c r="L50" s="72">
        <f t="shared" si="12"/>
        <v>1.2869113456106794E-4</v>
      </c>
      <c r="M50" s="73">
        <v>1</v>
      </c>
      <c r="N50" s="73">
        <v>1</v>
      </c>
      <c r="O50" s="74">
        <v>82</v>
      </c>
      <c r="P50" s="67">
        <v>0.1663</v>
      </c>
      <c r="Q50" s="67">
        <v>0.1663</v>
      </c>
      <c r="R50" s="75">
        <f t="shared" si="14"/>
        <v>1.014404667696071E-2</v>
      </c>
      <c r="S50" s="75">
        <f t="shared" si="15"/>
        <v>0</v>
      </c>
      <c r="T50" s="75">
        <f t="shared" si="16"/>
        <v>0</v>
      </c>
      <c r="U50" s="76">
        <f t="shared" si="17"/>
        <v>-1.7000000000000071E-3</v>
      </c>
      <c r="V50" s="77">
        <f t="shared" si="18"/>
        <v>-1.7000000000000071E-3</v>
      </c>
    </row>
    <row r="51" spans="1:22">
      <c r="A51" s="182">
        <v>43</v>
      </c>
      <c r="B51" s="62" t="s">
        <v>93</v>
      </c>
      <c r="C51" s="63" t="s">
        <v>46</v>
      </c>
      <c r="D51" s="95">
        <v>817143397.67999995</v>
      </c>
      <c r="E51" s="72">
        <f t="shared" si="13"/>
        <v>5.5551106004222322E-4</v>
      </c>
      <c r="F51" s="73">
        <v>10</v>
      </c>
      <c r="G51" s="73">
        <v>10</v>
      </c>
      <c r="H51" s="74">
        <v>733</v>
      </c>
      <c r="I51" s="67">
        <v>0.1187</v>
      </c>
      <c r="J51" s="67">
        <v>0.1187</v>
      </c>
      <c r="K51" s="95">
        <v>827607517.07000005</v>
      </c>
      <c r="L51" s="72">
        <f t="shared" si="12"/>
        <v>5.6262478582309742E-4</v>
      </c>
      <c r="M51" s="73">
        <v>10</v>
      </c>
      <c r="N51" s="73">
        <v>10</v>
      </c>
      <c r="O51" s="74">
        <v>731</v>
      </c>
      <c r="P51" s="67">
        <v>0.16400000000000001</v>
      </c>
      <c r="Q51" s="67">
        <v>0.16400000000000001</v>
      </c>
      <c r="R51" s="75">
        <f t="shared" si="14"/>
        <v>1.2805732041290921E-2</v>
      </c>
      <c r="S51" s="75">
        <f t="shared" si="15"/>
        <v>0</v>
      </c>
      <c r="T51" s="75">
        <f t="shared" si="16"/>
        <v>-2.7285129604365621E-3</v>
      </c>
      <c r="U51" s="76">
        <f t="shared" si="17"/>
        <v>4.5300000000000007E-2</v>
      </c>
      <c r="V51" s="77">
        <f t="shared" si="18"/>
        <v>4.5300000000000007E-2</v>
      </c>
    </row>
    <row r="52" spans="1:22">
      <c r="A52" s="182">
        <v>44</v>
      </c>
      <c r="B52" s="62" t="s">
        <v>94</v>
      </c>
      <c r="C52" s="63" t="s">
        <v>95</v>
      </c>
      <c r="D52" s="95">
        <v>718781153.32000005</v>
      </c>
      <c r="E52" s="72">
        <f t="shared" si="13"/>
        <v>4.886423625924352E-4</v>
      </c>
      <c r="F52" s="73">
        <v>1</v>
      </c>
      <c r="G52" s="73">
        <v>1</v>
      </c>
      <c r="H52" s="74">
        <v>59</v>
      </c>
      <c r="I52" s="67">
        <v>0.214</v>
      </c>
      <c r="J52" s="67">
        <v>0.214</v>
      </c>
      <c r="K52" s="95">
        <v>719267153.37</v>
      </c>
      <c r="L52" s="72">
        <f t="shared" si="12"/>
        <v>4.8897275552435213E-4</v>
      </c>
      <c r="M52" s="73">
        <v>1</v>
      </c>
      <c r="N52" s="73">
        <v>1</v>
      </c>
      <c r="O52" s="74">
        <v>61</v>
      </c>
      <c r="P52" s="67">
        <v>0.21460000000000001</v>
      </c>
      <c r="Q52" s="67">
        <v>0.21460000000000001</v>
      </c>
      <c r="R52" s="75">
        <f t="shared" si="14"/>
        <v>6.761446759631245E-4</v>
      </c>
      <c r="S52" s="75">
        <f t="shared" si="15"/>
        <v>0</v>
      </c>
      <c r="T52" s="75">
        <f t="shared" si="16"/>
        <v>3.3898305084745763E-2</v>
      </c>
      <c r="U52" s="76">
        <f t="shared" si="17"/>
        <v>6.0000000000001719E-4</v>
      </c>
      <c r="V52" s="77">
        <f t="shared" si="18"/>
        <v>6.0000000000001719E-4</v>
      </c>
    </row>
    <row r="53" spans="1:22">
      <c r="A53" s="182">
        <v>45</v>
      </c>
      <c r="B53" s="62" t="s">
        <v>96</v>
      </c>
      <c r="C53" s="63" t="s">
        <v>97</v>
      </c>
      <c r="D53" s="95">
        <v>4205770945.2295299</v>
      </c>
      <c r="E53" s="72">
        <f t="shared" si="13"/>
        <v>2.8591704744999652E-3</v>
      </c>
      <c r="F53" s="73">
        <v>100</v>
      </c>
      <c r="G53" s="73">
        <v>100</v>
      </c>
      <c r="H53" s="74">
        <v>69</v>
      </c>
      <c r="I53" s="67">
        <v>0.21529999999999999</v>
      </c>
      <c r="J53" s="67">
        <v>0.21529999999999999</v>
      </c>
      <c r="K53" s="95">
        <v>4551698769.3975</v>
      </c>
      <c r="L53" s="72">
        <f t="shared" si="12"/>
        <v>3.0943393969280739E-3</v>
      </c>
      <c r="M53" s="73">
        <v>100</v>
      </c>
      <c r="N53" s="73">
        <v>100</v>
      </c>
      <c r="O53" s="74">
        <v>69</v>
      </c>
      <c r="P53" s="67">
        <v>0.19020000000000001</v>
      </c>
      <c r="Q53" s="67">
        <v>0.19020000000000001</v>
      </c>
      <c r="R53" s="75">
        <f t="shared" si="14"/>
        <v>8.2250752281301701E-2</v>
      </c>
      <c r="S53" s="75">
        <f t="shared" si="15"/>
        <v>0</v>
      </c>
      <c r="T53" s="75">
        <f t="shared" si="16"/>
        <v>0</v>
      </c>
      <c r="U53" s="76">
        <f t="shared" si="17"/>
        <v>-2.5099999999999983E-2</v>
      </c>
      <c r="V53" s="77">
        <f t="shared" si="18"/>
        <v>-2.5099999999999983E-2</v>
      </c>
    </row>
    <row r="54" spans="1:22">
      <c r="A54" s="182">
        <v>46</v>
      </c>
      <c r="B54" s="62" t="s">
        <v>98</v>
      </c>
      <c r="C54" s="63" t="s">
        <v>99</v>
      </c>
      <c r="D54" s="95">
        <v>55970015.359999999</v>
      </c>
      <c r="E54" s="72">
        <f t="shared" si="13"/>
        <v>3.804957936573696E-5</v>
      </c>
      <c r="F54" s="73">
        <v>1000</v>
      </c>
      <c r="G54" s="73">
        <v>1000</v>
      </c>
      <c r="H54" s="74">
        <v>17</v>
      </c>
      <c r="I54" s="67">
        <v>2.0500000000000001E-2</v>
      </c>
      <c r="J54" s="67">
        <v>0.21099999999999999</v>
      </c>
      <c r="K54" s="95">
        <v>56243578.07</v>
      </c>
      <c r="L54" s="72">
        <f t="shared" si="12"/>
        <v>3.8235552979978454E-5</v>
      </c>
      <c r="M54" s="73">
        <v>1000</v>
      </c>
      <c r="N54" s="73">
        <v>1000</v>
      </c>
      <c r="O54" s="74">
        <v>18</v>
      </c>
      <c r="P54" s="67">
        <v>0.1993</v>
      </c>
      <c r="Q54" s="67">
        <v>0.19900000000000001</v>
      </c>
      <c r="R54" s="75">
        <f t="shared" si="14"/>
        <v>4.8876654444427311E-3</v>
      </c>
      <c r="S54" s="75">
        <f t="shared" si="15"/>
        <v>0</v>
      </c>
      <c r="T54" s="75">
        <f t="shared" si="16"/>
        <v>5.8823529411764705E-2</v>
      </c>
      <c r="U54" s="76">
        <f t="shared" si="17"/>
        <v>0.17880000000000001</v>
      </c>
      <c r="V54" s="77">
        <f t="shared" si="18"/>
        <v>-1.1999999999999983E-2</v>
      </c>
    </row>
    <row r="55" spans="1:22">
      <c r="A55" s="182">
        <v>47</v>
      </c>
      <c r="B55" s="62" t="s">
        <v>100</v>
      </c>
      <c r="C55" s="63" t="s">
        <v>50</v>
      </c>
      <c r="D55" s="90">
        <v>659468837930.44995</v>
      </c>
      <c r="E55" s="72">
        <f t="shared" si="13"/>
        <v>0.44832061822155234</v>
      </c>
      <c r="F55" s="73">
        <v>100</v>
      </c>
      <c r="G55" s="73">
        <v>100</v>
      </c>
      <c r="H55" s="74">
        <v>137613</v>
      </c>
      <c r="I55" s="67">
        <v>0.20549999999999999</v>
      </c>
      <c r="J55" s="67">
        <v>0.20549999999999999</v>
      </c>
      <c r="K55" s="90">
        <v>667748821640.89001</v>
      </c>
      <c r="L55" s="72">
        <f t="shared" si="12"/>
        <v>0.45394952318630877</v>
      </c>
      <c r="M55" s="73">
        <v>100</v>
      </c>
      <c r="N55" s="73">
        <v>100</v>
      </c>
      <c r="O55" s="74">
        <v>138479</v>
      </c>
      <c r="P55" s="67">
        <v>0.2056</v>
      </c>
      <c r="Q55" s="67">
        <v>0.2056</v>
      </c>
      <c r="R55" s="75">
        <f t="shared" si="14"/>
        <v>1.2555534445606817E-2</v>
      </c>
      <c r="S55" s="75">
        <f t="shared" si="15"/>
        <v>0</v>
      </c>
      <c r="T55" s="75">
        <f t="shared" si="16"/>
        <v>6.2930101080566512E-3</v>
      </c>
      <c r="U55" s="76">
        <f t="shared" si="17"/>
        <v>1.0000000000001674E-4</v>
      </c>
      <c r="V55" s="77">
        <f t="shared" si="18"/>
        <v>1.0000000000001674E-4</v>
      </c>
    </row>
    <row r="56" spans="1:22">
      <c r="A56" s="182">
        <v>48</v>
      </c>
      <c r="B56" s="62" t="s">
        <v>101</v>
      </c>
      <c r="C56" s="62" t="s">
        <v>102</v>
      </c>
      <c r="D56" s="90">
        <v>1533290763.6099999</v>
      </c>
      <c r="E56" s="72">
        <f t="shared" si="13"/>
        <v>1.0423629192430888E-3</v>
      </c>
      <c r="F56" s="73">
        <v>100</v>
      </c>
      <c r="G56" s="73">
        <v>100</v>
      </c>
      <c r="H56" s="74">
        <v>235</v>
      </c>
      <c r="I56" s="67">
        <v>0.2077</v>
      </c>
      <c r="J56" s="67">
        <v>0.2077</v>
      </c>
      <c r="K56" s="90">
        <v>1619413480.47</v>
      </c>
      <c r="L56" s="72">
        <f t="shared" si="12"/>
        <v>1.1009109315900604E-3</v>
      </c>
      <c r="M56" s="73">
        <v>100</v>
      </c>
      <c r="N56" s="73">
        <v>100</v>
      </c>
      <c r="O56" s="74">
        <v>235</v>
      </c>
      <c r="P56" s="67">
        <v>0.21129999999999999</v>
      </c>
      <c r="Q56" s="67">
        <v>0.21129999999999999</v>
      </c>
      <c r="R56" s="75">
        <f t="shared" si="14"/>
        <v>5.6168548656245522E-2</v>
      </c>
      <c r="S56" s="75">
        <f t="shared" si="15"/>
        <v>0</v>
      </c>
      <c r="T56" s="75">
        <f t="shared" si="16"/>
        <v>0</v>
      </c>
      <c r="U56" s="76">
        <f t="shared" si="17"/>
        <v>3.5999999999999921E-3</v>
      </c>
      <c r="V56" s="77">
        <f t="shared" si="18"/>
        <v>3.5999999999999921E-3</v>
      </c>
    </row>
    <row r="57" spans="1:22">
      <c r="A57" s="182">
        <v>49</v>
      </c>
      <c r="B57" s="62" t="s">
        <v>103</v>
      </c>
      <c r="C57" s="63" t="s">
        <v>104</v>
      </c>
      <c r="D57" s="90">
        <v>4378547343.9200001</v>
      </c>
      <c r="E57" s="72">
        <f t="shared" si="13"/>
        <v>2.9766274602130252E-3</v>
      </c>
      <c r="F57" s="73">
        <v>1</v>
      </c>
      <c r="G57" s="73">
        <v>1</v>
      </c>
      <c r="H57" s="74">
        <v>391</v>
      </c>
      <c r="I57" s="67">
        <v>0.19322400000000001</v>
      </c>
      <c r="J57" s="67">
        <v>0.19322400000000001</v>
      </c>
      <c r="K57" s="90">
        <v>4142285965.3000002</v>
      </c>
      <c r="L57" s="72">
        <f t="shared" si="12"/>
        <v>2.816012066076744E-3</v>
      </c>
      <c r="M57" s="73">
        <v>1</v>
      </c>
      <c r="N57" s="73">
        <v>1</v>
      </c>
      <c r="O57" s="74">
        <v>394</v>
      </c>
      <c r="P57" s="67">
        <v>0.19262646950000001</v>
      </c>
      <c r="Q57" s="67">
        <v>0.19262646950000001</v>
      </c>
      <c r="R57" s="75">
        <f t="shared" si="14"/>
        <v>-5.3958849833625686E-2</v>
      </c>
      <c r="S57" s="75">
        <f t="shared" si="15"/>
        <v>0</v>
      </c>
      <c r="T57" s="75">
        <f t="shared" si="16"/>
        <v>7.6726342710997444E-3</v>
      </c>
      <c r="U57" s="76">
        <f t="shared" si="17"/>
        <v>-5.9753049999999863E-4</v>
      </c>
      <c r="V57" s="77">
        <f t="shared" si="18"/>
        <v>-5.9753049999999863E-4</v>
      </c>
    </row>
    <row r="58" spans="1:22">
      <c r="A58" s="182">
        <v>50</v>
      </c>
      <c r="B58" s="62" t="s">
        <v>105</v>
      </c>
      <c r="C58" s="63" t="s">
        <v>53</v>
      </c>
      <c r="D58" s="90">
        <v>59621594203.870003</v>
      </c>
      <c r="E58" s="72">
        <f t="shared" si="13"/>
        <v>4.0531998534936872E-2</v>
      </c>
      <c r="F58" s="73">
        <v>1</v>
      </c>
      <c r="G58" s="73">
        <v>1</v>
      </c>
      <c r="H58" s="74">
        <v>33816</v>
      </c>
      <c r="I58" s="67">
        <v>0.2084</v>
      </c>
      <c r="J58" s="67">
        <v>0.2084</v>
      </c>
      <c r="K58" s="90">
        <v>61525398954.309998</v>
      </c>
      <c r="L58" s="72">
        <f t="shared" si="12"/>
        <v>4.1826244560827792E-2</v>
      </c>
      <c r="M58" s="73">
        <v>1</v>
      </c>
      <c r="N58" s="73">
        <v>1</v>
      </c>
      <c r="O58" s="74">
        <v>34918</v>
      </c>
      <c r="P58" s="67">
        <v>0.20649999999999999</v>
      </c>
      <c r="Q58" s="67">
        <v>0.20649999999999999</v>
      </c>
      <c r="R58" s="75">
        <f t="shared" si="14"/>
        <v>3.1931463354202293E-2</v>
      </c>
      <c r="S58" s="75">
        <f t="shared" si="15"/>
        <v>0</v>
      </c>
      <c r="T58" s="75">
        <f t="shared" si="16"/>
        <v>3.258812396498699E-2</v>
      </c>
      <c r="U58" s="76">
        <f t="shared" si="17"/>
        <v>-1.9000000000000128E-3</v>
      </c>
      <c r="V58" s="77">
        <f t="shared" si="18"/>
        <v>-1.9000000000000128E-3</v>
      </c>
    </row>
    <row r="59" spans="1:22">
      <c r="A59" s="182">
        <v>51</v>
      </c>
      <c r="B59" s="62" t="s">
        <v>106</v>
      </c>
      <c r="C59" s="63" t="s">
        <v>107</v>
      </c>
      <c r="D59" s="90">
        <v>1113889270.74</v>
      </c>
      <c r="E59" s="72">
        <f t="shared" si="13"/>
        <v>7.5724507022298046E-4</v>
      </c>
      <c r="F59" s="73">
        <v>1</v>
      </c>
      <c r="G59" s="73">
        <v>1</v>
      </c>
      <c r="H59" s="74">
        <v>123</v>
      </c>
      <c r="I59" s="67">
        <v>0.20630000000000001</v>
      </c>
      <c r="J59" s="67">
        <v>0.20630000000000001</v>
      </c>
      <c r="K59" s="90">
        <v>1117836844.76</v>
      </c>
      <c r="L59" s="72">
        <f t="shared" si="12"/>
        <v>7.5992871306299037E-4</v>
      </c>
      <c r="M59" s="73">
        <v>1</v>
      </c>
      <c r="N59" s="73">
        <v>1</v>
      </c>
      <c r="O59" s="74">
        <v>127</v>
      </c>
      <c r="P59" s="67">
        <v>0.21199999999999999</v>
      </c>
      <c r="Q59" s="67">
        <v>0.21199999999999999</v>
      </c>
      <c r="R59" s="75">
        <f t="shared" si="14"/>
        <v>3.543955511284756E-3</v>
      </c>
      <c r="S59" s="75">
        <f t="shared" si="15"/>
        <v>0</v>
      </c>
      <c r="T59" s="75">
        <f t="shared" si="16"/>
        <v>3.2520325203252036E-2</v>
      </c>
      <c r="U59" s="76">
        <f t="shared" si="17"/>
        <v>5.6999999999999829E-3</v>
      </c>
      <c r="V59" s="77">
        <f t="shared" si="18"/>
        <v>5.6999999999999829E-3</v>
      </c>
    </row>
    <row r="60" spans="1:22">
      <c r="A60" s="182">
        <v>52</v>
      </c>
      <c r="B60" s="62" t="s">
        <v>108</v>
      </c>
      <c r="C60" s="63" t="s">
        <v>109</v>
      </c>
      <c r="D60" s="90">
        <v>2673123859.04</v>
      </c>
      <c r="E60" s="72">
        <f t="shared" si="13"/>
        <v>1.8172451405414002E-3</v>
      </c>
      <c r="F60" s="73">
        <v>1</v>
      </c>
      <c r="G60" s="73">
        <v>1</v>
      </c>
      <c r="H60" s="74">
        <v>319</v>
      </c>
      <c r="I60" s="67">
        <v>0.192</v>
      </c>
      <c r="J60" s="67">
        <v>0.12820000000000001</v>
      </c>
      <c r="K60" s="90">
        <v>2738642986.6100001</v>
      </c>
      <c r="L60" s="72">
        <f t="shared" si="12"/>
        <v>1.8617864047953711E-3</v>
      </c>
      <c r="M60" s="73">
        <v>1</v>
      </c>
      <c r="N60" s="73">
        <v>1</v>
      </c>
      <c r="O60" s="74">
        <v>296</v>
      </c>
      <c r="P60" s="67">
        <v>0.2029</v>
      </c>
      <c r="Q60" s="67">
        <v>0.2029</v>
      </c>
      <c r="R60" s="75">
        <f t="shared" si="14"/>
        <v>2.4510322388701464E-2</v>
      </c>
      <c r="S60" s="75">
        <f t="shared" si="15"/>
        <v>0</v>
      </c>
      <c r="T60" s="75">
        <f t="shared" si="16"/>
        <v>-7.2100313479623826E-2</v>
      </c>
      <c r="U60" s="76">
        <f t="shared" si="17"/>
        <v>1.0899999999999993E-2</v>
      </c>
      <c r="V60" s="77">
        <f t="shared" si="18"/>
        <v>7.4699999999999989E-2</v>
      </c>
    </row>
    <row r="61" spans="1:22">
      <c r="A61" s="182">
        <v>53</v>
      </c>
      <c r="B61" s="62" t="s">
        <v>110</v>
      </c>
      <c r="C61" s="63" t="s">
        <v>111</v>
      </c>
      <c r="D61" s="90">
        <v>2660030395.3899999</v>
      </c>
      <c r="E61" s="72">
        <f t="shared" si="13"/>
        <v>1.8083439319010483E-3</v>
      </c>
      <c r="F61" s="73">
        <v>1</v>
      </c>
      <c r="G61" s="73">
        <v>1</v>
      </c>
      <c r="H61" s="74">
        <v>1353</v>
      </c>
      <c r="I61" s="67">
        <v>0.22509999999999999</v>
      </c>
      <c r="J61" s="67">
        <v>0.22509999999999999</v>
      </c>
      <c r="K61" s="90">
        <v>2684196646.8699999</v>
      </c>
      <c r="L61" s="72">
        <f t="shared" si="12"/>
        <v>1.8247726517744711E-3</v>
      </c>
      <c r="M61" s="73">
        <v>1</v>
      </c>
      <c r="N61" s="73">
        <v>1</v>
      </c>
      <c r="O61" s="74">
        <v>1387</v>
      </c>
      <c r="P61" s="67">
        <v>0.22919999999999999</v>
      </c>
      <c r="Q61" s="67">
        <v>0.22919999999999999</v>
      </c>
      <c r="R61" s="75">
        <f t="shared" si="14"/>
        <v>9.0849531350775739E-3</v>
      </c>
      <c r="S61" s="75">
        <f t="shared" si="15"/>
        <v>0</v>
      </c>
      <c r="T61" s="75">
        <f t="shared" si="16"/>
        <v>2.5129342202512936E-2</v>
      </c>
      <c r="U61" s="76">
        <f t="shared" si="17"/>
        <v>4.0999999999999925E-3</v>
      </c>
      <c r="V61" s="77">
        <f t="shared" si="18"/>
        <v>4.0999999999999925E-3</v>
      </c>
    </row>
    <row r="62" spans="1:22">
      <c r="A62" s="182">
        <v>54</v>
      </c>
      <c r="B62" s="62" t="s">
        <v>112</v>
      </c>
      <c r="C62" s="63" t="s">
        <v>113</v>
      </c>
      <c r="D62" s="90">
        <v>40458695533.510002</v>
      </c>
      <c r="E62" s="72">
        <f t="shared" si="13"/>
        <v>2.7504661859297303E-2</v>
      </c>
      <c r="F62" s="73">
        <v>1</v>
      </c>
      <c r="G62" s="73">
        <v>1</v>
      </c>
      <c r="H62" s="74">
        <v>4019</v>
      </c>
      <c r="I62" s="67">
        <v>0.20849999999999999</v>
      </c>
      <c r="J62" s="67">
        <v>0.20849999999999999</v>
      </c>
      <c r="K62" s="90">
        <v>39784631594.599998</v>
      </c>
      <c r="L62" s="72">
        <f t="shared" si="12"/>
        <v>2.7046419188178312E-2</v>
      </c>
      <c r="M62" s="73">
        <v>1</v>
      </c>
      <c r="N62" s="73">
        <v>1</v>
      </c>
      <c r="O62" s="74">
        <v>4039</v>
      </c>
      <c r="P62" s="67">
        <v>0.20979999999999999</v>
      </c>
      <c r="Q62" s="67">
        <v>0.20979999999999999</v>
      </c>
      <c r="R62" s="75">
        <f t="shared" si="14"/>
        <v>-1.6660545527270119E-2</v>
      </c>
      <c r="S62" s="75">
        <f t="shared" si="15"/>
        <v>0</v>
      </c>
      <c r="T62" s="75">
        <f t="shared" si="16"/>
        <v>4.9763622791739242E-3</v>
      </c>
      <c r="U62" s="76">
        <f t="shared" si="17"/>
        <v>1.2999999999999956E-3</v>
      </c>
      <c r="V62" s="77">
        <f t="shared" si="18"/>
        <v>1.2999999999999956E-3</v>
      </c>
    </row>
    <row r="63" spans="1:22">
      <c r="A63" s="181"/>
      <c r="B63" s="81"/>
      <c r="C63" s="82" t="s">
        <v>54</v>
      </c>
      <c r="D63" s="96">
        <f>SUM(D27:D62)</f>
        <v>1454546860218.4092</v>
      </c>
      <c r="E63" s="84">
        <f>(D63/$D$206)</f>
        <v>0.40307224897127952</v>
      </c>
      <c r="F63" s="85"/>
      <c r="G63" s="91"/>
      <c r="H63" s="87">
        <f>SUM(H27:H62)</f>
        <v>330087</v>
      </c>
      <c r="I63" s="97"/>
      <c r="J63" s="97"/>
      <c r="K63" s="96">
        <f>SUM(K27:K62)</f>
        <v>1470975929116.3179</v>
      </c>
      <c r="L63" s="84">
        <f>(K63/$K$206)</f>
        <v>0.40302300200359775</v>
      </c>
      <c r="M63" s="85"/>
      <c r="N63" s="91"/>
      <c r="O63" s="87">
        <f>SUM(O27:O62)</f>
        <v>332585</v>
      </c>
      <c r="P63" s="97"/>
      <c r="Q63" s="97"/>
      <c r="R63" s="75">
        <f t="shared" si="14"/>
        <v>1.1294973951847634E-2</v>
      </c>
      <c r="S63" s="75" t="e">
        <f t="shared" si="15"/>
        <v>#DIV/0!</v>
      </c>
      <c r="T63" s="75">
        <f t="shared" si="16"/>
        <v>7.5677018483005995E-3</v>
      </c>
      <c r="U63" s="76">
        <f t="shared" si="17"/>
        <v>0</v>
      </c>
      <c r="V63" s="77">
        <f t="shared" si="18"/>
        <v>0</v>
      </c>
    </row>
    <row r="64" spans="1:22" ht="3" customHeight="1">
      <c r="A64" s="181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1:22" ht="15" customHeight="1">
      <c r="A65" s="179" t="s">
        <v>287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</row>
    <row r="66" spans="1:22">
      <c r="A66" s="182">
        <v>55</v>
      </c>
      <c r="B66" s="62" t="s">
        <v>114</v>
      </c>
      <c r="C66" s="63" t="s">
        <v>22</v>
      </c>
      <c r="D66" s="65">
        <v>495091171.33999997</v>
      </c>
      <c r="E66" s="72">
        <f>(D66/$D$102)</f>
        <v>2.2934346911481275E-3</v>
      </c>
      <c r="F66" s="99">
        <v>1.2914000000000001</v>
      </c>
      <c r="G66" s="99">
        <v>1.2914000000000001</v>
      </c>
      <c r="H66" s="74">
        <v>462</v>
      </c>
      <c r="I66" s="67">
        <v>4.6500000000000003E-4</v>
      </c>
      <c r="J66" s="67">
        <v>1.18E-2</v>
      </c>
      <c r="K66" s="65">
        <v>474396924.20999998</v>
      </c>
      <c r="L66" s="72">
        <f t="shared" ref="L66:L87" si="21">(K66/$K$102)</f>
        <v>2.1801705486145608E-3</v>
      </c>
      <c r="M66" s="99">
        <v>1.2373000000000001</v>
      </c>
      <c r="N66" s="99">
        <v>1.2373000000000001</v>
      </c>
      <c r="O66" s="74">
        <v>463</v>
      </c>
      <c r="P66" s="67">
        <v>4.0400000000000001E-4</v>
      </c>
      <c r="Q66" s="67">
        <v>-3.3399999999999999E-2</v>
      </c>
      <c r="R66" s="75">
        <f>((K66-D66)/D66)</f>
        <v>-4.179886115518789E-2</v>
      </c>
      <c r="S66" s="75">
        <f>((N66-G66)/G66)</f>
        <v>-4.1892519746012102E-2</v>
      </c>
      <c r="T66" s="75">
        <f>((O66-H66)/H66)</f>
        <v>2.1645021645021645E-3</v>
      </c>
      <c r="U66" s="76">
        <f>P66-I66</f>
        <v>-6.1000000000000019E-5</v>
      </c>
      <c r="V66" s="77">
        <f>Q66-J66</f>
        <v>-4.5199999999999997E-2</v>
      </c>
    </row>
    <row r="67" spans="1:22">
      <c r="A67" s="182">
        <v>56</v>
      </c>
      <c r="B67" s="62" t="s">
        <v>115</v>
      </c>
      <c r="C67" s="63" t="s">
        <v>24</v>
      </c>
      <c r="D67" s="65">
        <v>1421441184.78</v>
      </c>
      <c r="E67" s="72">
        <f>(D67/$D$102)</f>
        <v>6.5846104986638518E-3</v>
      </c>
      <c r="F67" s="99">
        <v>1.1980999999999999</v>
      </c>
      <c r="G67" s="99">
        <v>1.1980999999999999</v>
      </c>
      <c r="H67" s="74">
        <v>747</v>
      </c>
      <c r="I67" s="67">
        <v>0.12690000000000001</v>
      </c>
      <c r="J67" s="67">
        <v>4.2000000000000003E-2</v>
      </c>
      <c r="K67" s="65">
        <v>1423592990.4000001</v>
      </c>
      <c r="L67" s="72">
        <f t="shared" si="21"/>
        <v>6.5423601049957817E-3</v>
      </c>
      <c r="M67" s="99">
        <v>1.1980999999999999</v>
      </c>
      <c r="N67" s="99">
        <v>1.1980999999999999</v>
      </c>
      <c r="O67" s="74">
        <v>750</v>
      </c>
      <c r="P67" s="67">
        <v>8.2900000000000001E-2</v>
      </c>
      <c r="Q67" s="67">
        <v>4.2999999999999997E-2</v>
      </c>
      <c r="R67" s="75">
        <f t="shared" ref="R67:R102" si="22">((K67-D67)/D67)</f>
        <v>1.5138196662939413E-3</v>
      </c>
      <c r="S67" s="75">
        <f t="shared" ref="S67:S102" si="23">((N67-G67)/G67)</f>
        <v>0</v>
      </c>
      <c r="T67" s="75">
        <f t="shared" ref="T67:T102" si="24">((O67-H67)/H67)</f>
        <v>4.0160642570281121E-3</v>
      </c>
      <c r="U67" s="76">
        <f t="shared" ref="U67:U102" si="25">P67-I67</f>
        <v>-4.4000000000000011E-2</v>
      </c>
      <c r="V67" s="77">
        <f t="shared" ref="V67:V102" si="26">Q67-J67</f>
        <v>9.9999999999999395E-4</v>
      </c>
    </row>
    <row r="68" spans="1:22">
      <c r="A68" s="182">
        <v>57</v>
      </c>
      <c r="B68" s="62" t="s">
        <v>116</v>
      </c>
      <c r="C68" s="63" t="s">
        <v>24</v>
      </c>
      <c r="D68" s="65">
        <v>830609216.49000001</v>
      </c>
      <c r="E68" s="72">
        <f>(D68/$D$102)</f>
        <v>3.8476711001120306E-3</v>
      </c>
      <c r="F68" s="99">
        <v>1.0893999999999999</v>
      </c>
      <c r="G68" s="99">
        <v>1.0893999999999999</v>
      </c>
      <c r="H68" s="74">
        <v>188</v>
      </c>
      <c r="I68" s="67">
        <v>0.1106</v>
      </c>
      <c r="J68" s="67">
        <v>2.3E-2</v>
      </c>
      <c r="K68" s="65">
        <v>830941595.37</v>
      </c>
      <c r="L68" s="72">
        <f t="shared" si="21"/>
        <v>3.8187313226393047E-3</v>
      </c>
      <c r="M68" s="99">
        <v>1.0918000000000001</v>
      </c>
      <c r="N68" s="99">
        <v>1.0918000000000001</v>
      </c>
      <c r="O68" s="74">
        <v>188</v>
      </c>
      <c r="P68" s="67">
        <v>0.1152</v>
      </c>
      <c r="Q68" s="67">
        <v>2.53E-2</v>
      </c>
      <c r="R68" s="75">
        <f t="shared" si="22"/>
        <v>4.0016276415107279E-4</v>
      </c>
      <c r="S68" s="75">
        <f t="shared" si="23"/>
        <v>2.2030475491097668E-3</v>
      </c>
      <c r="T68" s="75">
        <f t="shared" si="24"/>
        <v>0</v>
      </c>
      <c r="U68" s="76">
        <f t="shared" si="25"/>
        <v>4.599999999999993E-3</v>
      </c>
      <c r="V68" s="77">
        <f t="shared" si="26"/>
        <v>2.3E-3</v>
      </c>
    </row>
    <row r="69" spans="1:22">
      <c r="A69" s="182">
        <v>58</v>
      </c>
      <c r="B69" s="62" t="s">
        <v>117</v>
      </c>
      <c r="C69" s="63" t="s">
        <v>118</v>
      </c>
      <c r="D69" s="65">
        <v>270944910.82999998</v>
      </c>
      <c r="E69" s="72">
        <f>(D69/$D$102)</f>
        <v>1.2551111671123302E-3</v>
      </c>
      <c r="F69" s="80">
        <v>1090.7</v>
      </c>
      <c r="G69" s="80">
        <v>1090.7</v>
      </c>
      <c r="H69" s="74">
        <v>110</v>
      </c>
      <c r="I69" s="67">
        <v>2.4480000000000001E-3</v>
      </c>
      <c r="J69" s="67">
        <v>5.7340000000000002E-2</v>
      </c>
      <c r="K69" s="65">
        <v>267231121.63</v>
      </c>
      <c r="L69" s="72">
        <f t="shared" si="21"/>
        <v>1.2281053930127495E-3</v>
      </c>
      <c r="M69" s="80">
        <v>1079.2</v>
      </c>
      <c r="N69" s="80">
        <v>1079.2</v>
      </c>
      <c r="O69" s="74">
        <v>110</v>
      </c>
      <c r="P69" s="67">
        <v>-1.3315999999999999</v>
      </c>
      <c r="Q69" s="67">
        <v>4.4325000000000001</v>
      </c>
      <c r="R69" s="75">
        <f t="shared" si="22"/>
        <v>-1.3706805522286208E-2</v>
      </c>
      <c r="S69" s="75">
        <f t="shared" si="23"/>
        <v>-1.0543687540111854E-2</v>
      </c>
      <c r="T69" s="75">
        <f t="shared" si="24"/>
        <v>0</v>
      </c>
      <c r="U69" s="76">
        <f t="shared" si="25"/>
        <v>-1.3340479999999999</v>
      </c>
      <c r="V69" s="77">
        <f t="shared" si="26"/>
        <v>4.3751600000000002</v>
      </c>
    </row>
    <row r="70" spans="1:22" ht="15" customHeight="1">
      <c r="A70" s="182">
        <v>59</v>
      </c>
      <c r="B70" s="62" t="s">
        <v>119</v>
      </c>
      <c r="C70" s="63" t="s">
        <v>28</v>
      </c>
      <c r="D70" s="65">
        <v>1551884618.52</v>
      </c>
      <c r="E70" s="72">
        <f>(D70/$K$102)</f>
        <v>7.1319457767975289E-3</v>
      </c>
      <c r="F70" s="80">
        <v>1.0679000000000001</v>
      </c>
      <c r="G70" s="80">
        <v>1.0679000000000001</v>
      </c>
      <c r="H70" s="74">
        <v>888</v>
      </c>
      <c r="I70" s="67">
        <v>3.0000000000000001E-3</v>
      </c>
      <c r="J70" s="67">
        <v>9.0800000000000006E-2</v>
      </c>
      <c r="K70" s="65">
        <v>1290316527.01</v>
      </c>
      <c r="L70" s="72">
        <f t="shared" si="21"/>
        <v>5.9298657875204832E-3</v>
      </c>
      <c r="M70" s="80">
        <v>1.0714999999999999</v>
      </c>
      <c r="N70" s="80">
        <v>1.0714999999999999</v>
      </c>
      <c r="O70" s="74">
        <v>888</v>
      </c>
      <c r="P70" s="67">
        <v>3.3999999999999998E-3</v>
      </c>
      <c r="Q70" s="67">
        <v>3.3999999999999998E-3</v>
      </c>
      <c r="R70" s="75">
        <f t="shared" si="22"/>
        <v>-0.1685486719750158</v>
      </c>
      <c r="S70" s="75">
        <f t="shared" si="23"/>
        <v>3.3711021631237246E-3</v>
      </c>
      <c r="T70" s="75">
        <f t="shared" si="24"/>
        <v>0</v>
      </c>
      <c r="U70" s="76">
        <f t="shared" si="25"/>
        <v>3.9999999999999975E-4</v>
      </c>
      <c r="V70" s="77">
        <v>7.87</v>
      </c>
    </row>
    <row r="71" spans="1:22">
      <c r="A71" s="182">
        <v>60</v>
      </c>
      <c r="B71" s="62" t="s">
        <v>120</v>
      </c>
      <c r="C71" s="63" t="s">
        <v>121</v>
      </c>
      <c r="D71" s="65">
        <v>429254688.032839</v>
      </c>
      <c r="E71" s="72">
        <f t="shared" ref="E71:E87" si="27">(D71/$D$102)</f>
        <v>1.9884571769032914E-3</v>
      </c>
      <c r="F71" s="80">
        <v>2.4514999999999998</v>
      </c>
      <c r="G71" s="80">
        <v>2.4514999999999998</v>
      </c>
      <c r="H71" s="74">
        <v>1392</v>
      </c>
      <c r="I71" s="67">
        <v>0.1283</v>
      </c>
      <c r="J71" s="67">
        <v>0.1231</v>
      </c>
      <c r="K71" s="65">
        <v>430290977.02329099</v>
      </c>
      <c r="L71" s="72">
        <f t="shared" si="21"/>
        <v>1.9774742785336739E-3</v>
      </c>
      <c r="M71" s="80">
        <v>2.4573999999999998</v>
      </c>
      <c r="N71" s="80">
        <v>2.4573999999999998</v>
      </c>
      <c r="O71" s="74">
        <v>1392</v>
      </c>
      <c r="P71" s="67">
        <v>0.12583549430377899</v>
      </c>
      <c r="Q71" s="67">
        <v>0.123431877008088</v>
      </c>
      <c r="R71" s="75">
        <f t="shared" si="22"/>
        <v>2.4141588183952765E-3</v>
      </c>
      <c r="S71" s="75">
        <f t="shared" si="23"/>
        <v>2.4066897817662724E-3</v>
      </c>
      <c r="T71" s="75">
        <f t="shared" si="24"/>
        <v>0</v>
      </c>
      <c r="U71" s="76">
        <f t="shared" si="25"/>
        <v>-2.4645056962210032E-3</v>
      </c>
      <c r="V71" s="77">
        <f t="shared" si="26"/>
        <v>3.3187700808799681E-4</v>
      </c>
    </row>
    <row r="72" spans="1:22">
      <c r="A72" s="182">
        <v>61</v>
      </c>
      <c r="B72" s="62" t="s">
        <v>122</v>
      </c>
      <c r="C72" s="63" t="s">
        <v>63</v>
      </c>
      <c r="D72" s="65">
        <v>138294667.81999999</v>
      </c>
      <c r="E72" s="72">
        <f t="shared" si="27"/>
        <v>6.4062905408058819E-4</v>
      </c>
      <c r="F72" s="80">
        <v>11.08</v>
      </c>
      <c r="G72" s="80">
        <v>11.1</v>
      </c>
      <c r="H72" s="74">
        <v>29</v>
      </c>
      <c r="I72" s="67">
        <v>0.17199999999999999</v>
      </c>
      <c r="J72" s="67">
        <v>7.4999999999999997E-2</v>
      </c>
      <c r="K72" s="65">
        <v>138111278.65000001</v>
      </c>
      <c r="L72" s="72">
        <f t="shared" si="21"/>
        <v>6.3471352105760946E-4</v>
      </c>
      <c r="M72" s="80">
        <v>11.05</v>
      </c>
      <c r="N72" s="80">
        <v>11.09</v>
      </c>
      <c r="O72" s="74">
        <v>29</v>
      </c>
      <c r="P72" s="67">
        <v>4.8000000000000001E-2</v>
      </c>
      <c r="Q72" s="67">
        <v>6.8000000000000005E-2</v>
      </c>
      <c r="R72" s="75">
        <f t="shared" si="22"/>
        <v>-1.3260754943833445E-3</v>
      </c>
      <c r="S72" s="75">
        <f t="shared" si="23"/>
        <v>-9.0090090090088172E-4</v>
      </c>
      <c r="T72" s="75">
        <f t="shared" si="24"/>
        <v>0</v>
      </c>
      <c r="U72" s="76">
        <f t="shared" si="25"/>
        <v>-0.12399999999999999</v>
      </c>
      <c r="V72" s="77">
        <f t="shared" si="26"/>
        <v>-6.9999999999999923E-3</v>
      </c>
    </row>
    <row r="73" spans="1:22">
      <c r="A73" s="182">
        <v>62</v>
      </c>
      <c r="B73" s="62" t="s">
        <v>123</v>
      </c>
      <c r="C73" s="63" t="s">
        <v>65</v>
      </c>
      <c r="D73" s="65">
        <v>2122679961.85849</v>
      </c>
      <c r="E73" s="72">
        <f t="shared" si="27"/>
        <v>9.8329926780052149E-3</v>
      </c>
      <c r="F73" s="65">
        <v>4302.4511687056101</v>
      </c>
      <c r="G73" s="65">
        <v>4302.4511687056101</v>
      </c>
      <c r="H73" s="74">
        <v>1041</v>
      </c>
      <c r="I73" s="67">
        <v>8.6900000000000005E-2</v>
      </c>
      <c r="J73" s="67">
        <v>9.7600000000000006E-2</v>
      </c>
      <c r="K73" s="65">
        <v>2125100323.4772601</v>
      </c>
      <c r="L73" s="72">
        <f t="shared" si="21"/>
        <v>9.7662545890484856E-3</v>
      </c>
      <c r="M73" s="65">
        <v>4309.7228358494103</v>
      </c>
      <c r="N73" s="65">
        <v>4309.7228358494103</v>
      </c>
      <c r="O73" s="74">
        <v>1042</v>
      </c>
      <c r="P73" s="67">
        <v>8.8369233200602901E-2</v>
      </c>
      <c r="Q73" s="67">
        <v>9.7498048143671995E-2</v>
      </c>
      <c r="R73" s="75">
        <f t="shared" si="22"/>
        <v>1.1402385956717661E-3</v>
      </c>
      <c r="S73" s="75">
        <f t="shared" si="23"/>
        <v>1.6901219464596185E-3</v>
      </c>
      <c r="T73" s="75">
        <f t="shared" si="24"/>
        <v>9.6061479346781938E-4</v>
      </c>
      <c r="U73" s="76">
        <f t="shared" si="25"/>
        <v>1.4692332006028958E-3</v>
      </c>
      <c r="V73" s="77">
        <f t="shared" si="26"/>
        <v>-1.019518563280114E-4</v>
      </c>
    </row>
    <row r="74" spans="1:22">
      <c r="A74" s="182">
        <v>63</v>
      </c>
      <c r="B74" s="62" t="s">
        <v>124</v>
      </c>
      <c r="C74" s="63" t="s">
        <v>67</v>
      </c>
      <c r="D74" s="65">
        <v>349631104.44999999</v>
      </c>
      <c r="E74" s="72">
        <f t="shared" si="27"/>
        <v>1.619613013659248E-3</v>
      </c>
      <c r="F74" s="99">
        <v>112</v>
      </c>
      <c r="G74" s="99">
        <v>112</v>
      </c>
      <c r="H74" s="74">
        <v>132</v>
      </c>
      <c r="I74" s="67">
        <v>2.0999999999999999E-3</v>
      </c>
      <c r="J74" s="67">
        <v>0.1203</v>
      </c>
      <c r="K74" s="65">
        <v>351385238.76999998</v>
      </c>
      <c r="L74" s="72">
        <f t="shared" si="21"/>
        <v>1.6148497380331472E-3</v>
      </c>
      <c r="M74" s="99">
        <v>112.24</v>
      </c>
      <c r="N74" s="99">
        <v>112.24</v>
      </c>
      <c r="O74" s="74">
        <v>132</v>
      </c>
      <c r="P74" s="67">
        <v>2.0999999999999999E-3</v>
      </c>
      <c r="Q74" s="67">
        <v>0.12039999999999999</v>
      </c>
      <c r="R74" s="75">
        <f t="shared" si="22"/>
        <v>5.0171003027874141E-3</v>
      </c>
      <c r="S74" s="75">
        <f t="shared" si="23"/>
        <v>2.142857142857097E-3</v>
      </c>
      <c r="T74" s="75">
        <f t="shared" si="24"/>
        <v>0</v>
      </c>
      <c r="U74" s="76">
        <f t="shared" si="25"/>
        <v>0</v>
      </c>
      <c r="V74" s="77">
        <f t="shared" si="26"/>
        <v>9.9999999999988987E-5</v>
      </c>
    </row>
    <row r="75" spans="1:22" ht="13.5" customHeight="1">
      <c r="A75" s="182">
        <v>64</v>
      </c>
      <c r="B75" s="62" t="s">
        <v>125</v>
      </c>
      <c r="C75" s="63" t="s">
        <v>126</v>
      </c>
      <c r="D75" s="65">
        <v>345731714.56</v>
      </c>
      <c r="E75" s="72">
        <f t="shared" si="27"/>
        <v>1.6015496819625156E-3</v>
      </c>
      <c r="F75" s="99">
        <v>1.3775999999999999</v>
      </c>
      <c r="G75" s="99">
        <v>1.3775999999999999</v>
      </c>
      <c r="H75" s="74">
        <v>356</v>
      </c>
      <c r="I75" s="67">
        <v>8.9999999999999998E-4</v>
      </c>
      <c r="J75" s="67">
        <v>5.0200000000000002E-2</v>
      </c>
      <c r="K75" s="65">
        <v>344937151.22000003</v>
      </c>
      <c r="L75" s="72">
        <f t="shared" si="21"/>
        <v>1.5852164713444806E-3</v>
      </c>
      <c r="M75" s="99">
        <v>1.3749</v>
      </c>
      <c r="N75" s="99">
        <v>1.3749</v>
      </c>
      <c r="O75" s="74">
        <v>345</v>
      </c>
      <c r="P75" s="67">
        <v>-1.9599303135887599E-3</v>
      </c>
      <c r="Q75" s="67">
        <v>4.8199307656083899E-2</v>
      </c>
      <c r="R75" s="75">
        <f t="shared" si="22"/>
        <v>-2.2982078488552465E-3</v>
      </c>
      <c r="S75" s="75">
        <f t="shared" si="23"/>
        <v>-1.9599303135887955E-3</v>
      </c>
      <c r="T75" s="75">
        <f t="shared" si="24"/>
        <v>-3.0898876404494381E-2</v>
      </c>
      <c r="U75" s="76">
        <f t="shared" si="25"/>
        <v>-2.8599303135887601E-3</v>
      </c>
      <c r="V75" s="77">
        <f t="shared" si="26"/>
        <v>-2.0006923439161023E-3</v>
      </c>
    </row>
    <row r="76" spans="1:22">
      <c r="A76" s="182">
        <v>65</v>
      </c>
      <c r="B76" s="62" t="s">
        <v>127</v>
      </c>
      <c r="C76" s="63" t="s">
        <v>30</v>
      </c>
      <c r="D76" s="65">
        <v>128663485.04000001</v>
      </c>
      <c r="E76" s="72">
        <f t="shared" si="27"/>
        <v>5.9601406196780954E-4</v>
      </c>
      <c r="F76" s="99">
        <v>126.2727</v>
      </c>
      <c r="G76" s="99">
        <v>126.2727</v>
      </c>
      <c r="H76" s="74">
        <v>171</v>
      </c>
      <c r="I76" s="67">
        <v>4.1800000000000002E-4</v>
      </c>
      <c r="J76" s="67">
        <v>0.1258</v>
      </c>
      <c r="K76" s="65">
        <v>128663485.04000001</v>
      </c>
      <c r="L76" s="72">
        <f t="shared" si="21"/>
        <v>5.9129460258082597E-4</v>
      </c>
      <c r="M76" s="99">
        <v>126.2727</v>
      </c>
      <c r="N76" s="99">
        <v>126.2727</v>
      </c>
      <c r="O76" s="74">
        <v>171</v>
      </c>
      <c r="P76" s="67">
        <v>4.1800000000000002E-4</v>
      </c>
      <c r="Q76" s="67">
        <v>0.1258</v>
      </c>
      <c r="R76" s="75">
        <f t="shared" si="22"/>
        <v>0</v>
      </c>
      <c r="S76" s="75">
        <f t="shared" si="23"/>
        <v>0</v>
      </c>
      <c r="T76" s="75">
        <f t="shared" si="24"/>
        <v>0</v>
      </c>
      <c r="U76" s="76">
        <f t="shared" si="25"/>
        <v>0</v>
      </c>
      <c r="V76" s="77">
        <f t="shared" si="26"/>
        <v>0</v>
      </c>
    </row>
    <row r="77" spans="1:22">
      <c r="A77" s="182">
        <v>66</v>
      </c>
      <c r="B77" s="62" t="s">
        <v>128</v>
      </c>
      <c r="C77" s="63" t="s">
        <v>99</v>
      </c>
      <c r="D77" s="65">
        <v>1616444957.6600001</v>
      </c>
      <c r="E77" s="72">
        <f t="shared" si="27"/>
        <v>7.4879358728920107E-3</v>
      </c>
      <c r="F77" s="80">
        <v>1000</v>
      </c>
      <c r="G77" s="80">
        <v>1000</v>
      </c>
      <c r="H77" s="74">
        <v>338</v>
      </c>
      <c r="I77" s="67">
        <v>6.7999999999999996E-3</v>
      </c>
      <c r="J77" s="67">
        <v>0.19359999999999999</v>
      </c>
      <c r="K77" s="65">
        <v>1585416206.3</v>
      </c>
      <c r="L77" s="72">
        <f t="shared" si="21"/>
        <v>7.2860458065310239E-3</v>
      </c>
      <c r="M77" s="80">
        <v>1000</v>
      </c>
      <c r="N77" s="80">
        <v>1000</v>
      </c>
      <c r="O77" s="74">
        <v>336</v>
      </c>
      <c r="P77" s="67">
        <v>8.5000000000000006E-3</v>
      </c>
      <c r="Q77" s="67">
        <v>0.19550000000000001</v>
      </c>
      <c r="R77" s="75">
        <f t="shared" si="22"/>
        <v>-1.9195674565323902E-2</v>
      </c>
      <c r="S77" s="75">
        <f t="shared" si="23"/>
        <v>0</v>
      </c>
      <c r="T77" s="75">
        <f t="shared" si="24"/>
        <v>-5.9171597633136093E-3</v>
      </c>
      <c r="U77" s="76">
        <f t="shared" si="25"/>
        <v>1.700000000000001E-3</v>
      </c>
      <c r="V77" s="77">
        <f t="shared" si="26"/>
        <v>1.9000000000000128E-3</v>
      </c>
    </row>
    <row r="78" spans="1:22">
      <c r="A78" s="182">
        <v>67</v>
      </c>
      <c r="B78" s="62" t="s">
        <v>129</v>
      </c>
      <c r="C78" s="63" t="s">
        <v>73</v>
      </c>
      <c r="D78" s="65">
        <v>216924182.74000001</v>
      </c>
      <c r="E78" s="72">
        <f t="shared" si="27"/>
        <v>1.0048683451541831E-3</v>
      </c>
      <c r="F78" s="80">
        <v>1061.3499999999999</v>
      </c>
      <c r="G78" s="80">
        <v>1070.56</v>
      </c>
      <c r="H78" s="74">
        <v>74</v>
      </c>
      <c r="I78" s="67">
        <v>5.3E-3</v>
      </c>
      <c r="J78" s="67">
        <v>6.1699999999999998E-2</v>
      </c>
      <c r="K78" s="65">
        <v>217416409.40000001</v>
      </c>
      <c r="L78" s="72">
        <f t="shared" si="21"/>
        <v>9.9917353669346214E-4</v>
      </c>
      <c r="M78" s="80">
        <v>1063.4100000000001</v>
      </c>
      <c r="N78" s="80">
        <v>1069.23</v>
      </c>
      <c r="O78" s="74">
        <v>74</v>
      </c>
      <c r="P78" s="67">
        <v>2.9999999999999997E-4</v>
      </c>
      <c r="Q78" s="67">
        <v>6.2E-2</v>
      </c>
      <c r="R78" s="75">
        <f t="shared" si="22"/>
        <v>2.2691184255374938E-3</v>
      </c>
      <c r="S78" s="75">
        <f t="shared" si="23"/>
        <v>-1.2423404573306748E-3</v>
      </c>
      <c r="T78" s="75">
        <f t="shared" si="24"/>
        <v>0</v>
      </c>
      <c r="U78" s="76">
        <f t="shared" si="25"/>
        <v>-5.0000000000000001E-3</v>
      </c>
      <c r="V78" s="77">
        <f t="shared" si="26"/>
        <v>3.0000000000000165E-4</v>
      </c>
    </row>
    <row r="79" spans="1:22">
      <c r="A79" s="182">
        <v>68</v>
      </c>
      <c r="B79" s="62" t="s">
        <v>130</v>
      </c>
      <c r="C79" s="63" t="s">
        <v>76</v>
      </c>
      <c r="D79" s="65">
        <v>969943403.77999997</v>
      </c>
      <c r="E79" s="72">
        <f t="shared" si="27"/>
        <v>4.4931155703273259E-3</v>
      </c>
      <c r="F79" s="100">
        <v>1.1571</v>
      </c>
      <c r="G79" s="100">
        <v>1.1571</v>
      </c>
      <c r="H79" s="74">
        <v>43</v>
      </c>
      <c r="I79" s="67">
        <v>1.905E-3</v>
      </c>
      <c r="J79" s="67">
        <v>0.1193</v>
      </c>
      <c r="K79" s="65">
        <v>972428936.09000003</v>
      </c>
      <c r="L79" s="72">
        <f t="shared" si="21"/>
        <v>4.4689601025860101E-3</v>
      </c>
      <c r="M79" s="100">
        <v>1.1601999999999999</v>
      </c>
      <c r="N79" s="100">
        <v>1.1601999999999999</v>
      </c>
      <c r="O79" s="74">
        <v>42</v>
      </c>
      <c r="P79" s="67">
        <v>1.9859999999999999E-3</v>
      </c>
      <c r="Q79" s="67">
        <v>0.11999700000000001</v>
      </c>
      <c r="R79" s="75">
        <f t="shared" si="22"/>
        <v>2.5625539596574481E-3</v>
      </c>
      <c r="S79" s="75">
        <f t="shared" si="23"/>
        <v>2.679111572033429E-3</v>
      </c>
      <c r="T79" s="75">
        <f t="shared" si="24"/>
        <v>-2.3255813953488372E-2</v>
      </c>
      <c r="U79" s="76">
        <f t="shared" si="25"/>
        <v>8.0999999999999909E-5</v>
      </c>
      <c r="V79" s="77">
        <f t="shared" si="26"/>
        <v>6.9700000000000317E-4</v>
      </c>
    </row>
    <row r="80" spans="1:22">
      <c r="A80" s="182">
        <v>69</v>
      </c>
      <c r="B80" s="62" t="s">
        <v>131</v>
      </c>
      <c r="C80" s="63" t="s">
        <v>32</v>
      </c>
      <c r="D80" s="65">
        <v>27569661614.330002</v>
      </c>
      <c r="E80" s="72">
        <f t="shared" si="27"/>
        <v>0.12771227206169902</v>
      </c>
      <c r="F80" s="100">
        <v>1674.8</v>
      </c>
      <c r="G80" s="100">
        <v>1674.8</v>
      </c>
      <c r="H80" s="74">
        <v>2271</v>
      </c>
      <c r="I80" s="67">
        <v>1.1999999999999999E-3</v>
      </c>
      <c r="J80" s="67">
        <v>8.2299999999999998E-2</v>
      </c>
      <c r="K80" s="65">
        <v>26887862682.130001</v>
      </c>
      <c r="L80" s="72">
        <f t="shared" si="21"/>
        <v>0.12356767791526221</v>
      </c>
      <c r="M80" s="100">
        <v>1677.18</v>
      </c>
      <c r="N80" s="100">
        <v>1677.18</v>
      </c>
      <c r="O80" s="74">
        <v>2267</v>
      </c>
      <c r="P80" s="67">
        <v>1.4E-3</v>
      </c>
      <c r="Q80" s="67">
        <v>8.3900000000000002E-2</v>
      </c>
      <c r="R80" s="75">
        <f t="shared" si="22"/>
        <v>-2.4730043543429607E-2</v>
      </c>
      <c r="S80" s="75">
        <f t="shared" si="23"/>
        <v>1.4210652018152073E-3</v>
      </c>
      <c r="T80" s="75">
        <f t="shared" si="24"/>
        <v>-1.7613386173491853E-3</v>
      </c>
      <c r="U80" s="76">
        <f t="shared" si="25"/>
        <v>2.0000000000000009E-4</v>
      </c>
      <c r="V80" s="77">
        <f t="shared" si="26"/>
        <v>1.6000000000000042E-3</v>
      </c>
    </row>
    <row r="81" spans="1:22">
      <c r="A81" s="182">
        <v>70</v>
      </c>
      <c r="B81" s="62" t="s">
        <v>132</v>
      </c>
      <c r="C81" s="63" t="s">
        <v>81</v>
      </c>
      <c r="D81" s="65">
        <v>23207593.140000001</v>
      </c>
      <c r="E81" s="72">
        <f t="shared" si="27"/>
        <v>1.0750565206256807E-4</v>
      </c>
      <c r="F81" s="99">
        <v>0.70779999999999998</v>
      </c>
      <c r="G81" s="99">
        <v>0.70779999999999998</v>
      </c>
      <c r="H81" s="74">
        <v>746</v>
      </c>
      <c r="I81" s="67">
        <v>2.0999999999999999E-3</v>
      </c>
      <c r="J81" s="67">
        <v>-7.3999999999999996E-2</v>
      </c>
      <c r="K81" s="65">
        <v>23255129.57</v>
      </c>
      <c r="L81" s="72">
        <f t="shared" si="21"/>
        <v>1.0687284424779765E-4</v>
      </c>
      <c r="M81" s="99">
        <v>0.70920000000000005</v>
      </c>
      <c r="N81" s="99">
        <v>0.70920000000000005</v>
      </c>
      <c r="O81" s="74">
        <v>746</v>
      </c>
      <c r="P81" s="67">
        <v>2E-3</v>
      </c>
      <c r="Q81" s="67">
        <v>-7.22E-2</v>
      </c>
      <c r="R81" s="75">
        <f t="shared" si="22"/>
        <v>2.0483136580874968E-3</v>
      </c>
      <c r="S81" s="75">
        <f t="shared" si="23"/>
        <v>1.9779598756711893E-3</v>
      </c>
      <c r="T81" s="75">
        <f t="shared" si="24"/>
        <v>0</v>
      </c>
      <c r="U81" s="76">
        <f t="shared" si="25"/>
        <v>-9.9999999999999829E-5</v>
      </c>
      <c r="V81" s="77">
        <f t="shared" si="26"/>
        <v>1.799999999999996E-3</v>
      </c>
    </row>
    <row r="82" spans="1:22">
      <c r="A82" s="182">
        <v>71</v>
      </c>
      <c r="B82" s="62" t="s">
        <v>133</v>
      </c>
      <c r="C82" s="63" t="s">
        <v>38</v>
      </c>
      <c r="D82" s="65">
        <v>9884607288.4099998</v>
      </c>
      <c r="E82" s="72">
        <f t="shared" si="27"/>
        <v>4.578894267546306E-2</v>
      </c>
      <c r="F82" s="99">
        <v>1</v>
      </c>
      <c r="G82" s="99">
        <v>1</v>
      </c>
      <c r="H82" s="74">
        <v>5243</v>
      </c>
      <c r="I82" s="67">
        <v>0.06</v>
      </c>
      <c r="J82" s="67">
        <v>0.06</v>
      </c>
      <c r="K82" s="65">
        <v>10495445162</v>
      </c>
      <c r="L82" s="72">
        <f t="shared" si="21"/>
        <v>4.8233576714048272E-2</v>
      </c>
      <c r="M82" s="99">
        <v>1</v>
      </c>
      <c r="N82" s="99">
        <v>1</v>
      </c>
      <c r="O82" s="74">
        <v>5243</v>
      </c>
      <c r="P82" s="67">
        <v>0.06</v>
      </c>
      <c r="Q82" s="67">
        <v>0.06</v>
      </c>
      <c r="R82" s="75">
        <f t="shared" si="22"/>
        <v>6.1796878294419037E-2</v>
      </c>
      <c r="S82" s="75">
        <f t="shared" si="23"/>
        <v>0</v>
      </c>
      <c r="T82" s="75">
        <f t="shared" si="24"/>
        <v>0</v>
      </c>
      <c r="U82" s="76">
        <f t="shared" si="25"/>
        <v>0</v>
      </c>
      <c r="V82" s="77">
        <f t="shared" si="26"/>
        <v>0</v>
      </c>
    </row>
    <row r="83" spans="1:22">
      <c r="A83" s="182">
        <v>72</v>
      </c>
      <c r="B83" s="62" t="s">
        <v>134</v>
      </c>
      <c r="C83" s="63" t="s">
        <v>135</v>
      </c>
      <c r="D83" s="65">
        <v>1365064258</v>
      </c>
      <c r="E83" s="72">
        <f t="shared" si="27"/>
        <v>6.3234529439702009E-3</v>
      </c>
      <c r="F83" s="65">
        <v>230.64</v>
      </c>
      <c r="G83" s="65">
        <v>232.24</v>
      </c>
      <c r="H83" s="74">
        <v>488</v>
      </c>
      <c r="I83" s="67">
        <v>1.8E-3</v>
      </c>
      <c r="J83" s="67">
        <v>0.17169999999999999</v>
      </c>
      <c r="K83" s="65">
        <v>1179510384.27</v>
      </c>
      <c r="L83" s="72">
        <f t="shared" si="21"/>
        <v>5.4206375934093606E-3</v>
      </c>
      <c r="M83" s="65">
        <v>233.51</v>
      </c>
      <c r="N83" s="65">
        <v>235.47</v>
      </c>
      <c r="O83" s="74">
        <v>491</v>
      </c>
      <c r="P83" s="67">
        <v>5.1999999999999998E-3</v>
      </c>
      <c r="Q83" s="67">
        <v>0.17810000000000001</v>
      </c>
      <c r="R83" s="75">
        <f t="shared" si="22"/>
        <v>-0.13593050484074723</v>
      </c>
      <c r="S83" s="75">
        <f t="shared" si="23"/>
        <v>1.390802617981394E-2</v>
      </c>
      <c r="T83" s="75">
        <f t="shared" si="24"/>
        <v>6.1475409836065573E-3</v>
      </c>
      <c r="U83" s="76">
        <f t="shared" si="25"/>
        <v>3.3999999999999998E-3</v>
      </c>
      <c r="V83" s="77">
        <f t="shared" si="26"/>
        <v>6.4000000000000168E-3</v>
      </c>
    </row>
    <row r="84" spans="1:22">
      <c r="A84" s="182">
        <v>73</v>
      </c>
      <c r="B84" s="62" t="s">
        <v>136</v>
      </c>
      <c r="C84" s="63" t="s">
        <v>42</v>
      </c>
      <c r="D84" s="65">
        <v>1060107421.12</v>
      </c>
      <c r="E84" s="72">
        <f t="shared" si="27"/>
        <v>4.910786692801916E-3</v>
      </c>
      <c r="F84" s="99">
        <v>3.54</v>
      </c>
      <c r="G84" s="99">
        <v>3.54</v>
      </c>
      <c r="H84" s="92">
        <v>770</v>
      </c>
      <c r="I84" s="93">
        <v>1.6999999999999999E-3</v>
      </c>
      <c r="J84" s="93">
        <v>-1.52E-2</v>
      </c>
      <c r="K84" s="65">
        <v>1061947366.55</v>
      </c>
      <c r="L84" s="72">
        <f t="shared" si="21"/>
        <v>4.8803570482388427E-3</v>
      </c>
      <c r="M84" s="99">
        <v>3.54</v>
      </c>
      <c r="N84" s="99">
        <v>3.54</v>
      </c>
      <c r="O84" s="92">
        <v>770</v>
      </c>
      <c r="P84" s="93">
        <v>1.6999999999999999E-3</v>
      </c>
      <c r="Q84" s="93">
        <v>-1.2699999999999999E-2</v>
      </c>
      <c r="R84" s="75">
        <f t="shared" si="22"/>
        <v>1.735621686391037E-3</v>
      </c>
      <c r="S84" s="75">
        <f t="shared" si="23"/>
        <v>0</v>
      </c>
      <c r="T84" s="75">
        <f t="shared" si="24"/>
        <v>0</v>
      </c>
      <c r="U84" s="76">
        <f t="shared" si="25"/>
        <v>0</v>
      </c>
      <c r="V84" s="77">
        <f t="shared" si="26"/>
        <v>2.5000000000000005E-3</v>
      </c>
    </row>
    <row r="85" spans="1:22">
      <c r="A85" s="182">
        <v>74</v>
      </c>
      <c r="B85" s="62" t="s">
        <v>137</v>
      </c>
      <c r="C85" s="63" t="s">
        <v>44</v>
      </c>
      <c r="D85" s="65">
        <v>543140062.70000005</v>
      </c>
      <c r="E85" s="72">
        <f t="shared" si="27"/>
        <v>2.516013886042627E-3</v>
      </c>
      <c r="F85" s="99">
        <v>108.15</v>
      </c>
      <c r="G85" s="99">
        <v>108.15</v>
      </c>
      <c r="H85" s="92">
        <v>59</v>
      </c>
      <c r="I85" s="93">
        <v>0.13950000000000001</v>
      </c>
      <c r="J85" s="93">
        <v>0.16309999999999999</v>
      </c>
      <c r="K85" s="65">
        <v>544225590.12</v>
      </c>
      <c r="L85" s="72">
        <f t="shared" si="21"/>
        <v>2.5010798823324088E-3</v>
      </c>
      <c r="M85" s="99">
        <v>108.37</v>
      </c>
      <c r="N85" s="99">
        <v>108.37</v>
      </c>
      <c r="O85" s="92">
        <v>59</v>
      </c>
      <c r="P85" s="93">
        <v>0.14169999999999999</v>
      </c>
      <c r="Q85" s="93">
        <v>0.1653</v>
      </c>
      <c r="R85" s="75">
        <f t="shared" si="22"/>
        <v>1.9986141596767854E-3</v>
      </c>
      <c r="S85" s="75">
        <f t="shared" si="23"/>
        <v>2.0342117429495966E-3</v>
      </c>
      <c r="T85" s="75">
        <f t="shared" si="24"/>
        <v>0</v>
      </c>
      <c r="U85" s="76">
        <f t="shared" si="25"/>
        <v>2.1999999999999797E-3</v>
      </c>
      <c r="V85" s="77">
        <f t="shared" si="26"/>
        <v>2.2000000000000075E-3</v>
      </c>
    </row>
    <row r="86" spans="1:22">
      <c r="A86" s="182">
        <v>75</v>
      </c>
      <c r="B86" s="63" t="s">
        <v>138</v>
      </c>
      <c r="C86" s="134" t="s">
        <v>48</v>
      </c>
      <c r="D86" s="65">
        <v>1759723894.73</v>
      </c>
      <c r="E86" s="72">
        <f t="shared" si="27"/>
        <v>8.1516537976083509E-3</v>
      </c>
      <c r="F86" s="99">
        <v>100.2</v>
      </c>
      <c r="G86" s="99">
        <v>100.2</v>
      </c>
      <c r="H86" s="74">
        <v>139</v>
      </c>
      <c r="I86" s="67">
        <v>2.0999999999999999E-3</v>
      </c>
      <c r="J86" s="67">
        <v>8.4400000000000003E-2</v>
      </c>
      <c r="K86" s="65">
        <v>1763014987.1400001</v>
      </c>
      <c r="L86" s="72">
        <f t="shared" si="21"/>
        <v>8.1022307598841818E-3</v>
      </c>
      <c r="M86" s="99">
        <v>100.2</v>
      </c>
      <c r="N86" s="99">
        <v>100.2</v>
      </c>
      <c r="O86" s="74">
        <v>139</v>
      </c>
      <c r="P86" s="67">
        <v>1.6000000000000001E-3</v>
      </c>
      <c r="Q86" s="67">
        <v>8.5900000000000004E-2</v>
      </c>
      <c r="R86" s="75">
        <f t="shared" si="22"/>
        <v>1.8702322676052816E-3</v>
      </c>
      <c r="S86" s="75">
        <f t="shared" si="23"/>
        <v>0</v>
      </c>
      <c r="T86" s="75">
        <f t="shared" si="24"/>
        <v>0</v>
      </c>
      <c r="U86" s="76">
        <f t="shared" si="25"/>
        <v>-4.9999999999999979E-4</v>
      </c>
      <c r="V86" s="77">
        <f t="shared" si="26"/>
        <v>1.5000000000000013E-3</v>
      </c>
    </row>
    <row r="87" spans="1:22">
      <c r="A87" s="182">
        <v>76</v>
      </c>
      <c r="B87" s="62" t="s">
        <v>139</v>
      </c>
      <c r="C87" s="63" t="s">
        <v>20</v>
      </c>
      <c r="D87" s="65">
        <v>1313377313.03</v>
      </c>
      <c r="E87" s="72">
        <f t="shared" si="27"/>
        <v>6.0840210180224535E-3</v>
      </c>
      <c r="F87" s="99">
        <v>344.63799999999998</v>
      </c>
      <c r="G87" s="99">
        <v>344.63799999999998</v>
      </c>
      <c r="H87" s="74">
        <v>196</v>
      </c>
      <c r="I87" s="67">
        <v>3.0999999999999999E-3</v>
      </c>
      <c r="J87" s="67">
        <v>8.8200000000000001E-2</v>
      </c>
      <c r="K87" s="65">
        <v>1316247985.8599999</v>
      </c>
      <c r="L87" s="72">
        <f t="shared" si="21"/>
        <v>6.0490381513833525E-3</v>
      </c>
      <c r="M87" s="99">
        <v>345.22730000000001</v>
      </c>
      <c r="N87" s="99">
        <v>345.22730000000001</v>
      </c>
      <c r="O87" s="74">
        <v>196</v>
      </c>
      <c r="P87" s="67">
        <v>1.6999999999999999E-3</v>
      </c>
      <c r="Q87" s="67">
        <v>0.09</v>
      </c>
      <c r="R87" s="75">
        <f t="shared" si="22"/>
        <v>2.1857183016030612E-3</v>
      </c>
      <c r="S87" s="75">
        <f t="shared" si="23"/>
        <v>1.7099101085778035E-3</v>
      </c>
      <c r="T87" s="75">
        <f t="shared" si="24"/>
        <v>0</v>
      </c>
      <c r="U87" s="76">
        <f t="shared" si="25"/>
        <v>-1.4E-3</v>
      </c>
      <c r="V87" s="77">
        <f t="shared" si="26"/>
        <v>1.799999999999996E-3</v>
      </c>
    </row>
    <row r="88" spans="1:22">
      <c r="A88" s="182">
        <v>77</v>
      </c>
      <c r="B88" s="62" t="s">
        <v>140</v>
      </c>
      <c r="C88" s="63" t="s">
        <v>90</v>
      </c>
      <c r="D88" s="90">
        <v>1479274231.1800001</v>
      </c>
      <c r="E88" s="72">
        <f>(D88/$K$63)</f>
        <v>1.0056413581619023E-3</v>
      </c>
      <c r="F88" s="99">
        <v>101.13</v>
      </c>
      <c r="G88" s="99">
        <v>101.13</v>
      </c>
      <c r="H88" s="74">
        <v>378</v>
      </c>
      <c r="I88" s="67">
        <v>2.7000000000000001E-3</v>
      </c>
      <c r="J88" s="67">
        <v>0.10639999999999999</v>
      </c>
      <c r="K88" s="90">
        <v>1467328813.97</v>
      </c>
      <c r="L88" s="72">
        <f>(K88/$K$63)</f>
        <v>9.9752061534514117E-4</v>
      </c>
      <c r="M88" s="99">
        <v>101.39</v>
      </c>
      <c r="N88" s="99">
        <v>101.39</v>
      </c>
      <c r="O88" s="74">
        <v>378</v>
      </c>
      <c r="P88" s="67">
        <v>0.26</v>
      </c>
      <c r="Q88" s="67">
        <v>0.109</v>
      </c>
      <c r="R88" s="75">
        <f t="shared" si="22"/>
        <v>-8.0751877902120392E-3</v>
      </c>
      <c r="S88" s="75">
        <f t="shared" si="23"/>
        <v>2.570948284386484E-3</v>
      </c>
      <c r="T88" s="75">
        <f t="shared" si="24"/>
        <v>0</v>
      </c>
      <c r="U88" s="76">
        <f t="shared" si="25"/>
        <v>0.25730000000000003</v>
      </c>
      <c r="V88" s="77">
        <f t="shared" si="26"/>
        <v>2.6000000000000051E-3</v>
      </c>
    </row>
    <row r="89" spans="1:22">
      <c r="A89" s="182">
        <v>78</v>
      </c>
      <c r="B89" s="62" t="s">
        <v>141</v>
      </c>
      <c r="C89" s="63" t="s">
        <v>46</v>
      </c>
      <c r="D89" s="65">
        <v>57627155.5</v>
      </c>
      <c r="E89" s="72">
        <f t="shared" ref="E89:E101" si="28">(D89/$D$102)</f>
        <v>2.6694904944108761E-4</v>
      </c>
      <c r="F89" s="65">
        <v>11.978217000000001</v>
      </c>
      <c r="G89" s="65">
        <v>12.234061000000001</v>
      </c>
      <c r="H89" s="74">
        <v>56</v>
      </c>
      <c r="I89" s="67">
        <v>1.5E-3</v>
      </c>
      <c r="J89" s="67">
        <v>-1.2999999999999999E-3</v>
      </c>
      <c r="K89" s="65">
        <v>57747658.659999996</v>
      </c>
      <c r="L89" s="72">
        <f t="shared" ref="L89:L101" si="29">(K89/$K$102)</f>
        <v>2.6538904077347454E-4</v>
      </c>
      <c r="M89" s="65">
        <v>12.003265000000001</v>
      </c>
      <c r="N89" s="65">
        <v>12.266545000000001</v>
      </c>
      <c r="O89" s="74">
        <v>56</v>
      </c>
      <c r="P89" s="67">
        <v>1.5E-3</v>
      </c>
      <c r="Q89" s="67">
        <v>1.4E-3</v>
      </c>
      <c r="R89" s="75">
        <f t="shared" si="22"/>
        <v>2.0910829096882359E-3</v>
      </c>
      <c r="S89" s="75">
        <f t="shared" si="23"/>
        <v>2.6552099094487251E-3</v>
      </c>
      <c r="T89" s="75">
        <f t="shared" si="24"/>
        <v>0</v>
      </c>
      <c r="U89" s="76">
        <f t="shared" si="25"/>
        <v>0</v>
      </c>
      <c r="V89" s="77">
        <f t="shared" si="26"/>
        <v>2.7000000000000001E-3</v>
      </c>
    </row>
    <row r="90" spans="1:22">
      <c r="A90" s="182">
        <v>79</v>
      </c>
      <c r="B90" s="62" t="s">
        <v>142</v>
      </c>
      <c r="C90" s="63" t="s">
        <v>143</v>
      </c>
      <c r="D90" s="65">
        <v>320092954.18000001</v>
      </c>
      <c r="E90" s="72">
        <f t="shared" si="28"/>
        <v>1.4827820167375885E-3</v>
      </c>
      <c r="F90" s="65">
        <v>126.29</v>
      </c>
      <c r="G90" s="65">
        <v>126.29</v>
      </c>
      <c r="H90" s="74">
        <v>102</v>
      </c>
      <c r="I90" s="67">
        <v>0.16089999999999999</v>
      </c>
      <c r="J90" s="67">
        <v>0.1686</v>
      </c>
      <c r="K90" s="65">
        <v>321054172.72000003</v>
      </c>
      <c r="L90" s="72">
        <f t="shared" si="29"/>
        <v>1.4754582421451581E-3</v>
      </c>
      <c r="M90" s="65">
        <v>126.72</v>
      </c>
      <c r="N90" s="65">
        <v>126.72</v>
      </c>
      <c r="O90" s="74">
        <v>101</v>
      </c>
      <c r="P90" s="67">
        <v>0.21060000000000001</v>
      </c>
      <c r="Q90" s="67">
        <v>0.16919999999999999</v>
      </c>
      <c r="R90" s="75">
        <f t="shared" si="22"/>
        <v>3.0029356393127386E-3</v>
      </c>
      <c r="S90" s="75">
        <f t="shared" si="23"/>
        <v>3.4048618259560738E-3</v>
      </c>
      <c r="T90" s="75">
        <f t="shared" si="24"/>
        <v>-9.8039215686274508E-3</v>
      </c>
      <c r="U90" s="76">
        <f t="shared" si="25"/>
        <v>4.9700000000000022E-2</v>
      </c>
      <c r="V90" s="77">
        <f t="shared" si="26"/>
        <v>5.9999999999998943E-4</v>
      </c>
    </row>
    <row r="91" spans="1:22">
      <c r="A91" s="182">
        <v>80</v>
      </c>
      <c r="B91" s="62" t="s">
        <v>144</v>
      </c>
      <c r="C91" s="63" t="s">
        <v>145</v>
      </c>
      <c r="D91" s="65">
        <v>7643572354.8267899</v>
      </c>
      <c r="E91" s="72">
        <f t="shared" si="28"/>
        <v>3.5407688558481552E-2</v>
      </c>
      <c r="F91" s="65">
        <v>1.1000000000000001</v>
      </c>
      <c r="G91" s="65">
        <v>1.1000000000000001</v>
      </c>
      <c r="H91" s="74">
        <v>4586</v>
      </c>
      <c r="I91" s="67">
        <v>0.1701</v>
      </c>
      <c r="J91" s="67">
        <v>0.1701</v>
      </c>
      <c r="K91" s="65">
        <v>7714546310.5142603</v>
      </c>
      <c r="L91" s="72">
        <f t="shared" si="29"/>
        <v>3.5453490112977798E-2</v>
      </c>
      <c r="M91" s="65">
        <v>1.1000000000000001</v>
      </c>
      <c r="N91" s="65">
        <v>1.1000000000000001</v>
      </c>
      <c r="O91" s="74">
        <v>4586</v>
      </c>
      <c r="P91" s="67">
        <v>0.17019999999999999</v>
      </c>
      <c r="Q91" s="67">
        <v>0.17019999999999999</v>
      </c>
      <c r="R91" s="75">
        <f t="shared" si="22"/>
        <v>9.2854430353696525E-3</v>
      </c>
      <c r="S91" s="75">
        <f t="shared" si="23"/>
        <v>0</v>
      </c>
      <c r="T91" s="75">
        <f t="shared" si="24"/>
        <v>0</v>
      </c>
      <c r="U91" s="76">
        <f t="shared" si="25"/>
        <v>9.9999999999988987E-5</v>
      </c>
      <c r="V91" s="77">
        <f t="shared" si="26"/>
        <v>9.9999999999988987E-5</v>
      </c>
    </row>
    <row r="92" spans="1:22" ht="14.25" customHeight="1">
      <c r="A92" s="182">
        <v>81</v>
      </c>
      <c r="B92" s="62" t="s">
        <v>146</v>
      </c>
      <c r="C92" s="63" t="s">
        <v>50</v>
      </c>
      <c r="D92" s="65">
        <v>14370813868.6</v>
      </c>
      <c r="E92" s="72">
        <f t="shared" si="28"/>
        <v>6.657061360451097E-2</v>
      </c>
      <c r="F92" s="65">
        <v>5165.32</v>
      </c>
      <c r="G92" s="65">
        <v>5165.32</v>
      </c>
      <c r="H92" s="74">
        <v>315</v>
      </c>
      <c r="I92" s="67">
        <v>0</v>
      </c>
      <c r="J92" s="67">
        <v>3.0700000000000002E-2</v>
      </c>
      <c r="K92" s="65">
        <v>16260484311.75</v>
      </c>
      <c r="L92" s="72">
        <f t="shared" si="29"/>
        <v>7.4727780037194394E-2</v>
      </c>
      <c r="M92" s="65">
        <v>5165.58</v>
      </c>
      <c r="N92" s="65">
        <v>5165.58</v>
      </c>
      <c r="O92" s="74">
        <v>314</v>
      </c>
      <c r="P92" s="67">
        <v>1E-4</v>
      </c>
      <c r="Q92" s="67">
        <v>3.0700000000000002E-2</v>
      </c>
      <c r="R92" s="75">
        <f t="shared" si="22"/>
        <v>0.13149362732189437</v>
      </c>
      <c r="S92" s="75">
        <f t="shared" si="23"/>
        <v>5.0335700401953468E-5</v>
      </c>
      <c r="T92" s="75">
        <f t="shared" si="24"/>
        <v>-3.1746031746031746E-3</v>
      </c>
      <c r="U92" s="76">
        <f t="shared" si="25"/>
        <v>1E-4</v>
      </c>
      <c r="V92" s="77">
        <f t="shared" si="26"/>
        <v>0</v>
      </c>
    </row>
    <row r="93" spans="1:22" ht="13.5" customHeight="1">
      <c r="A93" s="182">
        <v>82</v>
      </c>
      <c r="B93" s="62" t="s">
        <v>147</v>
      </c>
      <c r="C93" s="63" t="s">
        <v>50</v>
      </c>
      <c r="D93" s="65">
        <v>24961696969.34</v>
      </c>
      <c r="E93" s="72">
        <f t="shared" si="28"/>
        <v>0.1156312717604427</v>
      </c>
      <c r="F93" s="99">
        <v>258.43</v>
      </c>
      <c r="G93" s="99">
        <v>258.43</v>
      </c>
      <c r="H93" s="74">
        <v>6437</v>
      </c>
      <c r="I93" s="67">
        <v>0</v>
      </c>
      <c r="J93" s="67">
        <v>1.0200000000000001E-2</v>
      </c>
      <c r="K93" s="65">
        <v>24797655980.98</v>
      </c>
      <c r="L93" s="72">
        <f t="shared" si="29"/>
        <v>0.11396178281391288</v>
      </c>
      <c r="M93" s="99">
        <v>258.43</v>
      </c>
      <c r="N93" s="99">
        <v>258.43</v>
      </c>
      <c r="O93" s="74">
        <v>6423</v>
      </c>
      <c r="P93" s="67">
        <v>0</v>
      </c>
      <c r="Q93" s="67">
        <v>1.0200000000000001E-2</v>
      </c>
      <c r="R93" s="75">
        <f t="shared" si="22"/>
        <v>-6.5717081880085791E-3</v>
      </c>
      <c r="S93" s="75">
        <f t="shared" si="23"/>
        <v>0</v>
      </c>
      <c r="T93" s="75">
        <f t="shared" si="24"/>
        <v>-2.1749262078608047E-3</v>
      </c>
      <c r="U93" s="76">
        <f t="shared" si="25"/>
        <v>0</v>
      </c>
      <c r="V93" s="77">
        <f t="shared" si="26"/>
        <v>0</v>
      </c>
    </row>
    <row r="94" spans="1:22" ht="13.5" customHeight="1">
      <c r="A94" s="182">
        <v>83</v>
      </c>
      <c r="B94" s="62" t="s">
        <v>148</v>
      </c>
      <c r="C94" s="63" t="s">
        <v>50</v>
      </c>
      <c r="D94" s="65">
        <v>368207156.62</v>
      </c>
      <c r="E94" s="72">
        <f t="shared" si="28"/>
        <v>1.7056637552952734E-3</v>
      </c>
      <c r="F94" s="65">
        <v>6384.17</v>
      </c>
      <c r="G94" s="80">
        <v>6415.12</v>
      </c>
      <c r="H94" s="74">
        <v>15</v>
      </c>
      <c r="I94" s="67">
        <v>5.7000000000000002E-3</v>
      </c>
      <c r="J94" s="67">
        <v>0.20830000000000001</v>
      </c>
      <c r="K94" s="65">
        <v>368339827.66000003</v>
      </c>
      <c r="L94" s="72">
        <f t="shared" si="29"/>
        <v>1.6927673919542824E-3</v>
      </c>
      <c r="M94" s="65">
        <v>6386.59</v>
      </c>
      <c r="N94" s="80">
        <v>6417.35</v>
      </c>
      <c r="O94" s="74">
        <v>15</v>
      </c>
      <c r="P94" s="67">
        <v>2.9999999999999997E-4</v>
      </c>
      <c r="Q94" s="67">
        <v>0.20880000000000001</v>
      </c>
      <c r="R94" s="75">
        <f t="shared" si="22"/>
        <v>3.6031629916672602E-4</v>
      </c>
      <c r="S94" s="75">
        <f t="shared" si="23"/>
        <v>3.4761625659387091E-4</v>
      </c>
      <c r="T94" s="75">
        <f t="shared" si="24"/>
        <v>0</v>
      </c>
      <c r="U94" s="76">
        <f t="shared" si="25"/>
        <v>-5.4000000000000003E-3</v>
      </c>
      <c r="V94" s="77">
        <f t="shared" si="26"/>
        <v>5.0000000000000044E-4</v>
      </c>
    </row>
    <row r="95" spans="1:22" ht="15" customHeight="1">
      <c r="A95" s="182">
        <v>84</v>
      </c>
      <c r="B95" s="62" t="s">
        <v>149</v>
      </c>
      <c r="C95" s="63" t="s">
        <v>50</v>
      </c>
      <c r="D95" s="65">
        <v>10075507527.75</v>
      </c>
      <c r="E95" s="72">
        <f t="shared" si="28"/>
        <v>4.6673259053527032E-2</v>
      </c>
      <c r="F95" s="99">
        <v>135.69999999999999</v>
      </c>
      <c r="G95" s="99">
        <v>135.69999999999999</v>
      </c>
      <c r="H95" s="74">
        <v>4480</v>
      </c>
      <c r="I95" s="67">
        <v>3.0999999999999999E-3</v>
      </c>
      <c r="J95" s="67">
        <v>7.7700000000000005E-2</v>
      </c>
      <c r="K95" s="65">
        <v>10006081725.370001</v>
      </c>
      <c r="L95" s="72">
        <f t="shared" si="29"/>
        <v>4.5984625050025145E-2</v>
      </c>
      <c r="M95" s="99">
        <v>135.93</v>
      </c>
      <c r="N95" s="99">
        <v>135.93</v>
      </c>
      <c r="O95" s="74">
        <v>4480</v>
      </c>
      <c r="P95" s="67">
        <v>1.6999999999999999E-3</v>
      </c>
      <c r="Q95" s="67">
        <v>7.9500000000000001E-2</v>
      </c>
      <c r="R95" s="75">
        <f t="shared" si="22"/>
        <v>-6.8905513879858023E-3</v>
      </c>
      <c r="S95" s="75">
        <f t="shared" si="23"/>
        <v>1.6949152542374223E-3</v>
      </c>
      <c r="T95" s="75">
        <f t="shared" si="24"/>
        <v>0</v>
      </c>
      <c r="U95" s="76">
        <f t="shared" si="25"/>
        <v>-1.4E-3</v>
      </c>
      <c r="V95" s="77">
        <f t="shared" si="26"/>
        <v>1.799999999999996E-3</v>
      </c>
    </row>
    <row r="96" spans="1:22" ht="15" customHeight="1">
      <c r="A96" s="182">
        <v>85</v>
      </c>
      <c r="B96" s="62" t="s">
        <v>150</v>
      </c>
      <c r="C96" s="63" t="s">
        <v>50</v>
      </c>
      <c r="D96" s="65">
        <v>8517406680.3299999</v>
      </c>
      <c r="E96" s="72">
        <f t="shared" si="28"/>
        <v>3.9455593414067833E-2</v>
      </c>
      <c r="F96" s="99">
        <v>357.82</v>
      </c>
      <c r="G96" s="99">
        <v>358.35</v>
      </c>
      <c r="H96" s="74">
        <v>10221</v>
      </c>
      <c r="I96" s="67">
        <v>-1.4E-3</v>
      </c>
      <c r="J96" s="67">
        <v>1.4200000000000001E-2</v>
      </c>
      <c r="K96" s="65">
        <v>8457743813.6000004</v>
      </c>
      <c r="L96" s="72">
        <f t="shared" si="29"/>
        <v>3.8868978758334519E-2</v>
      </c>
      <c r="M96" s="99">
        <v>357.06</v>
      </c>
      <c r="N96" s="99">
        <v>357.5</v>
      </c>
      <c r="O96" s="74">
        <v>10217</v>
      </c>
      <c r="P96" s="67">
        <v>-2.3999999999999998E-3</v>
      </c>
      <c r="Q96" s="67">
        <v>1.17E-2</v>
      </c>
      <c r="R96" s="75">
        <f t="shared" si="22"/>
        <v>-7.0048160160984529E-3</v>
      </c>
      <c r="S96" s="75">
        <f t="shared" si="23"/>
        <v>-2.3719826984792036E-3</v>
      </c>
      <c r="T96" s="75">
        <f t="shared" si="24"/>
        <v>-3.9135113981019469E-4</v>
      </c>
      <c r="U96" s="76">
        <f t="shared" si="25"/>
        <v>-9.999999999999998E-4</v>
      </c>
      <c r="V96" s="77">
        <f t="shared" si="26"/>
        <v>-2.5000000000000005E-3</v>
      </c>
    </row>
    <row r="97" spans="1:28">
      <c r="A97" s="182">
        <v>86</v>
      </c>
      <c r="B97" s="62" t="s">
        <v>151</v>
      </c>
      <c r="C97" s="63" t="s">
        <v>53</v>
      </c>
      <c r="D97" s="65">
        <v>86639182522.729996</v>
      </c>
      <c r="E97" s="72">
        <f t="shared" si="28"/>
        <v>0.40134286029085131</v>
      </c>
      <c r="F97" s="65">
        <v>1.9307000000000001</v>
      </c>
      <c r="G97" s="65">
        <v>1.9307000000000001</v>
      </c>
      <c r="H97" s="74">
        <v>6329</v>
      </c>
      <c r="I97" s="67">
        <v>7.8600000000000003E-2</v>
      </c>
      <c r="J97" s="67">
        <v>5.9299999999999999E-2</v>
      </c>
      <c r="K97" s="65">
        <v>86709211481.369995</v>
      </c>
      <c r="L97" s="72">
        <f t="shared" si="29"/>
        <v>0.39848670916254125</v>
      </c>
      <c r="M97" s="65">
        <v>1.9335</v>
      </c>
      <c r="N97" s="65">
        <v>1.9335</v>
      </c>
      <c r="O97" s="74">
        <v>6335</v>
      </c>
      <c r="P97" s="67">
        <v>7.85E-2</v>
      </c>
      <c r="Q97" s="67">
        <v>5.96E-2</v>
      </c>
      <c r="R97" s="75">
        <f t="shared" si="22"/>
        <v>8.0828277230832744E-4</v>
      </c>
      <c r="S97" s="75">
        <f t="shared" si="23"/>
        <v>1.4502512042264017E-3</v>
      </c>
      <c r="T97" s="75">
        <f t="shared" si="24"/>
        <v>9.4801706430715758E-4</v>
      </c>
      <c r="U97" s="76">
        <f t="shared" si="25"/>
        <v>-1.0000000000000286E-4</v>
      </c>
      <c r="V97" s="77">
        <f t="shared" si="26"/>
        <v>3.0000000000000165E-4</v>
      </c>
    </row>
    <row r="98" spans="1:28">
      <c r="A98" s="182">
        <v>87</v>
      </c>
      <c r="B98" s="62" t="s">
        <v>152</v>
      </c>
      <c r="C98" s="63" t="s">
        <v>53</v>
      </c>
      <c r="D98" s="65">
        <v>4364926787.0100002</v>
      </c>
      <c r="E98" s="72">
        <f t="shared" si="28"/>
        <v>2.02198606986989E-2</v>
      </c>
      <c r="F98" s="65">
        <v>103.98</v>
      </c>
      <c r="G98" s="65">
        <v>103.98</v>
      </c>
      <c r="H98" s="74">
        <v>94</v>
      </c>
      <c r="I98" s="67">
        <v>0.23669999999999999</v>
      </c>
      <c r="J98" s="67">
        <v>0.2155</v>
      </c>
      <c r="K98" s="65">
        <v>4908425851.54</v>
      </c>
      <c r="L98" s="72">
        <f t="shared" si="29"/>
        <v>2.2557493388909035E-2</v>
      </c>
      <c r="M98" s="65">
        <v>104.4349</v>
      </c>
      <c r="N98" s="65">
        <v>104.4349</v>
      </c>
      <c r="O98" s="74">
        <v>112</v>
      </c>
      <c r="P98" s="67">
        <v>0.25559999999999999</v>
      </c>
      <c r="Q98" s="67">
        <v>0.21890000000000001</v>
      </c>
      <c r="R98" s="75">
        <f t="shared" ref="R98:R100" si="30">((K98-D98)/D98)</f>
        <v>0.1245150471131498</v>
      </c>
      <c r="S98" s="75">
        <f t="shared" ref="S98:S100" si="31">((N98-G98)/G98)</f>
        <v>4.3748797845739084E-3</v>
      </c>
      <c r="T98" s="75">
        <f t="shared" ref="T98:T100" si="32">((O98-H98)/H98)</f>
        <v>0.19148936170212766</v>
      </c>
      <c r="U98" s="76">
        <f t="shared" ref="U98:U100" si="33">P98-I98</f>
        <v>1.89E-2</v>
      </c>
      <c r="V98" s="77">
        <f t="shared" ref="V98:V100" si="34">Q98-J98</f>
        <v>3.4000000000000141E-3</v>
      </c>
    </row>
    <row r="99" spans="1:28">
      <c r="A99" s="182">
        <v>88</v>
      </c>
      <c r="B99" s="62" t="s">
        <v>153</v>
      </c>
      <c r="C99" s="62" t="s">
        <v>154</v>
      </c>
      <c r="D99" s="65">
        <v>88064419.140000001</v>
      </c>
      <c r="E99" s="72">
        <f t="shared" si="28"/>
        <v>4.0794505255433821E-4</v>
      </c>
      <c r="F99" s="65">
        <v>108.114692048126</v>
      </c>
      <c r="G99" s="65">
        <v>108.114692048126</v>
      </c>
      <c r="H99" s="74">
        <v>54</v>
      </c>
      <c r="I99" s="67">
        <v>1.6999999999999999E-3</v>
      </c>
      <c r="J99" s="67">
        <v>6.4100000000000004E-2</v>
      </c>
      <c r="K99" s="65">
        <v>88136906.099999994</v>
      </c>
      <c r="L99" s="101">
        <f t="shared" si="29"/>
        <v>4.0504791898728028E-4</v>
      </c>
      <c r="M99" s="65">
        <v>108.292956442267</v>
      </c>
      <c r="N99" s="65">
        <v>108.292956442267</v>
      </c>
      <c r="O99" s="102">
        <v>54</v>
      </c>
      <c r="P99" s="103">
        <v>1.64884522874758E-3</v>
      </c>
      <c r="Q99" s="103">
        <v>6.5886046538523396E-2</v>
      </c>
      <c r="R99" s="75">
        <f t="shared" si="30"/>
        <v>8.2311290652763668E-4</v>
      </c>
      <c r="S99" s="75">
        <f t="shared" si="31"/>
        <v>1.6488452287469263E-3</v>
      </c>
      <c r="T99" s="75">
        <f t="shared" si="32"/>
        <v>0</v>
      </c>
      <c r="U99" s="76">
        <f t="shared" si="33"/>
        <v>-5.1154771252419871E-5</v>
      </c>
      <c r="V99" s="77">
        <f t="shared" si="34"/>
        <v>1.786046538523392E-3</v>
      </c>
    </row>
    <row r="100" spans="1:28">
      <c r="A100" s="182">
        <v>89</v>
      </c>
      <c r="B100" s="62" t="s">
        <v>155</v>
      </c>
      <c r="C100" s="63" t="s">
        <v>111</v>
      </c>
      <c r="D100" s="65">
        <v>247445578.21000001</v>
      </c>
      <c r="E100" s="72">
        <f t="shared" si="28"/>
        <v>1.1462540761978059E-3</v>
      </c>
      <c r="F100" s="65">
        <v>1.0455000000000001</v>
      </c>
      <c r="G100" s="65">
        <v>1.0455000000000001</v>
      </c>
      <c r="H100" s="74">
        <v>326</v>
      </c>
      <c r="I100" s="67">
        <v>5.1111000000000004E-3</v>
      </c>
      <c r="J100" s="67">
        <v>4.4749999999999998E-3</v>
      </c>
      <c r="K100" s="65">
        <v>251236108.55000001</v>
      </c>
      <c r="L100" s="72">
        <f t="shared" si="29"/>
        <v>1.1545976304997614E-3</v>
      </c>
      <c r="M100" s="65">
        <v>1.0616000000000001</v>
      </c>
      <c r="N100" s="65">
        <v>1.0616000000000001</v>
      </c>
      <c r="O100" s="74">
        <v>329</v>
      </c>
      <c r="P100" s="67">
        <v>1.5365E-2</v>
      </c>
      <c r="Q100" s="67">
        <v>1.9907999999999999E-2</v>
      </c>
      <c r="R100" s="75">
        <f t="shared" si="30"/>
        <v>1.5318642456334736E-2</v>
      </c>
      <c r="S100" s="75">
        <f t="shared" si="31"/>
        <v>1.5399330463892877E-2</v>
      </c>
      <c r="T100" s="75">
        <f t="shared" si="32"/>
        <v>9.202453987730062E-3</v>
      </c>
      <c r="U100" s="76">
        <f t="shared" si="33"/>
        <v>1.02539E-2</v>
      </c>
      <c r="V100" s="77">
        <f t="shared" si="34"/>
        <v>1.5432999999999999E-2</v>
      </c>
    </row>
    <row r="101" spans="1:28">
      <c r="A101" s="182">
        <v>90</v>
      </c>
      <c r="B101" s="62" t="s">
        <v>156</v>
      </c>
      <c r="C101" s="63" t="s">
        <v>113</v>
      </c>
      <c r="D101" s="65">
        <v>2332990392.4400001</v>
      </c>
      <c r="E101" s="72">
        <f t="shared" si="28"/>
        <v>1.0807223820322833E-2</v>
      </c>
      <c r="F101" s="99">
        <v>27.423999999999999</v>
      </c>
      <c r="G101" s="99">
        <v>27.423999999999999</v>
      </c>
      <c r="H101" s="74">
        <v>1303</v>
      </c>
      <c r="I101" s="67">
        <v>0.12889999999999999</v>
      </c>
      <c r="J101" s="67">
        <v>0.12889999999999999</v>
      </c>
      <c r="K101" s="65">
        <v>2336513296.8800001</v>
      </c>
      <c r="L101" s="72">
        <f t="shared" si="29"/>
        <v>1.0737838329763581E-2</v>
      </c>
      <c r="M101" s="99">
        <v>27.479700000000001</v>
      </c>
      <c r="N101" s="99">
        <v>27.479700000000001</v>
      </c>
      <c r="O101" s="74">
        <v>1303</v>
      </c>
      <c r="P101" s="67">
        <v>0.12959999999999999</v>
      </c>
      <c r="Q101" s="67">
        <v>0.12959999999999999</v>
      </c>
      <c r="R101" s="75">
        <f t="shared" si="22"/>
        <v>1.510038125924541E-3</v>
      </c>
      <c r="S101" s="75">
        <f t="shared" si="23"/>
        <v>2.031067677946384E-3</v>
      </c>
      <c r="T101" s="75">
        <f t="shared" si="24"/>
        <v>0</v>
      </c>
      <c r="U101" s="76">
        <f t="shared" si="25"/>
        <v>7.0000000000000617E-4</v>
      </c>
      <c r="V101" s="77">
        <f t="shared" si="26"/>
        <v>7.0000000000000617E-4</v>
      </c>
    </row>
    <row r="102" spans="1:28">
      <c r="A102" s="181"/>
      <c r="B102" s="81"/>
      <c r="C102" s="82" t="s">
        <v>54</v>
      </c>
      <c r="D102" s="96">
        <f>SUM(D66:D101)</f>
        <v>215873237311.21811</v>
      </c>
      <c r="E102" s="84">
        <f>(D102/$D$206)</f>
        <v>5.9821043677257636E-2</v>
      </c>
      <c r="F102" s="85"/>
      <c r="G102" s="91"/>
      <c r="H102" s="87">
        <f>SUM(H66:H101)</f>
        <v>50579</v>
      </c>
      <c r="I102" s="93"/>
      <c r="J102" s="93"/>
      <c r="K102" s="96">
        <f>SUM(K66:K101)</f>
        <v>217596244711.89484</v>
      </c>
      <c r="L102" s="84">
        <f>(K102/$K$206)</f>
        <v>5.9617761264917836E-2</v>
      </c>
      <c r="M102" s="85"/>
      <c r="N102" s="91"/>
      <c r="O102" s="87">
        <f>SUM(O66:O101)</f>
        <v>50576</v>
      </c>
      <c r="P102" s="93"/>
      <c r="Q102" s="93"/>
      <c r="R102" s="75">
        <f t="shared" si="22"/>
        <v>7.9815702128593086E-3</v>
      </c>
      <c r="S102" s="75" t="e">
        <f t="shared" si="23"/>
        <v>#DIV/0!</v>
      </c>
      <c r="T102" s="75">
        <f t="shared" si="24"/>
        <v>-5.9313153680381185E-5</v>
      </c>
      <c r="U102" s="76">
        <f t="shared" si="25"/>
        <v>0</v>
      </c>
      <c r="V102" s="77">
        <f t="shared" si="26"/>
        <v>0</v>
      </c>
    </row>
    <row r="103" spans="1:28" ht="3.75" customHeight="1">
      <c r="A103" s="181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</row>
    <row r="104" spans="1:28" ht="15" customHeight="1">
      <c r="A104" s="179" t="s">
        <v>273</v>
      </c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</row>
    <row r="105" spans="1:28">
      <c r="A105" s="183" t="s">
        <v>288</v>
      </c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Z105" s="33"/>
      <c r="AB105" s="36"/>
    </row>
    <row r="106" spans="1:28" ht="16.5" customHeight="1">
      <c r="A106" s="182">
        <v>91</v>
      </c>
      <c r="B106" s="62" t="s">
        <v>157</v>
      </c>
      <c r="C106" s="63" t="s">
        <v>20</v>
      </c>
      <c r="D106" s="65">
        <f>1798727.48*1625.827</f>
        <v>2924419702.6259599</v>
      </c>
      <c r="E106" s="72">
        <f>(D106/$D$136)</f>
        <v>1.7183118589585787E-3</v>
      </c>
      <c r="F106" s="65">
        <f>110.8296*1625.827</f>
        <v>180189.75607919999</v>
      </c>
      <c r="G106" s="65">
        <f>110.8296*1625.827</f>
        <v>180189.75607919999</v>
      </c>
      <c r="H106" s="74">
        <v>287</v>
      </c>
      <c r="I106" s="67">
        <v>1.1000000000000001E-3</v>
      </c>
      <c r="J106" s="67">
        <v>4.6300000000000001E-2</v>
      </c>
      <c r="K106" s="65">
        <f>1754745.14*1640.428</f>
        <v>2878533060.5199199</v>
      </c>
      <c r="L106" s="72">
        <f t="shared" ref="L106:L118" si="35">(K106/$K$136)</f>
        <v>1.6684732328272266E-3</v>
      </c>
      <c r="M106" s="65">
        <f>110.9502 *1640.428</f>
        <v>182005.81468559999</v>
      </c>
      <c r="N106" s="65">
        <f>110.9502*1640.428</f>
        <v>182005.81468559999</v>
      </c>
      <c r="O106" s="74">
        <v>287</v>
      </c>
      <c r="P106" s="67">
        <v>1.1000000000000001E-3</v>
      </c>
      <c r="Q106" s="67">
        <v>4.7399999999999998E-2</v>
      </c>
      <c r="R106" s="76">
        <f>((K106-D106)/D106)</f>
        <v>-1.5690853834980131E-2</v>
      </c>
      <c r="S106" s="76">
        <f>((N106-G106)/G106)</f>
        <v>1.007858962638134E-2</v>
      </c>
      <c r="T106" s="76">
        <f>((O106-H106)/H106)</f>
        <v>0</v>
      </c>
      <c r="U106" s="76">
        <f>P106-I106</f>
        <v>0</v>
      </c>
      <c r="V106" s="77">
        <f>Q106-J106</f>
        <v>1.0999999999999968E-3</v>
      </c>
      <c r="X106" s="33"/>
      <c r="Y106" s="37"/>
      <c r="Z106" s="33"/>
      <c r="AA106" s="38"/>
    </row>
    <row r="107" spans="1:28" ht="16.5" customHeight="1">
      <c r="A107" s="182">
        <v>92</v>
      </c>
      <c r="B107" s="62" t="s">
        <v>158</v>
      </c>
      <c r="C107" s="63" t="s">
        <v>57</v>
      </c>
      <c r="D107" s="65">
        <f>1024612.62*1627.666</f>
        <v>1667727124.74492</v>
      </c>
      <c r="E107" s="72">
        <f>(D107/$D$136)</f>
        <v>9.7991245695099038E-4</v>
      </c>
      <c r="F107" s="65">
        <f>100*1627.666</f>
        <v>162766.6</v>
      </c>
      <c r="G107" s="65">
        <f>100*1627.666</f>
        <v>162766.6</v>
      </c>
      <c r="H107" s="74">
        <v>19</v>
      </c>
      <c r="I107" s="67">
        <v>-1.66E-4</v>
      </c>
      <c r="J107" s="67">
        <v>6.8956000000000003E-2</v>
      </c>
      <c r="K107" s="65">
        <f>1086005.9*1640.428</f>
        <v>1781514486.5251999</v>
      </c>
      <c r="L107" s="72">
        <f t="shared" si="35"/>
        <v>1.0326125051085433E-3</v>
      </c>
      <c r="M107" s="65">
        <f>100*1640.428</f>
        <v>164042.80000000002</v>
      </c>
      <c r="N107" s="65">
        <f>100*1640.428</f>
        <v>164042.80000000002</v>
      </c>
      <c r="O107" s="74">
        <v>22</v>
      </c>
      <c r="P107" s="67">
        <v>-4.9459999999999999E-3</v>
      </c>
      <c r="Q107" s="67">
        <v>6.4009999999999997E-2</v>
      </c>
      <c r="R107" s="76">
        <f>((K107-D107)/D107)</f>
        <v>6.8229004668664689E-2</v>
      </c>
      <c r="S107" s="76">
        <f>((N107-G107)/G107)</f>
        <v>7.8406749296232245E-3</v>
      </c>
      <c r="T107" s="76">
        <f>((O107-H107)/H107)</f>
        <v>0.15789473684210525</v>
      </c>
      <c r="U107" s="76">
        <f>P107-I107</f>
        <v>-4.7799999999999995E-3</v>
      </c>
      <c r="V107" s="77">
        <f>Q107-J107</f>
        <v>-4.9460000000000059E-3</v>
      </c>
      <c r="X107" s="33"/>
      <c r="Y107" s="37"/>
      <c r="Z107" s="33"/>
      <c r="AA107" s="38"/>
    </row>
    <row r="108" spans="1:28">
      <c r="A108" s="182">
        <v>93</v>
      </c>
      <c r="B108" s="62" t="s">
        <v>159</v>
      </c>
      <c r="C108" s="63" t="s">
        <v>24</v>
      </c>
      <c r="D108" s="65">
        <f>9692452.4*1627.666</f>
        <v>15776075228.0984</v>
      </c>
      <c r="E108" s="72">
        <f>(D108/$D$136)</f>
        <v>9.2696055658230362E-3</v>
      </c>
      <c r="F108" s="65">
        <f>1.1474*1627.666</f>
        <v>1867.5839684</v>
      </c>
      <c r="G108" s="65">
        <f>1.1474*1627.666</f>
        <v>1867.5839684</v>
      </c>
      <c r="H108" s="74">
        <v>294</v>
      </c>
      <c r="I108" s="67">
        <v>4.5600000000000002E-2</v>
      </c>
      <c r="J108" s="67">
        <v>-3.1099999999999999E-2</v>
      </c>
      <c r="K108" s="65">
        <f>9579873.12*1639.928</f>
        <v>15710302165.93536</v>
      </c>
      <c r="L108" s="72">
        <f t="shared" si="35"/>
        <v>9.1061030366475296E-3</v>
      </c>
      <c r="M108" s="65">
        <f>1.1485*1639.928</f>
        <v>1883.4573080000002</v>
      </c>
      <c r="N108" s="65">
        <f>1.1485*1639.928</f>
        <v>1883.4573080000002</v>
      </c>
      <c r="O108" s="74">
        <v>295</v>
      </c>
      <c r="P108" s="67">
        <v>5.0099999999999999E-2</v>
      </c>
      <c r="Q108" s="67">
        <v>-2.92E-2</v>
      </c>
      <c r="R108" s="76">
        <f t="shared" ref="R108:R118" si="36">((K108-D108)/D108)</f>
        <v>-4.1691650941099272E-3</v>
      </c>
      <c r="S108" s="76">
        <f t="shared" ref="S108:S118" si="37">((N108-G108)/G108)</f>
        <v>8.4993980825393747E-3</v>
      </c>
      <c r="T108" s="76">
        <f t="shared" ref="T108:T118" si="38">((O108-H108)/H108)</f>
        <v>3.4013605442176869E-3</v>
      </c>
      <c r="U108" s="76">
        <f t="shared" ref="U108:U118" si="39">P108-I108</f>
        <v>4.4999999999999971E-3</v>
      </c>
      <c r="V108" s="77">
        <f t="shared" ref="V108:V118" si="40">Q108-J108</f>
        <v>1.8999999999999989E-3</v>
      </c>
    </row>
    <row r="109" spans="1:28">
      <c r="A109" s="182">
        <v>94</v>
      </c>
      <c r="B109" s="62" t="s">
        <v>160</v>
      </c>
      <c r="C109" s="63" t="s">
        <v>28</v>
      </c>
      <c r="D109" s="65">
        <f>2274642.54*1627.666</f>
        <v>3702358324.5116401</v>
      </c>
      <c r="E109" s="72">
        <f>(D109/$D$136)</f>
        <v>2.1754080679356083E-3</v>
      </c>
      <c r="F109" s="65">
        <f>1.0482*1627.666</f>
        <v>1706.1195012000001</v>
      </c>
      <c r="G109" s="65">
        <f>1.0482*1627.666</f>
        <v>1706.1195012000001</v>
      </c>
      <c r="H109" s="74">
        <v>265</v>
      </c>
      <c r="I109" s="67">
        <v>1.2999999999999999E-3</v>
      </c>
      <c r="J109" s="67">
        <v>4.82E-2</v>
      </c>
      <c r="K109" s="65">
        <f>2332696.75*1640.428</f>
        <v>3826621064.2090001</v>
      </c>
      <c r="L109" s="72">
        <f t="shared" si="35"/>
        <v>2.2180098972538341E-3</v>
      </c>
      <c r="M109" s="65">
        <f>1.0496*1640.428</f>
        <v>1721.7932288000002</v>
      </c>
      <c r="N109" s="65">
        <f>1.0496*1640.428</f>
        <v>1721.7932288000002</v>
      </c>
      <c r="O109" s="74">
        <v>263</v>
      </c>
      <c r="P109" s="67">
        <v>1.2999999999999999E-3</v>
      </c>
      <c r="Q109" s="67">
        <v>4.9599999999999998E-2</v>
      </c>
      <c r="R109" s="76">
        <f t="shared" si="36"/>
        <v>3.3563131605785598E-2</v>
      </c>
      <c r="S109" s="76">
        <f t="shared" ref="S109:T112" si="41">((N109-G109)/G109)</f>
        <v>9.1867700878959513E-3</v>
      </c>
      <c r="T109" s="76">
        <f t="shared" si="41"/>
        <v>-7.5471698113207548E-3</v>
      </c>
      <c r="U109" s="76">
        <f t="shared" si="39"/>
        <v>0</v>
      </c>
      <c r="V109" s="77">
        <f t="shared" si="40"/>
        <v>1.3999999999999985E-3</v>
      </c>
    </row>
    <row r="110" spans="1:28">
      <c r="A110" s="182">
        <v>95</v>
      </c>
      <c r="B110" s="62" t="s">
        <v>161</v>
      </c>
      <c r="C110" s="63" t="s">
        <v>63</v>
      </c>
      <c r="D110" s="65">
        <f>381954.43*1627.666</f>
        <v>621694239.26037991</v>
      </c>
      <c r="E110" s="72">
        <f>(D110/$D$136)</f>
        <v>3.6529113212036663E-4</v>
      </c>
      <c r="F110" s="65">
        <f>1.05*1627.666</f>
        <v>1709.0492999999999</v>
      </c>
      <c r="G110" s="65">
        <f>1.06*1627.666</f>
        <v>1725.3259600000001</v>
      </c>
      <c r="H110" s="74">
        <v>15</v>
      </c>
      <c r="I110" s="67">
        <v>-5.1700000000000003E-2</v>
      </c>
      <c r="J110" s="67">
        <v>5.3999999999999999E-2</v>
      </c>
      <c r="K110" s="65">
        <f>388928.84*1640.428</f>
        <v>638009759.14352012</v>
      </c>
      <c r="L110" s="72">
        <f t="shared" si="35"/>
        <v>3.698071840874529E-4</v>
      </c>
      <c r="M110" s="65">
        <f>1.06*1640.428</f>
        <v>1738.8536800000002</v>
      </c>
      <c r="N110" s="65">
        <f>1.06*1640.428</f>
        <v>1738.8536800000002</v>
      </c>
      <c r="O110" s="74">
        <v>15</v>
      </c>
      <c r="P110" s="67">
        <v>0.115</v>
      </c>
      <c r="Q110" s="67">
        <v>5.8000000000000003E-2</v>
      </c>
      <c r="R110" s="76">
        <f t="shared" si="36"/>
        <v>2.6243640125329985E-2</v>
      </c>
      <c r="S110" s="76">
        <f t="shared" si="41"/>
        <v>7.8406749296231794E-3</v>
      </c>
      <c r="T110" s="76">
        <f t="shared" si="41"/>
        <v>0</v>
      </c>
      <c r="U110" s="76">
        <f t="shared" si="39"/>
        <v>0.16670000000000001</v>
      </c>
      <c r="V110" s="77">
        <f t="shared" si="40"/>
        <v>4.0000000000000036E-3</v>
      </c>
    </row>
    <row r="111" spans="1:28">
      <c r="A111" s="182">
        <v>96</v>
      </c>
      <c r="B111" s="62" t="s">
        <v>162</v>
      </c>
      <c r="C111" s="63" t="s">
        <v>30</v>
      </c>
      <c r="D111" s="65">
        <f>387616.54*1627.666</f>
        <v>630910263.19563997</v>
      </c>
      <c r="E111" s="72">
        <v>0</v>
      </c>
      <c r="F111" s="65">
        <f>1.1713*1627.666</f>
        <v>1906.4851858</v>
      </c>
      <c r="G111" s="65">
        <f>1.1713*1627.666</f>
        <v>1906.4851858</v>
      </c>
      <c r="H111" s="74">
        <v>43</v>
      </c>
      <c r="I111" s="67">
        <v>2.5599999999999999E-4</v>
      </c>
      <c r="J111" s="67">
        <v>9.35E-2</v>
      </c>
      <c r="K111" s="65">
        <f>387616.54*1627.666</f>
        <v>630910263.19563997</v>
      </c>
      <c r="L111" s="72">
        <f t="shared" si="35"/>
        <v>3.6569213009760438E-4</v>
      </c>
      <c r="M111" s="65">
        <f>1.1713*1627.666</f>
        <v>1906.4851858</v>
      </c>
      <c r="N111" s="65">
        <f>1.1713*1627.666</f>
        <v>1906.4851858</v>
      </c>
      <c r="O111" s="74">
        <v>43</v>
      </c>
      <c r="P111" s="67">
        <v>2.5599999999999999E-4</v>
      </c>
      <c r="Q111" s="67">
        <v>9.35E-2</v>
      </c>
      <c r="R111" s="76">
        <f t="shared" si="36"/>
        <v>0</v>
      </c>
      <c r="S111" s="76">
        <f t="shared" si="41"/>
        <v>0</v>
      </c>
      <c r="T111" s="76">
        <f t="shared" si="41"/>
        <v>0</v>
      </c>
      <c r="U111" s="76">
        <f t="shared" si="39"/>
        <v>0</v>
      </c>
      <c r="V111" s="77">
        <f t="shared" si="40"/>
        <v>0</v>
      </c>
    </row>
    <row r="112" spans="1:28">
      <c r="A112" s="182">
        <v>97</v>
      </c>
      <c r="B112" s="62" t="s">
        <v>163</v>
      </c>
      <c r="C112" s="63" t="s">
        <v>73</v>
      </c>
      <c r="D112" s="65">
        <f>407102.28*1627.666</f>
        <v>662626539.67848003</v>
      </c>
      <c r="E112" s="72">
        <f t="shared" ref="E112:E118" si="42">(D112/$D$136)</f>
        <v>3.8934187188241937E-4</v>
      </c>
      <c r="F112" s="65">
        <f>106.31*1627.666</f>
        <v>173037.17246</v>
      </c>
      <c r="G112" s="65">
        <f>107.39*1627.666</f>
        <v>174795.05174</v>
      </c>
      <c r="H112" s="74">
        <v>44</v>
      </c>
      <c r="I112" s="67">
        <v>2.3999999999999998E-3</v>
      </c>
      <c r="J112" s="67">
        <v>6.5699999999999995E-2</v>
      </c>
      <c r="K112" s="65">
        <f>407353.78*1640.428</f>
        <v>668234546.61784005</v>
      </c>
      <c r="L112" s="72">
        <f t="shared" si="35"/>
        <v>3.873262633575329E-4</v>
      </c>
      <c r="M112" s="65">
        <f>106.36*1640.428</f>
        <v>174475.92208000002</v>
      </c>
      <c r="N112" s="65">
        <f>107.51*1640.428</f>
        <v>176362.41428000003</v>
      </c>
      <c r="O112" s="74">
        <v>44</v>
      </c>
      <c r="P112" s="67">
        <v>8.0000000000000004E-4</v>
      </c>
      <c r="Q112" s="67">
        <v>6.6500000000000004E-2</v>
      </c>
      <c r="R112" s="76">
        <f t="shared" si="36"/>
        <v>8.4632996168266094E-3</v>
      </c>
      <c r="S112" s="76">
        <f t="shared" si="41"/>
        <v>8.9668587548543104E-3</v>
      </c>
      <c r="T112" s="76">
        <f t="shared" si="41"/>
        <v>0</v>
      </c>
      <c r="U112" s="76">
        <f t="shared" si="39"/>
        <v>-1.5999999999999999E-3</v>
      </c>
      <c r="V112" s="77">
        <f t="shared" si="40"/>
        <v>8.0000000000000904E-4</v>
      </c>
    </row>
    <row r="113" spans="1:24">
      <c r="A113" s="182">
        <v>98</v>
      </c>
      <c r="B113" s="62" t="s">
        <v>164</v>
      </c>
      <c r="C113" s="63" t="s">
        <v>76</v>
      </c>
      <c r="D113" s="65">
        <v>5023804476.0803404</v>
      </c>
      <c r="E113" s="72">
        <f t="shared" si="42"/>
        <v>2.9518549613745883E-3</v>
      </c>
      <c r="F113" s="65">
        <v>178560.94663799999</v>
      </c>
      <c r="G113" s="65">
        <v>178560.94663799999</v>
      </c>
      <c r="H113" s="74">
        <v>53</v>
      </c>
      <c r="I113" s="67">
        <v>1.379E-3</v>
      </c>
      <c r="J113" s="67">
        <v>6.7729999999999999E-2</v>
      </c>
      <c r="K113" s="65">
        <v>5099155324.1732702</v>
      </c>
      <c r="L113" s="72">
        <f t="shared" si="35"/>
        <v>2.9556041183264586E-3</v>
      </c>
      <c r="M113" s="65">
        <v>181660.14929580002</v>
      </c>
      <c r="N113" s="65">
        <v>181660.14929580002</v>
      </c>
      <c r="O113" s="74">
        <v>53</v>
      </c>
      <c r="P113" s="67">
        <v>7.8799999999999996E-4</v>
      </c>
      <c r="Q113" s="67">
        <v>6.7484000000000002E-2</v>
      </c>
      <c r="R113" s="76">
        <f t="shared" si="36"/>
        <v>1.4998762083933624E-2</v>
      </c>
      <c r="S113" s="76">
        <f t="shared" si="37"/>
        <v>1.735655369302614E-2</v>
      </c>
      <c r="T113" s="76">
        <f t="shared" si="38"/>
        <v>0</v>
      </c>
      <c r="U113" s="76">
        <f t="shared" si="39"/>
        <v>-5.9100000000000005E-4</v>
      </c>
      <c r="V113" s="77">
        <f t="shared" si="40"/>
        <v>-2.4599999999999622E-4</v>
      </c>
      <c r="X113" s="34"/>
    </row>
    <row r="114" spans="1:24">
      <c r="A114" s="182">
        <v>99</v>
      </c>
      <c r="B114" s="62" t="s">
        <v>165</v>
      </c>
      <c r="C114" s="63" t="s">
        <v>32</v>
      </c>
      <c r="D114" s="65">
        <v>56254332363.019997</v>
      </c>
      <c r="E114" s="72">
        <f t="shared" si="42"/>
        <v>3.305356147422249E-2</v>
      </c>
      <c r="F114" s="65">
        <v>215843.42</v>
      </c>
      <c r="G114" s="65">
        <v>215843.42</v>
      </c>
      <c r="H114" s="74">
        <v>2201</v>
      </c>
      <c r="I114" s="67">
        <v>1.5E-3</v>
      </c>
      <c r="J114" s="67">
        <v>6.1199999999999997E-2</v>
      </c>
      <c r="K114" s="65">
        <v>55099823910.980003</v>
      </c>
      <c r="L114" s="72">
        <f t="shared" si="35"/>
        <v>3.193730257604159E-2</v>
      </c>
      <c r="M114" s="65">
        <v>210838.73</v>
      </c>
      <c r="N114" s="65">
        <v>210838.73</v>
      </c>
      <c r="O114" s="74">
        <v>2206</v>
      </c>
      <c r="P114" s="67">
        <v>1.5E-3</v>
      </c>
      <c r="Q114" s="67">
        <v>6.2899999999999998E-2</v>
      </c>
      <c r="R114" s="76">
        <f t="shared" si="36"/>
        <v>-2.0523014024763975E-2</v>
      </c>
      <c r="S114" s="76">
        <f t="shared" si="37"/>
        <v>-2.318666929943939E-2</v>
      </c>
      <c r="T114" s="76">
        <f t="shared" si="38"/>
        <v>2.271694684234439E-3</v>
      </c>
      <c r="U114" s="76">
        <f t="shared" si="39"/>
        <v>0</v>
      </c>
      <c r="V114" s="77">
        <f t="shared" si="40"/>
        <v>1.7000000000000001E-3</v>
      </c>
    </row>
    <row r="115" spans="1:24">
      <c r="A115" s="182">
        <v>100</v>
      </c>
      <c r="B115" s="135" t="s">
        <v>166</v>
      </c>
      <c r="C115" s="135" t="s">
        <v>32</v>
      </c>
      <c r="D115" s="65">
        <v>100704306743.99001</v>
      </c>
      <c r="E115" s="72">
        <f t="shared" si="42"/>
        <v>5.9171193646048552E-2</v>
      </c>
      <c r="F115" s="65">
        <v>197264.24</v>
      </c>
      <c r="G115" s="65">
        <v>197264.24</v>
      </c>
      <c r="H115" s="74">
        <v>547</v>
      </c>
      <c r="I115" s="67">
        <v>1.5E-3</v>
      </c>
      <c r="J115" s="67">
        <v>7.3999999999999996E-2</v>
      </c>
      <c r="K115" s="65">
        <v>98698418340.110001</v>
      </c>
      <c r="L115" s="72">
        <f t="shared" si="35"/>
        <v>5.7208190998895E-2</v>
      </c>
      <c r="M115" s="65">
        <v>192733.91</v>
      </c>
      <c r="N115" s="65">
        <v>192733.91</v>
      </c>
      <c r="O115" s="74">
        <v>554</v>
      </c>
      <c r="P115" s="67">
        <v>1.6999999999999999E-3</v>
      </c>
      <c r="Q115" s="67">
        <v>7.6200000000000004E-2</v>
      </c>
      <c r="R115" s="76">
        <f t="shared" si="36"/>
        <v>-1.9918596023697027E-2</v>
      </c>
      <c r="S115" s="76">
        <f t="shared" si="37"/>
        <v>-2.2965794509942541E-2</v>
      </c>
      <c r="T115" s="76">
        <f t="shared" si="38"/>
        <v>1.2797074954296161E-2</v>
      </c>
      <c r="U115" s="76">
        <f t="shared" si="39"/>
        <v>1.9999999999999987E-4</v>
      </c>
      <c r="V115" s="77">
        <f t="shared" si="40"/>
        <v>2.2000000000000075E-3</v>
      </c>
    </row>
    <row r="116" spans="1:24">
      <c r="A116" s="182">
        <v>101</v>
      </c>
      <c r="B116" s="62" t="s">
        <v>167</v>
      </c>
      <c r="C116" s="63" t="s">
        <v>36</v>
      </c>
      <c r="D116" s="65">
        <f>118984.28*1640.428</f>
        <v>195185144.47184002</v>
      </c>
      <c r="E116" s="72">
        <f t="shared" si="42"/>
        <v>1.1468564109910294E-4</v>
      </c>
      <c r="F116" s="65">
        <f>116.08*1640.428</f>
        <v>190420.88224000001</v>
      </c>
      <c r="G116" s="65">
        <f>116.08*1640.428</f>
        <v>190420.88224000001</v>
      </c>
      <c r="H116" s="74">
        <v>4</v>
      </c>
      <c r="I116" s="67">
        <v>2.2000000000000001E-3</v>
      </c>
      <c r="J116" s="67">
        <v>1.2999999999999999E-2</v>
      </c>
      <c r="K116" s="65">
        <f>118984.35*1640.428</f>
        <v>195185259.30180001</v>
      </c>
      <c r="L116" s="72">
        <f t="shared" si="35"/>
        <v>1.1313449376491576E-4</v>
      </c>
      <c r="M116" s="65">
        <f>116.08*1640.428</f>
        <v>190420.88224000001</v>
      </c>
      <c r="N116" s="65">
        <f>116.08*1640.428</f>
        <v>190420.88224000001</v>
      </c>
      <c r="O116" s="74">
        <v>4</v>
      </c>
      <c r="P116" s="67">
        <v>2.2000000000000001E-3</v>
      </c>
      <c r="Q116" s="67">
        <v>1.2999999999999999E-2</v>
      </c>
      <c r="R116" s="76">
        <f t="shared" si="36"/>
        <v>5.8831301070231262E-7</v>
      </c>
      <c r="S116" s="76">
        <f t="shared" si="37"/>
        <v>0</v>
      </c>
      <c r="T116" s="76">
        <f t="shared" si="38"/>
        <v>0</v>
      </c>
      <c r="U116" s="76">
        <f t="shared" si="39"/>
        <v>0</v>
      </c>
      <c r="V116" s="77">
        <f t="shared" si="40"/>
        <v>0</v>
      </c>
    </row>
    <row r="117" spans="1:24">
      <c r="A117" s="182">
        <v>102</v>
      </c>
      <c r="B117" s="62" t="s">
        <v>168</v>
      </c>
      <c r="C117" s="63" t="s">
        <v>42</v>
      </c>
      <c r="D117" s="65">
        <f>10486678.63*1627.666</f>
        <v>17068810258.977581</v>
      </c>
      <c r="E117" s="72">
        <f t="shared" si="42"/>
        <v>1.0029182562263138E-2</v>
      </c>
      <c r="F117" s="65">
        <f>1.37*1627.666</f>
        <v>2229.9024199999999</v>
      </c>
      <c r="G117" s="65">
        <f>1.37*1627.666</f>
        <v>2229.9024199999999</v>
      </c>
      <c r="H117" s="92">
        <v>112</v>
      </c>
      <c r="I117" s="93">
        <v>-8.9999999999999998E-4</v>
      </c>
      <c r="J117" s="93">
        <v>4.4900000000000002E-2</v>
      </c>
      <c r="K117" s="65">
        <f>10093725.75*1640.428</f>
        <v>16558030344.621</v>
      </c>
      <c r="L117" s="72">
        <f t="shared" si="35"/>
        <v>9.5974685152135104E-3</v>
      </c>
      <c r="M117" s="65">
        <f>1.37*1640.428</f>
        <v>2247.3863600000004</v>
      </c>
      <c r="N117" s="65">
        <f>1.37*1640.428</f>
        <v>2247.3863600000004</v>
      </c>
      <c r="O117" s="92">
        <v>112</v>
      </c>
      <c r="P117" s="93">
        <v>1.9E-3</v>
      </c>
      <c r="Q117" s="93">
        <v>4.7500000000000001E-2</v>
      </c>
      <c r="R117" s="76">
        <f t="shared" si="36"/>
        <v>-2.9924752024701243E-2</v>
      </c>
      <c r="S117" s="76">
        <f t="shared" si="37"/>
        <v>7.840674929623391E-3</v>
      </c>
      <c r="T117" s="76">
        <f t="shared" si="38"/>
        <v>0</v>
      </c>
      <c r="U117" s="76">
        <f t="shared" si="39"/>
        <v>2.8E-3</v>
      </c>
      <c r="V117" s="77">
        <f t="shared" si="40"/>
        <v>2.5999999999999981E-3</v>
      </c>
    </row>
    <row r="118" spans="1:24">
      <c r="A118" s="182">
        <v>103</v>
      </c>
      <c r="B118" s="62" t="s">
        <v>169</v>
      </c>
      <c r="C118" s="63" t="s">
        <v>90</v>
      </c>
      <c r="D118" s="65">
        <f>15129588.74*1627.666</f>
        <v>24625917186.080841</v>
      </c>
      <c r="E118" s="72">
        <f t="shared" si="42"/>
        <v>1.4469539204847427E-2</v>
      </c>
      <c r="F118" s="65">
        <f>103.23*1627.666</f>
        <v>168023.96118000001</v>
      </c>
      <c r="G118" s="65">
        <f>1627.666*103.23</f>
        <v>168023.96118000001</v>
      </c>
      <c r="H118" s="74">
        <v>414</v>
      </c>
      <c r="I118" s="67">
        <v>1.8E-3</v>
      </c>
      <c r="J118" s="67">
        <v>7.7899999999999997E-2</v>
      </c>
      <c r="K118" s="65">
        <f>15599217.01*1640.428</f>
        <v>25589392361.280281</v>
      </c>
      <c r="L118" s="72">
        <f t="shared" si="35"/>
        <v>1.4832282729244752E-2</v>
      </c>
      <c r="M118" s="65">
        <f>103.43*1640.428</f>
        <v>169669.46804000004</v>
      </c>
      <c r="N118" s="65">
        <f>103.43*1640.428</f>
        <v>169669.46804000004</v>
      </c>
      <c r="O118" s="74">
        <v>422</v>
      </c>
      <c r="P118" s="67" t="s">
        <v>286</v>
      </c>
      <c r="Q118" s="67">
        <v>7.9899999999999999E-2</v>
      </c>
      <c r="R118" s="76">
        <f t="shared" si="36"/>
        <v>3.9124438205453693E-2</v>
      </c>
      <c r="S118" s="76">
        <f t="shared" si="37"/>
        <v>9.7932869124376341E-3</v>
      </c>
      <c r="T118" s="76">
        <f t="shared" si="38"/>
        <v>1.932367149758454E-2</v>
      </c>
      <c r="U118" s="76" t="e">
        <f t="shared" si="39"/>
        <v>#VALUE!</v>
      </c>
      <c r="V118" s="77">
        <f t="shared" si="40"/>
        <v>2.0000000000000018E-3</v>
      </c>
    </row>
    <row r="119" spans="1:24">
      <c r="A119" s="182">
        <v>104</v>
      </c>
      <c r="B119" s="62" t="s">
        <v>170</v>
      </c>
      <c r="C119" s="63" t="s">
        <v>46</v>
      </c>
      <c r="D119" s="65">
        <f>1937075.14*1627.666</f>
        <v>3152911344.8232398</v>
      </c>
      <c r="E119" s="72">
        <f t="shared" ref="E119:E120" si="43">(D119/$D$136)</f>
        <v>1.8525675193577877E-3</v>
      </c>
      <c r="F119" s="65">
        <f>136.486407*1627.666</f>
        <v>222154.28413606202</v>
      </c>
      <c r="G119" s="65">
        <f>140.627163*1627.666</f>
        <v>228894.05189155799</v>
      </c>
      <c r="H119" s="74">
        <v>46</v>
      </c>
      <c r="I119" s="67">
        <v>1.23E-2</v>
      </c>
      <c r="J119" s="67">
        <v>3.7699999999999997E-2</v>
      </c>
      <c r="K119" s="65">
        <f>1937879.77*1640.428</f>
        <v>3178952235.3415604</v>
      </c>
      <c r="L119" s="72">
        <f t="shared" ref="L119:L120" si="44">(K119/$K$136)</f>
        <v>1.842604063107639E-3</v>
      </c>
      <c r="M119" s="65">
        <f>136.543101*1640.428</f>
        <v>223989.12608722804</v>
      </c>
      <c r="N119" s="65">
        <f>140.72244*1640.428</f>
        <v>230845.03080432003</v>
      </c>
      <c r="O119" s="74">
        <v>46</v>
      </c>
      <c r="P119" s="67">
        <v>6.9999999999999999E-4</v>
      </c>
      <c r="Q119" s="67">
        <v>3.8199999999999998E-2</v>
      </c>
      <c r="R119" s="76">
        <f t="shared" ref="R119:R120" si="45">((K119-D119)/D119)</f>
        <v>8.2593158101565579E-3</v>
      </c>
      <c r="S119" s="76">
        <f t="shared" ref="S119:S120" si="46">((N119-G119)/G119)</f>
        <v>8.5235020160609153E-3</v>
      </c>
      <c r="T119" s="76">
        <f t="shared" ref="T119:T120" si="47">((O119-H119)/H119)</f>
        <v>0</v>
      </c>
      <c r="U119" s="76">
        <f t="shared" ref="U119:U120" si="48">P119-I119</f>
        <v>-1.1600000000000001E-2</v>
      </c>
      <c r="V119" s="77">
        <f t="shared" ref="V119:V120" si="49">Q119-J119</f>
        <v>5.0000000000000044E-4</v>
      </c>
    </row>
    <row r="120" spans="1:24">
      <c r="A120" s="182">
        <v>105</v>
      </c>
      <c r="B120" s="62" t="s">
        <v>171</v>
      </c>
      <c r="C120" s="63" t="s">
        <v>53</v>
      </c>
      <c r="D120" s="64">
        <f>142867672.81*1627.666</f>
        <v>232540853531.96146</v>
      </c>
      <c r="E120" s="72">
        <f t="shared" si="43"/>
        <v>0.13663487014450135</v>
      </c>
      <c r="F120" s="65">
        <f>122.7765*1627.666</f>
        <v>199839.13464899999</v>
      </c>
      <c r="G120" s="65">
        <f>122.7765*1627.666</f>
        <v>199839.13464899999</v>
      </c>
      <c r="H120" s="74">
        <v>3325</v>
      </c>
      <c r="I120" s="67">
        <v>5.4899999999999997E-2</v>
      </c>
      <c r="J120" s="67">
        <v>5.3100000000000001E-2</v>
      </c>
      <c r="K120" s="64">
        <f>143117310.99*1600.78</f>
        <v>229099329086.5722</v>
      </c>
      <c r="L120" s="72">
        <f t="shared" si="44"/>
        <v>0.13279197778974983</v>
      </c>
      <c r="M120" s="65">
        <f>122.9025*1600.78</f>
        <v>196739.86395</v>
      </c>
      <c r="N120" s="65">
        <f>122.9025*1600.78</f>
        <v>196739.86395</v>
      </c>
      <c r="O120" s="74">
        <v>3340</v>
      </c>
      <c r="P120" s="67">
        <v>5.4899999999999997E-2</v>
      </c>
      <c r="Q120" s="67">
        <v>5.3100000000000001E-2</v>
      </c>
      <c r="R120" s="76">
        <f t="shared" si="45"/>
        <v>-1.4799655170768663E-2</v>
      </c>
      <c r="S120" s="76">
        <f t="shared" si="46"/>
        <v>-1.5508827660025573E-2</v>
      </c>
      <c r="T120" s="76">
        <f t="shared" si="47"/>
        <v>4.5112781954887221E-3</v>
      </c>
      <c r="U120" s="76">
        <f t="shared" si="48"/>
        <v>0</v>
      </c>
      <c r="V120" s="77">
        <f t="shared" si="49"/>
        <v>0</v>
      </c>
    </row>
    <row r="121" spans="1:24" ht="6" customHeight="1">
      <c r="A121" s="181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</row>
    <row r="122" spans="1:24">
      <c r="A122" s="183" t="s">
        <v>289</v>
      </c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</row>
    <row r="123" spans="1:24">
      <c r="A123" s="182">
        <v>106</v>
      </c>
      <c r="B123" s="62" t="s">
        <v>172</v>
      </c>
      <c r="C123" s="63" t="s">
        <v>118</v>
      </c>
      <c r="D123" s="64">
        <v>1847375792.8299999</v>
      </c>
      <c r="E123" s="72">
        <f t="shared" ref="E123:E133" si="50">(D123/$D$136)</f>
        <v>1.0854692744418307E-3</v>
      </c>
      <c r="F123" s="65">
        <v>172732.75</v>
      </c>
      <c r="G123" s="65">
        <v>144942.24</v>
      </c>
      <c r="H123" s="74">
        <v>21</v>
      </c>
      <c r="I123" s="67">
        <v>-3.7100000000000002E-4</v>
      </c>
      <c r="J123" s="67">
        <v>8.2100000000000006E-2</v>
      </c>
      <c r="K123" s="64">
        <v>1892907796.3599999</v>
      </c>
      <c r="L123" s="72">
        <f t="shared" ref="L123:L135" si="51">(K123/$K$136)</f>
        <v>1.0971789880593504E-3</v>
      </c>
      <c r="M123" s="65">
        <v>172910.62</v>
      </c>
      <c r="N123" s="65">
        <v>172910.62</v>
      </c>
      <c r="O123" s="74">
        <v>21</v>
      </c>
      <c r="P123" s="67">
        <v>-0.1217</v>
      </c>
      <c r="Q123" s="67">
        <v>7.3099999999999998E-2</v>
      </c>
      <c r="R123" s="76">
        <f>((K123-D123)/D123)</f>
        <v>2.4646855126454467E-2</v>
      </c>
      <c r="S123" s="76">
        <f>((N123-G123)/G123)</f>
        <v>0.19296224482248933</v>
      </c>
      <c r="T123" s="76">
        <f>((O123-H123)/H123)</f>
        <v>0</v>
      </c>
      <c r="U123" s="76">
        <f>P123-I123</f>
        <v>-0.12132900000000001</v>
      </c>
      <c r="V123" s="77">
        <f>Q123-J123</f>
        <v>-9.000000000000008E-3</v>
      </c>
    </row>
    <row r="124" spans="1:24">
      <c r="A124" s="182">
        <v>107</v>
      </c>
      <c r="B124" s="63" t="s">
        <v>173</v>
      </c>
      <c r="C124" s="63" t="s">
        <v>26</v>
      </c>
      <c r="D124" s="65">
        <f>10087664.11*1627.666</f>
        <v>16419347891.267258</v>
      </c>
      <c r="E124" s="72">
        <f t="shared" si="50"/>
        <v>9.6475756105038248E-3</v>
      </c>
      <c r="F124" s="64">
        <f>132.09*1627.666</f>
        <v>214998.40194000001</v>
      </c>
      <c r="G124" s="64">
        <f>132.09*1627.666</f>
        <v>214998.40194000001</v>
      </c>
      <c r="H124" s="74">
        <v>481</v>
      </c>
      <c r="I124" s="67">
        <v>5.0000000000000001E-4</v>
      </c>
      <c r="J124" s="67">
        <v>4.5400000000000003E-2</v>
      </c>
      <c r="K124" s="65">
        <f>10342987.91*1640.428</f>
        <v>16966926971.225481</v>
      </c>
      <c r="L124" s="72">
        <f t="shared" si="51"/>
        <v>9.8344757206682565E-3</v>
      </c>
      <c r="M124" s="64">
        <f>132.24*1640.428</f>
        <v>216930.19872000004</v>
      </c>
      <c r="N124" s="64">
        <f>132.24*1640.428</f>
        <v>216930.19872000004</v>
      </c>
      <c r="O124" s="74">
        <v>481</v>
      </c>
      <c r="P124" s="67">
        <v>5.0000000000000001E-4</v>
      </c>
      <c r="Q124" s="67">
        <v>4.6600000000000003E-2</v>
      </c>
      <c r="R124" s="76">
        <f t="shared" ref="R124:R136" si="52">((K124-D124)/D124)</f>
        <v>3.3349624088874867E-2</v>
      </c>
      <c r="S124" s="76">
        <f t="shared" ref="S124:S136" si="53">((N124-G124)/G124)</f>
        <v>8.9851680876174289E-3</v>
      </c>
      <c r="T124" s="76">
        <f t="shared" ref="T124:T136" si="54">((O124-H124)/H124)</f>
        <v>0</v>
      </c>
      <c r="U124" s="76">
        <f t="shared" ref="U124:U136" si="55">P124-I124</f>
        <v>0</v>
      </c>
      <c r="V124" s="77">
        <f t="shared" ref="V124:V136" si="56">Q124-J124</f>
        <v>1.1999999999999997E-3</v>
      </c>
    </row>
    <row r="125" spans="1:24">
      <c r="A125" s="182">
        <v>108</v>
      </c>
      <c r="B125" s="62" t="s">
        <v>174</v>
      </c>
      <c r="C125" s="63" t="s">
        <v>67</v>
      </c>
      <c r="D125" s="64">
        <v>16524221297.41</v>
      </c>
      <c r="E125" s="72">
        <f t="shared" si="50"/>
        <v>9.7091964569584709E-3</v>
      </c>
      <c r="F125" s="64">
        <v>190625.21</v>
      </c>
      <c r="G125" s="64">
        <v>190625.21</v>
      </c>
      <c r="H125" s="74">
        <v>628</v>
      </c>
      <c r="I125" s="67">
        <v>1.2999999999999999E-3</v>
      </c>
      <c r="J125" s="67">
        <v>6.2600000000000003E-2</v>
      </c>
      <c r="K125" s="64">
        <f>10114832.44*1651.12</f>
        <v>16700802138.332798</v>
      </c>
      <c r="L125" s="72">
        <f t="shared" si="51"/>
        <v>9.6802227901176315E-3</v>
      </c>
      <c r="M125" s="64">
        <f>114.99*1651.12</f>
        <v>189862.28879999998</v>
      </c>
      <c r="N125" s="64">
        <f>114.99*1651.12</f>
        <v>189862.28879999998</v>
      </c>
      <c r="O125" s="74">
        <v>629</v>
      </c>
      <c r="P125" s="67">
        <v>1.2999999999999999E-3</v>
      </c>
      <c r="Q125" s="67">
        <v>6.3799999999999996E-2</v>
      </c>
      <c r="R125" s="76">
        <f t="shared" si="52"/>
        <v>1.0686182286270602E-2</v>
      </c>
      <c r="S125" s="76">
        <f t="shared" si="53"/>
        <v>-4.0022051647838792E-3</v>
      </c>
      <c r="T125" s="76">
        <f t="shared" si="54"/>
        <v>1.5923566878980893E-3</v>
      </c>
      <c r="U125" s="76">
        <f t="shared" si="55"/>
        <v>0</v>
      </c>
      <c r="V125" s="77">
        <f t="shared" si="56"/>
        <v>1.1999999999999927E-3</v>
      </c>
    </row>
    <row r="126" spans="1:24">
      <c r="A126" s="182">
        <v>109</v>
      </c>
      <c r="B126" s="62" t="s">
        <v>175</v>
      </c>
      <c r="C126" s="63" t="s">
        <v>65</v>
      </c>
      <c r="D126" s="64">
        <v>6547651888.8472795</v>
      </c>
      <c r="E126" s="72">
        <f t="shared" si="50"/>
        <v>3.8472274957100558E-3</v>
      </c>
      <c r="F126" s="64">
        <v>2034.0076490702099</v>
      </c>
      <c r="G126" s="64">
        <v>2034.0076490702099</v>
      </c>
      <c r="H126" s="74">
        <v>219</v>
      </c>
      <c r="I126" s="67">
        <v>5.5300000000000002E-2</v>
      </c>
      <c r="J126" s="67">
        <v>5.3600000000000002E-2</v>
      </c>
      <c r="K126" s="64">
        <v>6527479856.89851</v>
      </c>
      <c r="L126" s="72">
        <f t="shared" si="51"/>
        <v>3.7834984660856884E-3</v>
      </c>
      <c r="M126" s="64">
        <v>2074.9282917584301</v>
      </c>
      <c r="N126" s="64">
        <v>2074.9282917584301</v>
      </c>
      <c r="O126" s="74">
        <v>219</v>
      </c>
      <c r="P126" s="67">
        <v>5.5704925620466902E-2</v>
      </c>
      <c r="Q126" s="67">
        <v>5.3681568212515698E-2</v>
      </c>
      <c r="R126" s="76">
        <f t="shared" si="52"/>
        <v>-3.080803972356703E-3</v>
      </c>
      <c r="S126" s="76">
        <f t="shared" si="53"/>
        <v>2.0118234416141884E-2</v>
      </c>
      <c r="T126" s="76">
        <f t="shared" si="54"/>
        <v>0</v>
      </c>
      <c r="U126" s="76">
        <f t="shared" si="55"/>
        <v>4.049256204669005E-4</v>
      </c>
      <c r="V126" s="77">
        <f t="shared" si="56"/>
        <v>8.1568212515696625E-5</v>
      </c>
    </row>
    <row r="127" spans="1:24">
      <c r="A127" s="182">
        <v>110</v>
      </c>
      <c r="B127" s="62" t="s">
        <v>176</v>
      </c>
      <c r="C127" s="63" t="s">
        <v>38</v>
      </c>
      <c r="D127" s="64">
        <v>71229090108.606598</v>
      </c>
      <c r="E127" s="72">
        <f t="shared" si="50"/>
        <v>4.1852334029395769E-2</v>
      </c>
      <c r="F127" s="64">
        <f>100*1541.94</f>
        <v>154194</v>
      </c>
      <c r="G127" s="64">
        <f>100*1541.94</f>
        <v>154194</v>
      </c>
      <c r="H127" s="74">
        <v>1722</v>
      </c>
      <c r="I127" s="67">
        <v>5.3100000000000001E-2</v>
      </c>
      <c r="J127" s="67">
        <v>5.6300000000000003E-2</v>
      </c>
      <c r="K127" s="64">
        <v>70693243492.540802</v>
      </c>
      <c r="L127" s="72">
        <f t="shared" si="51"/>
        <v>4.0975657402294273E-2</v>
      </c>
      <c r="M127" s="64">
        <f>100*1541.94</f>
        <v>154194</v>
      </c>
      <c r="N127" s="64">
        <f>100*1541.94</f>
        <v>154194</v>
      </c>
      <c r="O127" s="74">
        <v>1925</v>
      </c>
      <c r="P127" s="67">
        <v>5.3499999999999999E-2</v>
      </c>
      <c r="Q127" s="67">
        <v>5.62E-2</v>
      </c>
      <c r="R127" s="76">
        <f t="shared" si="52"/>
        <v>-7.522862011135667E-3</v>
      </c>
      <c r="S127" s="76">
        <f t="shared" si="53"/>
        <v>0</v>
      </c>
      <c r="T127" s="76">
        <f t="shared" si="54"/>
        <v>0.11788617886178862</v>
      </c>
      <c r="U127" s="76">
        <f t="shared" si="55"/>
        <v>3.9999999999999758E-4</v>
      </c>
      <c r="V127" s="77">
        <f t="shared" si="56"/>
        <v>-1.0000000000000286E-4</v>
      </c>
    </row>
    <row r="128" spans="1:24" ht="15.75">
      <c r="A128" s="182">
        <v>111</v>
      </c>
      <c r="B128" s="62" t="s">
        <v>177</v>
      </c>
      <c r="C128" s="63" t="s">
        <v>135</v>
      </c>
      <c r="D128" s="64">
        <f>1049535.38*1627.666</f>
        <v>1708293053.8230798</v>
      </c>
      <c r="E128" s="72">
        <f t="shared" si="50"/>
        <v>1.0037479265800875E-3</v>
      </c>
      <c r="F128" s="64">
        <f>1.090643*1627.666</f>
        <v>1775.2025292379999</v>
      </c>
      <c r="G128" s="64">
        <f>1.11452*1627.666</f>
        <v>1814.06631032</v>
      </c>
      <c r="H128" s="74">
        <v>39</v>
      </c>
      <c r="I128" s="67">
        <v>2.5999999999999999E-3</v>
      </c>
      <c r="J128" s="67">
        <v>8.1699999999999995E-2</v>
      </c>
      <c r="K128" s="64">
        <f>1076668.95*1640.428</f>
        <v>1766197892.3106</v>
      </c>
      <c r="L128" s="72">
        <f t="shared" si="51"/>
        <v>1.0237346055229398E-3</v>
      </c>
      <c r="M128" s="64">
        <f>1.09*1640.428</f>
        <v>1788.0665200000003</v>
      </c>
      <c r="N128" s="64">
        <f>1.12*1640.428</f>
        <v>1837.2793600000002</v>
      </c>
      <c r="O128" s="74">
        <v>38</v>
      </c>
      <c r="P128" s="67">
        <v>1.6000000000000001E-3</v>
      </c>
      <c r="Q128" s="67">
        <v>0.1028</v>
      </c>
      <c r="R128" s="76">
        <f t="shared" si="52"/>
        <v>3.3896314427979378E-2</v>
      </c>
      <c r="S128" s="76">
        <f t="shared" si="53"/>
        <v>1.2796141766121826E-2</v>
      </c>
      <c r="T128" s="76">
        <f t="shared" si="54"/>
        <v>-2.564102564102564E-2</v>
      </c>
      <c r="U128" s="76">
        <f t="shared" si="55"/>
        <v>-9.999999999999998E-4</v>
      </c>
      <c r="V128" s="77">
        <f t="shared" si="56"/>
        <v>2.1100000000000008E-2</v>
      </c>
      <c r="X128" s="35"/>
    </row>
    <row r="129" spans="1:24" ht="15.75">
      <c r="A129" s="182">
        <v>112</v>
      </c>
      <c r="B129" s="62" t="s">
        <v>178</v>
      </c>
      <c r="C129" s="63" t="s">
        <v>44</v>
      </c>
      <c r="D129" s="65">
        <f>1907839.86*1627.666</f>
        <v>3105326073.5667601</v>
      </c>
      <c r="E129" s="72">
        <f t="shared" si="50"/>
        <v>1.8246076694640298E-3</v>
      </c>
      <c r="F129" s="64">
        <f>10.45508*1627.666</f>
        <v>17017.37824328</v>
      </c>
      <c r="G129" s="64">
        <f>10.45508*1627.666</f>
        <v>17017.37824328</v>
      </c>
      <c r="H129" s="74">
        <v>68</v>
      </c>
      <c r="I129" s="67">
        <v>7.7700000000000005E-2</v>
      </c>
      <c r="J129" s="67">
        <v>9.7900000000000001E-2</v>
      </c>
      <c r="K129" s="65">
        <f>1948594.13*1640.428</f>
        <v>3196528371.4876399</v>
      </c>
      <c r="L129" s="72">
        <f t="shared" si="51"/>
        <v>1.852791652438631E-3</v>
      </c>
      <c r="M129" s="64">
        <f xml:space="preserve">  10.48*1640.428</f>
        <v>17191.685440000001</v>
      </c>
      <c r="N129" s="64">
        <f xml:space="preserve">  10.48*1640.428</f>
        <v>17191.685440000001</v>
      </c>
      <c r="O129" s="74">
        <v>68</v>
      </c>
      <c r="P129" s="67">
        <v>7.7299999999999994E-2</v>
      </c>
      <c r="Q129" s="67">
        <v>9.7500000000000003E-2</v>
      </c>
      <c r="R129" s="76">
        <f t="shared" si="52"/>
        <v>2.9369636476251074E-2</v>
      </c>
      <c r="S129" s="76">
        <f t="shared" si="53"/>
        <v>1.0242893718886073E-2</v>
      </c>
      <c r="T129" s="76">
        <f t="shared" si="54"/>
        <v>0</v>
      </c>
      <c r="U129" s="76">
        <f t="shared" si="55"/>
        <v>-4.0000000000001146E-4</v>
      </c>
      <c r="V129" s="77">
        <f t="shared" si="56"/>
        <v>-3.9999999999999758E-4</v>
      </c>
      <c r="X129" s="35"/>
    </row>
    <row r="130" spans="1:24" ht="15.75">
      <c r="A130" s="182">
        <v>113</v>
      </c>
      <c r="B130" s="63" t="s">
        <v>179</v>
      </c>
      <c r="C130" s="134" t="s">
        <v>48</v>
      </c>
      <c r="D130" s="64">
        <v>21411019433</v>
      </c>
      <c r="E130" s="72">
        <f t="shared" si="50"/>
        <v>1.2580550107455665E-2</v>
      </c>
      <c r="F130" s="64">
        <f>1.0541*1627.666</f>
        <v>1715.7227306</v>
      </c>
      <c r="G130" s="64">
        <f>1.0541*1627.666</f>
        <v>1715.7227306</v>
      </c>
      <c r="H130" s="74">
        <v>371</v>
      </c>
      <c r="I130" s="67">
        <v>7.3000000000000001E-3</v>
      </c>
      <c r="J130" s="67">
        <v>8.9099999999999999E-2</v>
      </c>
      <c r="K130" s="64">
        <v>21411019433</v>
      </c>
      <c r="L130" s="72">
        <f t="shared" si="51"/>
        <v>1.2410388229152969E-2</v>
      </c>
      <c r="M130" s="64">
        <f>1.0541*1640.428</f>
        <v>1729.1751548000002</v>
      </c>
      <c r="N130" s="64">
        <f>1.0541*1640.428</f>
        <v>1729.1751548000002</v>
      </c>
      <c r="O130" s="74">
        <v>371</v>
      </c>
      <c r="P130" s="67">
        <v>7.3000000000000001E-3</v>
      </c>
      <c r="Q130" s="67">
        <v>8.9099999999999999E-2</v>
      </c>
      <c r="R130" s="76">
        <f t="shared" si="52"/>
        <v>0</v>
      </c>
      <c r="S130" s="76">
        <f t="shared" si="53"/>
        <v>7.8406749296232835E-3</v>
      </c>
      <c r="T130" s="76">
        <f t="shared" si="54"/>
        <v>0</v>
      </c>
      <c r="U130" s="76">
        <f t="shared" si="55"/>
        <v>0</v>
      </c>
      <c r="V130" s="77">
        <f t="shared" si="56"/>
        <v>0</v>
      </c>
      <c r="X130" s="35"/>
    </row>
    <row r="131" spans="1:24">
      <c r="A131" s="182">
        <v>114</v>
      </c>
      <c r="B131" s="62" t="s">
        <v>180</v>
      </c>
      <c r="C131" s="63" t="s">
        <v>92</v>
      </c>
      <c r="D131" s="65">
        <v>542862964.26999998</v>
      </c>
      <c r="E131" s="72">
        <f t="shared" si="50"/>
        <v>3.1897195483156557E-4</v>
      </c>
      <c r="F131" s="64">
        <f>1.09*1631.94</f>
        <v>1778.8146000000002</v>
      </c>
      <c r="G131" s="64">
        <f>1.09*1631.94</f>
        <v>1778.8146000000002</v>
      </c>
      <c r="H131" s="74">
        <v>3</v>
      </c>
      <c r="I131" s="67">
        <v>7.5859999999999999E-3</v>
      </c>
      <c r="J131" s="67">
        <v>5.8202999999999998E-2</v>
      </c>
      <c r="K131" s="65">
        <v>554123606.86000001</v>
      </c>
      <c r="L131" s="72">
        <f t="shared" si="51"/>
        <v>3.2118457085102825E-4</v>
      </c>
      <c r="M131" s="64">
        <f>1.1*1663</f>
        <v>1829.3000000000002</v>
      </c>
      <c r="N131" s="64">
        <f>1.1*1663</f>
        <v>1829.3000000000002</v>
      </c>
      <c r="O131" s="74">
        <v>3</v>
      </c>
      <c r="P131" s="67">
        <v>1.6789999999999999E-3</v>
      </c>
      <c r="Q131" s="67">
        <v>5.9979999999999999E-2</v>
      </c>
      <c r="R131" s="76">
        <f t="shared" si="52"/>
        <v>2.0743066540084332E-2</v>
      </c>
      <c r="S131" s="76">
        <f t="shared" si="53"/>
        <v>2.8381485063142625E-2</v>
      </c>
      <c r="T131" s="76">
        <f t="shared" si="54"/>
        <v>0</v>
      </c>
      <c r="U131" s="76">
        <f t="shared" si="55"/>
        <v>-5.9069999999999999E-3</v>
      </c>
      <c r="V131" s="77">
        <f t="shared" si="56"/>
        <v>1.7770000000000008E-3</v>
      </c>
    </row>
    <row r="132" spans="1:24">
      <c r="A132" s="182">
        <v>115</v>
      </c>
      <c r="B132" s="62" t="s">
        <v>181</v>
      </c>
      <c r="C132" s="63" t="s">
        <v>50</v>
      </c>
      <c r="D132" s="65">
        <v>983744712666.13</v>
      </c>
      <c r="E132" s="72">
        <f t="shared" si="50"/>
        <v>0.57802243790251684</v>
      </c>
      <c r="F132" s="64" t="s">
        <v>182</v>
      </c>
      <c r="G132" s="64" t="s">
        <v>183</v>
      </c>
      <c r="H132" s="74">
        <v>8562</v>
      </c>
      <c r="I132" s="67">
        <v>1.4E-3</v>
      </c>
      <c r="J132" s="67">
        <v>5.8500000000000003E-2</v>
      </c>
      <c r="K132" s="65">
        <v>1012282993944.41</v>
      </c>
      <c r="L132" s="72">
        <f t="shared" si="51"/>
        <v>0.58674576387786659</v>
      </c>
      <c r="M132" s="64">
        <v>2581.81</v>
      </c>
      <c r="N132" s="64">
        <v>2581.81</v>
      </c>
      <c r="O132" s="74">
        <v>8622</v>
      </c>
      <c r="P132" s="67">
        <v>1.4E-3</v>
      </c>
      <c r="Q132" s="67">
        <v>5.9900000000000002E-2</v>
      </c>
      <c r="R132" s="76">
        <f t="shared" si="52"/>
        <v>2.9009844638387954E-2</v>
      </c>
      <c r="S132" s="76" t="e">
        <f t="shared" si="53"/>
        <v>#VALUE!</v>
      </c>
      <c r="T132" s="76">
        <f t="shared" si="54"/>
        <v>7.0077084793272598E-3</v>
      </c>
      <c r="U132" s="76">
        <f t="shared" si="55"/>
        <v>0</v>
      </c>
      <c r="V132" s="77">
        <f t="shared" si="56"/>
        <v>1.3999999999999985E-3</v>
      </c>
    </row>
    <row r="133" spans="1:24" ht="16.5" customHeight="1">
      <c r="A133" s="182">
        <v>116</v>
      </c>
      <c r="B133" s="62" t="s">
        <v>184</v>
      </c>
      <c r="C133" s="63" t="s">
        <v>53</v>
      </c>
      <c r="D133" s="65">
        <f>68151913.61*1627.666</f>
        <v>110928552617.93425</v>
      </c>
      <c r="E133" s="72">
        <f t="shared" si="50"/>
        <v>6.5178690763624147E-2</v>
      </c>
      <c r="F133" s="64">
        <f>1.1444*1627.666</f>
        <v>1862.7009704</v>
      </c>
      <c r="G133" s="64">
        <f>1.1444*1627.666</f>
        <v>1862.7009704</v>
      </c>
      <c r="H133" s="74">
        <v>409</v>
      </c>
      <c r="I133" s="67">
        <v>0.10050000000000001</v>
      </c>
      <c r="J133" s="67">
        <v>8.9099999999999999E-2</v>
      </c>
      <c r="K133" s="65">
        <f>69460396.42*1600.78</f>
        <v>111190813381.2076</v>
      </c>
      <c r="L133" s="72">
        <f t="shared" si="51"/>
        <v>6.4449110697142348E-2</v>
      </c>
      <c r="M133" s="64">
        <f>1.1465*1600.78</f>
        <v>1835.2942700000001</v>
      </c>
      <c r="N133" s="64">
        <f>1.1465*1600.78</f>
        <v>1835.2942700000001</v>
      </c>
      <c r="O133" s="74">
        <v>416</v>
      </c>
      <c r="P133" s="67">
        <v>0.1003</v>
      </c>
      <c r="Q133" s="67">
        <v>8.9300000000000004E-2</v>
      </c>
      <c r="R133" s="76">
        <f t="shared" si="52"/>
        <v>2.364231364098275E-3</v>
      </c>
      <c r="S133" s="76">
        <f t="shared" si="53"/>
        <v>-1.4713419295698598E-2</v>
      </c>
      <c r="T133" s="76">
        <f t="shared" si="54"/>
        <v>1.7114914425427872E-2</v>
      </c>
      <c r="U133" s="76">
        <f t="shared" si="55"/>
        <v>-2.0000000000000573E-4</v>
      </c>
      <c r="V133" s="77">
        <f t="shared" si="56"/>
        <v>2.0000000000000573E-4</v>
      </c>
    </row>
    <row r="134" spans="1:24" ht="16.5" customHeight="1">
      <c r="A134" s="182">
        <v>117</v>
      </c>
      <c r="B134" s="62" t="s">
        <v>185</v>
      </c>
      <c r="C134" s="63" t="s">
        <v>97</v>
      </c>
      <c r="D134" s="64">
        <v>669071797.59850001</v>
      </c>
      <c r="E134" s="72">
        <v>0</v>
      </c>
      <c r="F134" s="64">
        <v>164667.91750000001</v>
      </c>
      <c r="G134" s="64">
        <v>164667.91750000001</v>
      </c>
      <c r="H134" s="74">
        <v>19</v>
      </c>
      <c r="I134" s="67">
        <v>8.8617565970849899E-4</v>
      </c>
      <c r="J134" s="67">
        <v>3.5946428571428497E-2</v>
      </c>
      <c r="K134" s="64">
        <v>687688869.05012882</v>
      </c>
      <c r="L134" s="72">
        <f t="shared" si="51"/>
        <v>3.9860249870332437E-4</v>
      </c>
      <c r="M134" s="64">
        <v>169260.14</v>
      </c>
      <c r="N134" s="64">
        <v>169260.14</v>
      </c>
      <c r="O134" s="74">
        <v>20</v>
      </c>
      <c r="P134" s="67">
        <v>1.1999999999999999E-3</v>
      </c>
      <c r="Q134" s="67">
        <v>3.7900000000000003E-2</v>
      </c>
      <c r="R134" s="76">
        <f t="shared" si="52"/>
        <v>2.7825222223461031E-2</v>
      </c>
      <c r="S134" s="76">
        <f t="shared" si="53"/>
        <v>2.788777905082818E-2</v>
      </c>
      <c r="T134" s="76">
        <f t="shared" si="54"/>
        <v>5.2631578947368418E-2</v>
      </c>
      <c r="U134" s="76">
        <f t="shared" si="55"/>
        <v>3.1382434029150091E-4</v>
      </c>
      <c r="V134" s="77">
        <f t="shared" si="56"/>
        <v>1.9535714285715058E-3</v>
      </c>
    </row>
    <row r="135" spans="1:24">
      <c r="A135" s="182">
        <v>118</v>
      </c>
      <c r="B135" s="62" t="s">
        <v>186</v>
      </c>
      <c r="C135" s="63" t="s">
        <v>111</v>
      </c>
      <c r="D135" s="64">
        <f>1035191.21*1627.666</f>
        <v>1684945536.0158598</v>
      </c>
      <c r="E135" s="72">
        <f>(D135/$D$136)</f>
        <v>9.9002954112078828E-4</v>
      </c>
      <c r="F135" s="64">
        <f>1.2229*1627.666</f>
        <v>1990.4727514000001</v>
      </c>
      <c r="G135" s="64">
        <f>1.2229*1627.666</f>
        <v>1990.4727514000001</v>
      </c>
      <c r="H135" s="74">
        <v>55</v>
      </c>
      <c r="I135" s="67">
        <v>5.6740000000000002E-3</v>
      </c>
      <c r="J135" s="67">
        <v>0.10942200000000001</v>
      </c>
      <c r="K135" s="64">
        <f>1052549.48*1640.428</f>
        <v>1726631638.37744</v>
      </c>
      <c r="L135" s="72">
        <f t="shared" si="51"/>
        <v>1.000800967373653E-3</v>
      </c>
      <c r="M135" s="64">
        <f>1.2435*1640.428</f>
        <v>2039.8722180000002</v>
      </c>
      <c r="N135" s="64">
        <f>1.2435*1640.428</f>
        <v>2039.8722180000002</v>
      </c>
      <c r="O135" s="74">
        <v>55</v>
      </c>
      <c r="P135" s="67">
        <v>1.6827999999999999E-2</v>
      </c>
      <c r="Q135" s="67">
        <v>0.12809100000000001</v>
      </c>
      <c r="R135" s="76">
        <f t="shared" si="52"/>
        <v>2.4740326301673263E-2</v>
      </c>
      <c r="S135" s="76">
        <f t="shared" si="53"/>
        <v>2.481795672171596E-2</v>
      </c>
      <c r="T135" s="76">
        <f t="shared" si="54"/>
        <v>0</v>
      </c>
      <c r="U135" s="76">
        <f t="shared" si="55"/>
        <v>1.1153999999999999E-2</v>
      </c>
      <c r="V135" s="77">
        <f t="shared" si="56"/>
        <v>1.8669000000000005E-2</v>
      </c>
    </row>
    <row r="136" spans="1:24">
      <c r="A136" s="181"/>
      <c r="B136" s="81"/>
      <c r="C136" s="104" t="s">
        <v>54</v>
      </c>
      <c r="D136" s="96">
        <f>SUM(D106:D135)</f>
        <v>1701914403592.8203</v>
      </c>
      <c r="E136" s="84">
        <f>(D136/$D$206)</f>
        <v>0.47162073974692414</v>
      </c>
      <c r="F136" s="85"/>
      <c r="G136" s="91"/>
      <c r="H136" s="87">
        <f>SUM(H106:H135)</f>
        <v>20266</v>
      </c>
      <c r="I136" s="105"/>
      <c r="J136" s="105"/>
      <c r="K136" s="96">
        <f>SUM(K106:K135)</f>
        <v>1725249769600.5874</v>
      </c>
      <c r="L136" s="84">
        <f>(K136/$K$206)</f>
        <v>0.47268981605168187</v>
      </c>
      <c r="M136" s="85"/>
      <c r="N136" s="91"/>
      <c r="O136" s="87">
        <f>SUM(O106:O135)</f>
        <v>20574</v>
      </c>
      <c r="P136" s="105"/>
      <c r="Q136" s="105"/>
      <c r="R136" s="76">
        <f t="shared" si="52"/>
        <v>1.3711245382555696E-2</v>
      </c>
      <c r="S136" s="76" t="e">
        <f t="shared" si="53"/>
        <v>#DIV/0!</v>
      </c>
      <c r="T136" s="76">
        <f t="shared" si="54"/>
        <v>1.5197868350932597E-2</v>
      </c>
      <c r="U136" s="76">
        <f t="shared" si="55"/>
        <v>0</v>
      </c>
      <c r="V136" s="77">
        <f t="shared" si="56"/>
        <v>0</v>
      </c>
    </row>
    <row r="137" spans="1:24" ht="6" customHeight="1">
      <c r="A137" s="181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</row>
    <row r="138" spans="1:24">
      <c r="A138" s="136" t="s">
        <v>290</v>
      </c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</row>
    <row r="139" spans="1:24">
      <c r="A139" s="182">
        <v>119</v>
      </c>
      <c r="B139" s="62" t="s">
        <v>187</v>
      </c>
      <c r="C139" s="63" t="s">
        <v>188</v>
      </c>
      <c r="D139" s="65">
        <v>2443625315.5261598</v>
      </c>
      <c r="E139" s="72">
        <f>(D139/$D$144)</f>
        <v>2.4754836771979559E-2</v>
      </c>
      <c r="F139" s="99">
        <v>115.32</v>
      </c>
      <c r="G139" s="99">
        <v>115.32</v>
      </c>
      <c r="H139" s="74">
        <v>7</v>
      </c>
      <c r="I139" s="67">
        <v>6.7000000000000002E-3</v>
      </c>
      <c r="J139" s="67">
        <v>0.12820000000000001</v>
      </c>
      <c r="K139" s="184">
        <v>2456845221.6700001</v>
      </c>
      <c r="L139" s="72">
        <f>(K139/$K$144)</f>
        <v>2.4874833662449105E-2</v>
      </c>
      <c r="M139" s="99">
        <v>115.78</v>
      </c>
      <c r="N139" s="99">
        <v>115.78</v>
      </c>
      <c r="O139" s="74">
        <v>7</v>
      </c>
      <c r="P139" s="67">
        <v>5.4000000000000003E-3</v>
      </c>
      <c r="Q139" s="67">
        <v>0.13270000000000001</v>
      </c>
      <c r="R139" s="76">
        <f t="shared" ref="R139:R144" si="57">((K139-D139)/D139)</f>
        <v>5.4099562890613656E-3</v>
      </c>
      <c r="S139" s="76">
        <f t="shared" ref="S139:T144" si="58">((N139-G139)/G139)</f>
        <v>3.9889004509192508E-3</v>
      </c>
      <c r="T139" s="76">
        <f t="shared" si="58"/>
        <v>0</v>
      </c>
      <c r="U139" s="76">
        <f t="shared" ref="U139:V144" si="59">P139-I139</f>
        <v>-1.2999999999999999E-3</v>
      </c>
      <c r="V139" s="77">
        <f t="shared" si="59"/>
        <v>4.500000000000004E-3</v>
      </c>
    </row>
    <row r="140" spans="1:24">
      <c r="A140" s="182">
        <v>120</v>
      </c>
      <c r="B140" s="62" t="s">
        <v>189</v>
      </c>
      <c r="C140" s="63" t="s">
        <v>48</v>
      </c>
      <c r="D140" s="65">
        <v>53749983529</v>
      </c>
      <c r="E140" s="72">
        <f>(D140/$D$144)</f>
        <v>0.54450740066526404</v>
      </c>
      <c r="F140" s="99">
        <v>102.5</v>
      </c>
      <c r="G140" s="99">
        <v>102.5</v>
      </c>
      <c r="H140" s="74">
        <v>666</v>
      </c>
      <c r="I140" s="67">
        <v>0</v>
      </c>
      <c r="J140" s="67">
        <v>7.6999999999999999E-2</v>
      </c>
      <c r="K140" s="65">
        <v>53749983529</v>
      </c>
      <c r="L140" s="72">
        <f>(K140/$K$144)</f>
        <v>0.54420273928954932</v>
      </c>
      <c r="M140" s="99">
        <v>102.5</v>
      </c>
      <c r="N140" s="99">
        <v>102.5</v>
      </c>
      <c r="O140" s="74">
        <v>666</v>
      </c>
      <c r="P140" s="67">
        <v>0</v>
      </c>
      <c r="Q140" s="67">
        <v>7.6999999999999999E-2</v>
      </c>
      <c r="R140" s="76">
        <f t="shared" si="57"/>
        <v>0</v>
      </c>
      <c r="S140" s="76">
        <f t="shared" si="58"/>
        <v>0</v>
      </c>
      <c r="T140" s="76">
        <f t="shared" si="58"/>
        <v>0</v>
      </c>
      <c r="U140" s="76">
        <f t="shared" si="59"/>
        <v>0</v>
      </c>
      <c r="V140" s="77">
        <f t="shared" si="59"/>
        <v>0</v>
      </c>
    </row>
    <row r="141" spans="1:24" ht="15.75" customHeight="1">
      <c r="A141" s="182">
        <v>121</v>
      </c>
      <c r="B141" s="62" t="s">
        <v>190</v>
      </c>
      <c r="C141" s="63" t="s">
        <v>145</v>
      </c>
      <c r="D141" s="65">
        <v>2539563449.6145</v>
      </c>
      <c r="E141" s="72">
        <f>(D141/$D$144)</f>
        <v>2.5726725888725668E-2</v>
      </c>
      <c r="F141" s="99">
        <v>141.47817248072499</v>
      </c>
      <c r="G141" s="99">
        <v>141.47817248072499</v>
      </c>
      <c r="H141" s="74">
        <v>2907</v>
      </c>
      <c r="I141" s="67">
        <v>0.47299999999999998</v>
      </c>
      <c r="J141" s="67">
        <v>6.4003864159465795E-2</v>
      </c>
      <c r="K141" s="65">
        <v>2545322253.6641102</v>
      </c>
      <c r="L141" s="72">
        <f>(K141/$K$144)</f>
        <v>2.5770637530917743E-2</v>
      </c>
      <c r="M141" s="99">
        <v>141.76611268320599</v>
      </c>
      <c r="N141" s="99">
        <v>141.76611268320599</v>
      </c>
      <c r="O141" s="74">
        <v>2834</v>
      </c>
      <c r="P141" s="67">
        <v>0.14897861947176999</v>
      </c>
      <c r="Q141" s="67">
        <v>6.4003864159465795E-2</v>
      </c>
      <c r="R141" s="76">
        <f t="shared" si="57"/>
        <v>2.2676354278465898E-3</v>
      </c>
      <c r="S141" s="76">
        <f t="shared" si="58"/>
        <v>2.0352270419680837E-3</v>
      </c>
      <c r="T141" s="76">
        <f t="shared" si="58"/>
        <v>-2.5111799105607156E-2</v>
      </c>
      <c r="U141" s="76">
        <f t="shared" si="59"/>
        <v>-0.32402138052822999</v>
      </c>
      <c r="V141" s="77">
        <f t="shared" si="59"/>
        <v>0</v>
      </c>
    </row>
    <row r="142" spans="1:24">
      <c r="A142" s="182">
        <v>122</v>
      </c>
      <c r="B142" s="62" t="s">
        <v>191</v>
      </c>
      <c r="C142" s="63" t="s">
        <v>145</v>
      </c>
      <c r="D142" s="65">
        <v>10227681312.85</v>
      </c>
      <c r="E142" s="72">
        <f>(D142/$D$144)</f>
        <v>0.10361023019640465</v>
      </c>
      <c r="F142" s="99">
        <v>57.52</v>
      </c>
      <c r="G142" s="99">
        <v>57.52</v>
      </c>
      <c r="H142" s="74">
        <v>5260</v>
      </c>
      <c r="I142" s="67">
        <v>5.4600000000000003E-2</v>
      </c>
      <c r="J142" s="67">
        <v>0.20119999999999999</v>
      </c>
      <c r="K142" s="65">
        <v>10244265053.780001</v>
      </c>
      <c r="L142" s="72">
        <f>(K142/$K$144)</f>
        <v>0.10372016395628092</v>
      </c>
      <c r="M142" s="99">
        <v>57.6</v>
      </c>
      <c r="N142" s="99">
        <v>57.6</v>
      </c>
      <c r="O142" s="74">
        <v>5260</v>
      </c>
      <c r="P142" s="67">
        <v>7.2720047685282105E-2</v>
      </c>
      <c r="Q142" s="67">
        <v>0.20145044319097499</v>
      </c>
      <c r="R142" s="76">
        <f t="shared" si="57"/>
        <v>1.621456557232047E-3</v>
      </c>
      <c r="S142" s="76">
        <f t="shared" si="58"/>
        <v>1.3908205841446156E-3</v>
      </c>
      <c r="T142" s="76">
        <f t="shared" si="58"/>
        <v>0</v>
      </c>
      <c r="U142" s="76">
        <f t="shared" si="59"/>
        <v>1.8120047685282102E-2</v>
      </c>
      <c r="V142" s="77">
        <f t="shared" si="59"/>
        <v>2.5044319097500267E-4</v>
      </c>
    </row>
    <row r="143" spans="1:24">
      <c r="A143" s="182">
        <v>123</v>
      </c>
      <c r="B143" s="62" t="s">
        <v>192</v>
      </c>
      <c r="C143" s="63" t="s">
        <v>50</v>
      </c>
      <c r="D143" s="65">
        <v>29752191364.169998</v>
      </c>
      <c r="E143" s="72">
        <f>(D143/$D$144)</f>
        <v>0.30140080647762613</v>
      </c>
      <c r="F143" s="99">
        <v>5.15</v>
      </c>
      <c r="G143" s="99">
        <v>5.15</v>
      </c>
      <c r="H143" s="74">
        <v>208159</v>
      </c>
      <c r="I143" s="67">
        <v>1.9800000000000002E-2</v>
      </c>
      <c r="J143" s="67">
        <v>-0.1953</v>
      </c>
      <c r="K143" s="65">
        <v>29771891501.619999</v>
      </c>
      <c r="L143" s="72">
        <f>(K143/$K$144)</f>
        <v>0.301431625560803</v>
      </c>
      <c r="M143" s="99">
        <v>5.15</v>
      </c>
      <c r="N143" s="99">
        <v>5.15</v>
      </c>
      <c r="O143" s="74">
        <v>208159</v>
      </c>
      <c r="P143" s="67">
        <v>0</v>
      </c>
      <c r="Q143" s="67">
        <v>-0.1953</v>
      </c>
      <c r="R143" s="76">
        <f t="shared" si="57"/>
        <v>6.6214072129575194E-4</v>
      </c>
      <c r="S143" s="76">
        <f t="shared" si="58"/>
        <v>0</v>
      </c>
      <c r="T143" s="76">
        <f t="shared" si="58"/>
        <v>0</v>
      </c>
      <c r="U143" s="76">
        <f t="shared" si="59"/>
        <v>-1.9800000000000002E-2</v>
      </c>
      <c r="V143" s="77">
        <f t="shared" si="59"/>
        <v>0</v>
      </c>
    </row>
    <row r="144" spans="1:24">
      <c r="A144" s="181"/>
      <c r="B144" s="106"/>
      <c r="C144" s="82" t="s">
        <v>54</v>
      </c>
      <c r="D144" s="83">
        <f>SUM(D139:D143)</f>
        <v>98713044971.16066</v>
      </c>
      <c r="E144" s="84">
        <f>(D144/$D$206)</f>
        <v>2.7354559779087691E-2</v>
      </c>
      <c r="F144" s="85"/>
      <c r="G144" s="107"/>
      <c r="H144" s="87">
        <f>SUM(H139:H143)</f>
        <v>216999</v>
      </c>
      <c r="I144" s="108"/>
      <c r="J144" s="108"/>
      <c r="K144" s="83">
        <f>SUM(K139:K143)</f>
        <v>98768307559.7341</v>
      </c>
      <c r="L144" s="84">
        <f>(K144/$K$206)</f>
        <v>2.706087776667555E-2</v>
      </c>
      <c r="M144" s="85"/>
      <c r="N144" s="107"/>
      <c r="O144" s="87">
        <f>SUM(O139:O143)</f>
        <v>216926</v>
      </c>
      <c r="P144" s="108"/>
      <c r="Q144" s="108"/>
      <c r="R144" s="76">
        <f t="shared" si="57"/>
        <v>5.5983065449541846E-4</v>
      </c>
      <c r="S144" s="76" t="e">
        <f t="shared" si="58"/>
        <v>#DIV/0!</v>
      </c>
      <c r="T144" s="76">
        <f t="shared" si="58"/>
        <v>-3.3640708021695953E-4</v>
      </c>
      <c r="U144" s="76">
        <f t="shared" si="59"/>
        <v>0</v>
      </c>
      <c r="V144" s="77">
        <f t="shared" si="59"/>
        <v>0</v>
      </c>
    </row>
    <row r="145" spans="1:22" ht="5.25" customHeight="1">
      <c r="A145" s="181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</row>
    <row r="146" spans="1:22" ht="15" customHeight="1">
      <c r="A146" s="136" t="s">
        <v>275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</row>
    <row r="147" spans="1:22">
      <c r="A147" s="182">
        <v>124</v>
      </c>
      <c r="B147" s="62" t="s">
        <v>193</v>
      </c>
      <c r="C147" s="63" t="s">
        <v>57</v>
      </c>
      <c r="D147" s="64">
        <v>249397624.09999999</v>
      </c>
      <c r="E147" s="72">
        <f t="shared" ref="E147:E175" si="60">(D147/$D$176)</f>
        <v>4.8175322008257816E-3</v>
      </c>
      <c r="F147" s="64">
        <v>5.5780000000000003</v>
      </c>
      <c r="G147" s="64">
        <v>5.6584000000000003</v>
      </c>
      <c r="H147" s="78">
        <v>11835</v>
      </c>
      <c r="I147" s="79">
        <v>2.5055663E-3</v>
      </c>
      <c r="J147" s="79">
        <v>0.1088702325</v>
      </c>
      <c r="K147" s="64">
        <v>250504932.30000001</v>
      </c>
      <c r="L147" s="94">
        <f t="shared" ref="L147:L175" si="61">(K147/$K$176)</f>
        <v>4.8385425660206665E-3</v>
      </c>
      <c r="M147" s="64">
        <v>5.6</v>
      </c>
      <c r="N147" s="64">
        <v>5.68</v>
      </c>
      <c r="O147" s="78">
        <v>11835</v>
      </c>
      <c r="P147" s="79">
        <v>5.0504336999999998E-3</v>
      </c>
      <c r="Q147" s="79">
        <v>0.11392066620000001</v>
      </c>
      <c r="R147" s="76">
        <f>((K147-D147)/D147)</f>
        <v>4.439930829317062E-3</v>
      </c>
      <c r="S147" s="76">
        <f>((N147-G147)/G147)</f>
        <v>3.8173335218435241E-3</v>
      </c>
      <c r="T147" s="76">
        <f>((O147-H147)/H147)</f>
        <v>0</v>
      </c>
      <c r="U147" s="76">
        <f>P147-I147</f>
        <v>2.5448673999999998E-3</v>
      </c>
      <c r="V147" s="77">
        <f>Q147-J147</f>
        <v>5.0504337000000094E-3</v>
      </c>
    </row>
    <row r="148" spans="1:22">
      <c r="A148" s="182">
        <v>125</v>
      </c>
      <c r="B148" s="62" t="s">
        <v>194</v>
      </c>
      <c r="C148" s="62" t="s">
        <v>195</v>
      </c>
      <c r="D148" s="64">
        <v>538953295.47490299</v>
      </c>
      <c r="E148" s="72">
        <f t="shared" si="60"/>
        <v>1.0410784244882938E-2</v>
      </c>
      <c r="F148" s="64">
        <v>1263.11352198739</v>
      </c>
      <c r="G148" s="64">
        <v>1277.8716530802999</v>
      </c>
      <c r="H148" s="78">
        <v>164</v>
      </c>
      <c r="I148" s="79">
        <v>9.7999999999999997E-3</v>
      </c>
      <c r="J148" s="79">
        <v>0.129</v>
      </c>
      <c r="K148" s="64">
        <v>544637862.02371502</v>
      </c>
      <c r="L148" s="94">
        <f t="shared" si="61"/>
        <v>1.0519766833621885E-2</v>
      </c>
      <c r="M148" s="64">
        <v>1274.8802742795399</v>
      </c>
      <c r="N148" s="64">
        <v>1289.7897078810299</v>
      </c>
      <c r="O148" s="78">
        <v>163</v>
      </c>
      <c r="P148" s="79">
        <v>9.2999999999999992E-3</v>
      </c>
      <c r="Q148" s="79">
        <v>0.13950000000000001</v>
      </c>
      <c r="R148" s="76">
        <f>((K148-D148)/D148)</f>
        <v>1.0547419593757249E-2</v>
      </c>
      <c r="S148" s="76">
        <f>((N148-G148)/G148)</f>
        <v>9.3264881273496074E-3</v>
      </c>
      <c r="T148" s="76">
        <f>((O148-H148)/H148)</f>
        <v>-6.0975609756097563E-3</v>
      </c>
      <c r="U148" s="76">
        <f>P148-I148</f>
        <v>-5.0000000000000044E-4</v>
      </c>
      <c r="V148" s="77">
        <f>Q148-J148</f>
        <v>1.0500000000000009E-2</v>
      </c>
    </row>
    <row r="149" spans="1:22">
      <c r="A149" s="182">
        <v>126</v>
      </c>
      <c r="B149" s="62" t="s">
        <v>196</v>
      </c>
      <c r="C149" s="63" t="s">
        <v>24</v>
      </c>
      <c r="D149" s="64">
        <v>6448024158.8199997</v>
      </c>
      <c r="E149" s="72">
        <f t="shared" si="60"/>
        <v>0.124554370270835</v>
      </c>
      <c r="F149" s="64">
        <v>750.84979999999996</v>
      </c>
      <c r="G149" s="64">
        <v>773.48850000000004</v>
      </c>
      <c r="H149" s="78">
        <v>21323</v>
      </c>
      <c r="I149" s="79">
        <v>-7.9200000000000007E-2</v>
      </c>
      <c r="J149" s="79">
        <v>0.17130000000000001</v>
      </c>
      <c r="K149" s="64">
        <v>6471718616.0799999</v>
      </c>
      <c r="L149" s="94">
        <f t="shared" si="61"/>
        <v>0.12500227325548527</v>
      </c>
      <c r="M149" s="64">
        <v>754.4556</v>
      </c>
      <c r="N149" s="64">
        <v>777.20299999999997</v>
      </c>
      <c r="O149" s="78">
        <v>21326</v>
      </c>
      <c r="P149" s="79">
        <v>0.25109999999999999</v>
      </c>
      <c r="Q149" s="79">
        <v>0.17399999999999999</v>
      </c>
      <c r="R149" s="76">
        <f t="shared" ref="R149:R176" si="62">((K149-D149)/D149)</f>
        <v>3.6746849385775808E-3</v>
      </c>
      <c r="S149" s="76">
        <f t="shared" ref="S149:S176" si="63">((N149-G149)/G149)</f>
        <v>4.8022691998651952E-3</v>
      </c>
      <c r="T149" s="76">
        <f t="shared" ref="T149:T176" si="64">((O149-H149)/H149)</f>
        <v>1.4069314824368054E-4</v>
      </c>
      <c r="U149" s="76">
        <f t="shared" ref="U149:U176" si="65">P149-I149</f>
        <v>0.33029999999999998</v>
      </c>
      <c r="V149" s="77">
        <f t="shared" ref="V149:V176" si="66">Q149-J149</f>
        <v>2.6999999999999802E-3</v>
      </c>
    </row>
    <row r="150" spans="1:22">
      <c r="A150" s="182">
        <v>127</v>
      </c>
      <c r="B150" s="62" t="s">
        <v>197</v>
      </c>
      <c r="C150" s="63" t="s">
        <v>113</v>
      </c>
      <c r="D150" s="64">
        <v>3495994286.9200001</v>
      </c>
      <c r="E150" s="72">
        <f t="shared" si="60"/>
        <v>6.753097633515133E-2</v>
      </c>
      <c r="F150" s="64">
        <v>20.323699999999999</v>
      </c>
      <c r="G150" s="64">
        <v>20.563300000000002</v>
      </c>
      <c r="H150" s="74">
        <v>6197</v>
      </c>
      <c r="I150" s="67">
        <v>7.1999999999999998E-3</v>
      </c>
      <c r="J150" s="67">
        <v>0.1019</v>
      </c>
      <c r="K150" s="64">
        <v>3515410849.8400002</v>
      </c>
      <c r="L150" s="94">
        <f t="shared" si="61"/>
        <v>6.7900719070998206E-2</v>
      </c>
      <c r="M150" s="64">
        <v>20.546800000000001</v>
      </c>
      <c r="N150" s="64">
        <v>20.7912</v>
      </c>
      <c r="O150" s="74">
        <v>6192</v>
      </c>
      <c r="P150" s="67">
        <v>1.23E-2</v>
      </c>
      <c r="Q150" s="67">
        <v>0.11409999999999999</v>
      </c>
      <c r="R150" s="76">
        <f t="shared" si="62"/>
        <v>5.5539458381398642E-3</v>
      </c>
      <c r="S150" s="76">
        <f t="shared" si="63"/>
        <v>1.1082851487844762E-2</v>
      </c>
      <c r="T150" s="76">
        <f t="shared" si="64"/>
        <v>-8.0684202033241891E-4</v>
      </c>
      <c r="U150" s="76">
        <f t="shared" si="65"/>
        <v>5.1000000000000004E-3</v>
      </c>
      <c r="V150" s="77">
        <f t="shared" si="66"/>
        <v>1.2199999999999989E-2</v>
      </c>
    </row>
    <row r="151" spans="1:22">
      <c r="A151" s="182">
        <v>128</v>
      </c>
      <c r="B151" s="62" t="s">
        <v>198</v>
      </c>
      <c r="C151" s="63" t="s">
        <v>121</v>
      </c>
      <c r="D151" s="65">
        <v>1728069090.6101799</v>
      </c>
      <c r="E151" s="72">
        <f t="shared" si="60"/>
        <v>3.3380544499205869E-2</v>
      </c>
      <c r="F151" s="64">
        <v>4.0594000000000001</v>
      </c>
      <c r="G151" s="64">
        <v>4.157</v>
      </c>
      <c r="H151" s="74">
        <v>2746</v>
      </c>
      <c r="I151" s="67">
        <v>8.1900000000000001E-2</v>
      </c>
      <c r="J151" s="67">
        <v>0.438</v>
      </c>
      <c r="K151" s="65">
        <v>1741720884.8275499</v>
      </c>
      <c r="L151" s="94">
        <f t="shared" si="61"/>
        <v>3.3641615604090361E-2</v>
      </c>
      <c r="M151" s="64">
        <v>4.0913000000000004</v>
      </c>
      <c r="N151" s="64">
        <v>4.1901000000000002</v>
      </c>
      <c r="O151" s="74">
        <v>2746</v>
      </c>
      <c r="P151" s="67">
        <v>0.41632358500292299</v>
      </c>
      <c r="Q151" s="67">
        <v>0.44053830992537202</v>
      </c>
      <c r="R151" s="76">
        <f t="shared" si="62"/>
        <v>7.9000280090361398E-3</v>
      </c>
      <c r="S151" s="76">
        <f t="shared" si="63"/>
        <v>7.9624729372143686E-3</v>
      </c>
      <c r="T151" s="76">
        <f t="shared" si="64"/>
        <v>0</v>
      </c>
      <c r="U151" s="76">
        <f t="shared" si="65"/>
        <v>0.33442358500292302</v>
      </c>
      <c r="V151" s="77">
        <f t="shared" si="66"/>
        <v>2.5383099253720176E-3</v>
      </c>
    </row>
    <row r="152" spans="1:22">
      <c r="A152" s="182">
        <v>129</v>
      </c>
      <c r="B152" s="62" t="s">
        <v>199</v>
      </c>
      <c r="C152" s="63" t="s">
        <v>65</v>
      </c>
      <c r="D152" s="64">
        <v>3085891937.34869</v>
      </c>
      <c r="E152" s="72">
        <f t="shared" si="60"/>
        <v>5.9609163600071242E-2</v>
      </c>
      <c r="F152" s="64">
        <v>7151.8025333970099</v>
      </c>
      <c r="G152" s="64">
        <v>7203.3174176213997</v>
      </c>
      <c r="H152" s="74">
        <v>888</v>
      </c>
      <c r="I152" s="67">
        <v>0.28458903423892101</v>
      </c>
      <c r="J152" s="67">
        <v>0.30273343935659802</v>
      </c>
      <c r="K152" s="64">
        <v>3097085558.6217098</v>
      </c>
      <c r="L152" s="94">
        <f t="shared" si="61"/>
        <v>5.9820699610228942E-2</v>
      </c>
      <c r="M152" s="64">
        <v>7116.4714196275399</v>
      </c>
      <c r="N152" s="64">
        <v>7167.4432032413797</v>
      </c>
      <c r="O152" s="74">
        <v>887</v>
      </c>
      <c r="P152" s="67">
        <v>-0.25830026924263</v>
      </c>
      <c r="Q152" s="67">
        <v>0.28782429908996299</v>
      </c>
      <c r="R152" s="76">
        <f t="shared" si="62"/>
        <v>3.6273536145394092E-3</v>
      </c>
      <c r="S152" s="76">
        <f t="shared" si="63"/>
        <v>-4.9802351194827687E-3</v>
      </c>
      <c r="T152" s="76">
        <f t="shared" si="64"/>
        <v>-1.1261261261261261E-3</v>
      </c>
      <c r="U152" s="76">
        <f t="shared" si="65"/>
        <v>-0.54288930348155096</v>
      </c>
      <c r="V152" s="77">
        <f t="shared" si="66"/>
        <v>-1.4909140266635035E-2</v>
      </c>
    </row>
    <row r="153" spans="1:22">
      <c r="A153" s="182">
        <v>130</v>
      </c>
      <c r="B153" s="62" t="s">
        <v>200</v>
      </c>
      <c r="C153" s="63" t="s">
        <v>67</v>
      </c>
      <c r="D153" s="64">
        <v>735274736.38999999</v>
      </c>
      <c r="E153" s="72">
        <f t="shared" si="60"/>
        <v>1.4203061203150064E-2</v>
      </c>
      <c r="F153" s="64">
        <v>185.4</v>
      </c>
      <c r="G153" s="64">
        <v>186.68</v>
      </c>
      <c r="H153" s="74">
        <v>675</v>
      </c>
      <c r="I153" s="67">
        <v>3.5999999999999999E-3</v>
      </c>
      <c r="J153" s="67">
        <v>0.1948</v>
      </c>
      <c r="K153" s="64">
        <v>736524179.47000003</v>
      </c>
      <c r="L153" s="94">
        <f t="shared" si="61"/>
        <v>1.4226081540786651E-2</v>
      </c>
      <c r="M153" s="64">
        <v>185.66</v>
      </c>
      <c r="N153" s="64">
        <v>187.01</v>
      </c>
      <c r="O153" s="74">
        <v>675</v>
      </c>
      <c r="P153" s="67">
        <v>1.6000000000000001E-3</v>
      </c>
      <c r="Q153" s="67">
        <v>0.19650000000000001</v>
      </c>
      <c r="R153" s="76">
        <f t="shared" si="62"/>
        <v>1.6992873794827636E-3</v>
      </c>
      <c r="S153" s="76">
        <f t="shared" si="63"/>
        <v>1.7677308763658886E-3</v>
      </c>
      <c r="T153" s="76">
        <f t="shared" si="64"/>
        <v>0</v>
      </c>
      <c r="U153" s="76">
        <f t="shared" si="65"/>
        <v>-2E-3</v>
      </c>
      <c r="V153" s="77">
        <f t="shared" si="66"/>
        <v>1.7000000000000071E-3</v>
      </c>
    </row>
    <row r="154" spans="1:22">
      <c r="A154" s="182">
        <v>131</v>
      </c>
      <c r="B154" s="62" t="s">
        <v>201</v>
      </c>
      <c r="C154" s="63" t="s">
        <v>69</v>
      </c>
      <c r="D154" s="64">
        <v>3734808.11</v>
      </c>
      <c r="E154" s="72">
        <f t="shared" si="60"/>
        <v>7.2144064718980127E-5</v>
      </c>
      <c r="F154" s="64">
        <v>102.747</v>
      </c>
      <c r="G154" s="64">
        <v>102.99</v>
      </c>
      <c r="H154" s="74">
        <v>0</v>
      </c>
      <c r="I154" s="67">
        <v>0</v>
      </c>
      <c r="J154" s="67">
        <v>0</v>
      </c>
      <c r="K154" s="64">
        <v>3734808.11</v>
      </c>
      <c r="L154" s="94">
        <f t="shared" si="61"/>
        <v>7.2138412007443712E-5</v>
      </c>
      <c r="M154" s="64">
        <v>102.747</v>
      </c>
      <c r="N154" s="64">
        <v>102.99</v>
      </c>
      <c r="O154" s="74">
        <v>0</v>
      </c>
      <c r="P154" s="67">
        <v>0</v>
      </c>
      <c r="Q154" s="67">
        <v>0</v>
      </c>
      <c r="R154" s="76">
        <f t="shared" si="62"/>
        <v>0</v>
      </c>
      <c r="S154" s="76">
        <f t="shared" si="63"/>
        <v>0</v>
      </c>
      <c r="T154" s="76" t="e">
        <f t="shared" si="64"/>
        <v>#DIV/0!</v>
      </c>
      <c r="U154" s="76">
        <f t="shared" si="65"/>
        <v>0</v>
      </c>
      <c r="V154" s="77">
        <f t="shared" si="66"/>
        <v>0</v>
      </c>
    </row>
    <row r="155" spans="1:22">
      <c r="A155" s="182">
        <v>132</v>
      </c>
      <c r="B155" s="62" t="s">
        <v>202</v>
      </c>
      <c r="C155" s="63" t="s">
        <v>126</v>
      </c>
      <c r="D155" s="64">
        <v>189633598.13</v>
      </c>
      <c r="E155" s="72">
        <f t="shared" si="60"/>
        <v>3.663090090158284E-3</v>
      </c>
      <c r="F155" s="64">
        <v>1.4926999999999999</v>
      </c>
      <c r="G155" s="64">
        <v>1.5056</v>
      </c>
      <c r="H155" s="74">
        <v>344</v>
      </c>
      <c r="I155" s="67">
        <v>6.0000000000000001E-3</v>
      </c>
      <c r="J155" s="67">
        <v>1.9699999999999999E-2</v>
      </c>
      <c r="K155" s="64">
        <v>189507855.13999999</v>
      </c>
      <c r="L155" s="94">
        <f t="shared" si="61"/>
        <v>3.6603743298437574E-3</v>
      </c>
      <c r="M155" s="64">
        <v>1.4947999999999999</v>
      </c>
      <c r="N155" s="64">
        <v>1.5077</v>
      </c>
      <c r="O155" s="74">
        <v>359</v>
      </c>
      <c r="P155" s="67">
        <v>1.40684665371471E-3</v>
      </c>
      <c r="Q155" s="67">
        <v>2.11079991802718E-2</v>
      </c>
      <c r="R155" s="76">
        <f t="shared" si="62"/>
        <v>-6.6308392204744552E-4</v>
      </c>
      <c r="S155" s="76">
        <f t="shared" si="63"/>
        <v>1.3947927736450523E-3</v>
      </c>
      <c r="T155" s="76">
        <f t="shared" si="64"/>
        <v>4.3604651162790699E-2</v>
      </c>
      <c r="U155" s="76">
        <f t="shared" si="65"/>
        <v>-4.5931533462852904E-3</v>
      </c>
      <c r="V155" s="77">
        <f t="shared" si="66"/>
        <v>1.407999180271801E-3</v>
      </c>
    </row>
    <row r="156" spans="1:22">
      <c r="A156" s="182">
        <v>133</v>
      </c>
      <c r="B156" s="62" t="s">
        <v>203</v>
      </c>
      <c r="C156" s="63" t="s">
        <v>30</v>
      </c>
      <c r="D156" s="90">
        <v>130675521.34</v>
      </c>
      <c r="E156" s="72">
        <f t="shared" si="60"/>
        <v>2.5242162357678477E-3</v>
      </c>
      <c r="F156" s="64">
        <v>153.80430000000001</v>
      </c>
      <c r="G156" s="64">
        <v>154.48410000000001</v>
      </c>
      <c r="H156" s="74">
        <v>125</v>
      </c>
      <c r="I156" s="67">
        <v>3.1849999999999999E-3</v>
      </c>
      <c r="J156" s="67">
        <v>0.1812</v>
      </c>
      <c r="K156" s="90">
        <v>130675521.34</v>
      </c>
      <c r="L156" s="94">
        <f t="shared" si="61"/>
        <v>2.5240184555860418E-3</v>
      </c>
      <c r="M156" s="64">
        <v>153.80430000000001</v>
      </c>
      <c r="N156" s="64">
        <v>154.48410000000001</v>
      </c>
      <c r="O156" s="74">
        <v>125</v>
      </c>
      <c r="P156" s="67">
        <v>3.1849999999999999E-3</v>
      </c>
      <c r="Q156" s="67">
        <v>0.1812</v>
      </c>
      <c r="R156" s="76">
        <f t="shared" si="62"/>
        <v>0</v>
      </c>
      <c r="S156" s="76">
        <f t="shared" si="63"/>
        <v>0</v>
      </c>
      <c r="T156" s="76">
        <f t="shared" si="64"/>
        <v>0</v>
      </c>
      <c r="U156" s="76">
        <f t="shared" si="65"/>
        <v>0</v>
      </c>
      <c r="V156" s="77">
        <f t="shared" si="66"/>
        <v>0</v>
      </c>
    </row>
    <row r="157" spans="1:22">
      <c r="A157" s="182">
        <v>134</v>
      </c>
      <c r="B157" s="62" t="s">
        <v>204</v>
      </c>
      <c r="C157" s="63" t="s">
        <v>73</v>
      </c>
      <c r="D157" s="90">
        <v>221604087.28</v>
      </c>
      <c r="E157" s="72">
        <f t="shared" si="60"/>
        <v>4.28065355537606E-3</v>
      </c>
      <c r="F157" s="64">
        <v>118.77</v>
      </c>
      <c r="G157" s="64">
        <v>119.91</v>
      </c>
      <c r="H157" s="74">
        <v>41</v>
      </c>
      <c r="I157" s="67">
        <v>-5.0000000000000001E-4</v>
      </c>
      <c r="J157" s="67">
        <v>0.188</v>
      </c>
      <c r="K157" s="90">
        <v>222683574.96000001</v>
      </c>
      <c r="L157" s="94">
        <f t="shared" si="61"/>
        <v>4.3011686289165085E-3</v>
      </c>
      <c r="M157" s="64">
        <v>119.31</v>
      </c>
      <c r="N157" s="64">
        <v>119.94</v>
      </c>
      <c r="O157" s="74">
        <v>40</v>
      </c>
      <c r="P157" s="67">
        <v>2.7000000000000001E-3</v>
      </c>
      <c r="Q157" s="67">
        <v>0.19070000000000001</v>
      </c>
      <c r="R157" s="76">
        <f t="shared" si="62"/>
        <v>4.8712444488266983E-3</v>
      </c>
      <c r="S157" s="76">
        <f t="shared" si="63"/>
        <v>2.5018764073055739E-4</v>
      </c>
      <c r="T157" s="76">
        <f t="shared" si="64"/>
        <v>-2.4390243902439025E-2</v>
      </c>
      <c r="U157" s="76">
        <f t="shared" si="65"/>
        <v>3.2000000000000002E-3</v>
      </c>
      <c r="V157" s="77">
        <f t="shared" si="66"/>
        <v>2.7000000000000079E-3</v>
      </c>
    </row>
    <row r="158" spans="1:22" ht="15.75" customHeight="1">
      <c r="A158" s="182">
        <v>135</v>
      </c>
      <c r="B158" s="62" t="s">
        <v>205</v>
      </c>
      <c r="C158" s="63" t="s">
        <v>76</v>
      </c>
      <c r="D158" s="65">
        <v>305145646.04000002</v>
      </c>
      <c r="E158" s="72">
        <f t="shared" si="60"/>
        <v>5.894398477308856E-3</v>
      </c>
      <c r="F158" s="64">
        <v>1.2390000000000001</v>
      </c>
      <c r="G158" s="64">
        <v>1.2525999999999999</v>
      </c>
      <c r="H158" s="74">
        <v>103</v>
      </c>
      <c r="I158" s="67">
        <v>-4.0299999999999998E-4</v>
      </c>
      <c r="J158" s="67">
        <v>6.4689999999999998E-2</v>
      </c>
      <c r="K158" s="65">
        <v>304705739.11000001</v>
      </c>
      <c r="L158" s="94">
        <f t="shared" si="61"/>
        <v>5.8854397606386902E-3</v>
      </c>
      <c r="M158" s="64">
        <v>1.2373000000000001</v>
      </c>
      <c r="N158" s="64">
        <v>1.2506999999999999</v>
      </c>
      <c r="O158" s="74">
        <v>103</v>
      </c>
      <c r="P158" s="67">
        <v>-1.7750000000000001E-3</v>
      </c>
      <c r="Q158" s="67">
        <v>6.1348E-2</v>
      </c>
      <c r="R158" s="76">
        <f t="shared" si="62"/>
        <v>-1.4416293848818081E-3</v>
      </c>
      <c r="S158" s="76">
        <f t="shared" si="63"/>
        <v>-1.5168449624780559E-3</v>
      </c>
      <c r="T158" s="76">
        <f t="shared" si="64"/>
        <v>0</v>
      </c>
      <c r="U158" s="76">
        <f t="shared" si="65"/>
        <v>-1.3720000000000002E-3</v>
      </c>
      <c r="V158" s="77">
        <f t="shared" si="66"/>
        <v>-3.3419999999999978E-3</v>
      </c>
    </row>
    <row r="159" spans="1:22">
      <c r="A159" s="182">
        <v>136</v>
      </c>
      <c r="B159" s="62" t="s">
        <v>206</v>
      </c>
      <c r="C159" s="63" t="s">
        <v>32</v>
      </c>
      <c r="D159" s="64">
        <v>9043067996.9099998</v>
      </c>
      <c r="E159" s="72">
        <f t="shared" si="60"/>
        <v>0.17468198194182807</v>
      </c>
      <c r="F159" s="64">
        <v>332.83</v>
      </c>
      <c r="G159" s="64">
        <v>335.06</v>
      </c>
      <c r="H159" s="74">
        <v>5463</v>
      </c>
      <c r="I159" s="67">
        <v>1.8E-3</v>
      </c>
      <c r="J159" s="67">
        <v>0.23080000000000001</v>
      </c>
      <c r="K159" s="64">
        <v>9081133707.4699993</v>
      </c>
      <c r="L159" s="94">
        <f t="shared" si="61"/>
        <v>0.17540354031312086</v>
      </c>
      <c r="M159" s="64">
        <v>334.33</v>
      </c>
      <c r="N159" s="64">
        <v>336.56</v>
      </c>
      <c r="O159" s="74">
        <v>5460</v>
      </c>
      <c r="P159" s="67">
        <v>4.4999999999999997E-3</v>
      </c>
      <c r="Q159" s="67">
        <v>0.23630000000000001</v>
      </c>
      <c r="R159" s="76">
        <f t="shared" si="62"/>
        <v>4.2093801100474369E-3</v>
      </c>
      <c r="S159" s="76">
        <f t="shared" si="63"/>
        <v>4.4768101235599595E-3</v>
      </c>
      <c r="T159" s="76">
        <f t="shared" si="64"/>
        <v>-5.4914881933003845E-4</v>
      </c>
      <c r="U159" s="76">
        <f t="shared" si="65"/>
        <v>2.6999999999999997E-3</v>
      </c>
      <c r="V159" s="77">
        <f t="shared" si="66"/>
        <v>5.5000000000000049E-3</v>
      </c>
    </row>
    <row r="160" spans="1:22">
      <c r="A160" s="182">
        <v>137</v>
      </c>
      <c r="B160" s="62" t="s">
        <v>207</v>
      </c>
      <c r="C160" s="63" t="s">
        <v>81</v>
      </c>
      <c r="D160" s="64">
        <v>3094605338.0799999</v>
      </c>
      <c r="E160" s="72">
        <f t="shared" si="60"/>
        <v>5.9777477507444124E-2</v>
      </c>
      <c r="F160" s="64">
        <v>2.1707000000000001</v>
      </c>
      <c r="G160" s="64">
        <v>2.2073999999999998</v>
      </c>
      <c r="H160" s="74">
        <v>10308</v>
      </c>
      <c r="I160" s="67">
        <v>6.0000000000000001E-3</v>
      </c>
      <c r="J160" s="67">
        <v>0.24429999999999999</v>
      </c>
      <c r="K160" s="64">
        <v>3098548632.5900002</v>
      </c>
      <c r="L160" s="94">
        <f t="shared" si="61"/>
        <v>5.9848959116370448E-2</v>
      </c>
      <c r="M160" s="64">
        <v>2.1736</v>
      </c>
      <c r="N160" s="64">
        <v>2.2103000000000002</v>
      </c>
      <c r="O160" s="74">
        <v>10307</v>
      </c>
      <c r="P160" s="67">
        <v>1.2999999999999999E-3</v>
      </c>
      <c r="Q160" s="67">
        <v>0.246</v>
      </c>
      <c r="R160" s="76">
        <f t="shared" si="62"/>
        <v>1.2742479506116231E-3</v>
      </c>
      <c r="S160" s="76">
        <f t="shared" si="63"/>
        <v>1.313762797861895E-3</v>
      </c>
      <c r="T160" s="76">
        <f t="shared" si="64"/>
        <v>-9.7012029491656959E-5</v>
      </c>
      <c r="U160" s="76">
        <f t="shared" si="65"/>
        <v>-4.7000000000000002E-3</v>
      </c>
      <c r="V160" s="77">
        <f t="shared" si="66"/>
        <v>1.7000000000000071E-3</v>
      </c>
    </row>
    <row r="161" spans="1:22">
      <c r="A161" s="182">
        <v>138</v>
      </c>
      <c r="B161" s="62" t="s">
        <v>208</v>
      </c>
      <c r="C161" s="63" t="s">
        <v>83</v>
      </c>
      <c r="D161" s="64">
        <v>220725353.764047</v>
      </c>
      <c r="E161" s="72">
        <f t="shared" si="60"/>
        <v>4.263679347925908E-3</v>
      </c>
      <c r="F161" s="64">
        <v>279.62</v>
      </c>
      <c r="G161" s="64">
        <v>289.13</v>
      </c>
      <c r="H161" s="74">
        <v>39</v>
      </c>
      <c r="I161" s="67">
        <v>6.4427887557139104E-3</v>
      </c>
      <c r="J161" s="67">
        <v>0.18615298373904099</v>
      </c>
      <c r="K161" s="64">
        <v>220482587.13999999</v>
      </c>
      <c r="L161" s="94">
        <f t="shared" si="61"/>
        <v>4.2586561994941239E-3</v>
      </c>
      <c r="M161" s="64">
        <v>277.83</v>
      </c>
      <c r="N161" s="64">
        <v>286.75</v>
      </c>
      <c r="O161" s="74">
        <v>39</v>
      </c>
      <c r="P161" s="67">
        <v>-2.6634992621387102E-3</v>
      </c>
      <c r="Q161" s="67">
        <v>0.16869999999999999</v>
      </c>
      <c r="R161" s="76">
        <f t="shared" si="62"/>
        <v>-1.0998583529580658E-3</v>
      </c>
      <c r="S161" s="76">
        <f t="shared" si="63"/>
        <v>-8.2315913257012263E-3</v>
      </c>
      <c r="T161" s="76">
        <f t="shared" si="64"/>
        <v>0</v>
      </c>
      <c r="U161" s="76">
        <f t="shared" si="65"/>
        <v>-9.106288017852621E-3</v>
      </c>
      <c r="V161" s="77">
        <f t="shared" si="66"/>
        <v>-1.7452983739041E-2</v>
      </c>
    </row>
    <row r="162" spans="1:22">
      <c r="A162" s="182">
        <v>139</v>
      </c>
      <c r="B162" s="62" t="s">
        <v>209</v>
      </c>
      <c r="C162" s="62" t="s">
        <v>85</v>
      </c>
      <c r="D162" s="64">
        <v>58731689.770000003</v>
      </c>
      <c r="E162" s="72">
        <f t="shared" si="60"/>
        <v>1.1345008104906209E-3</v>
      </c>
      <c r="F162" s="64">
        <v>1.1419999999999999</v>
      </c>
      <c r="G162" s="64">
        <v>1.155</v>
      </c>
      <c r="H162" s="74">
        <v>28</v>
      </c>
      <c r="I162" s="67">
        <v>5.3E-3</v>
      </c>
      <c r="J162" s="67">
        <v>0.17499999999999999</v>
      </c>
      <c r="K162" s="64">
        <v>58934953.109999999</v>
      </c>
      <c r="L162" s="94">
        <f t="shared" si="61"/>
        <v>1.1383379825338756E-3</v>
      </c>
      <c r="M162" s="64">
        <v>1.147</v>
      </c>
      <c r="N162" s="64">
        <v>1.1599999999999999</v>
      </c>
      <c r="O162" s="74">
        <v>28</v>
      </c>
      <c r="P162" s="67">
        <v>4.3E-3</v>
      </c>
      <c r="Q162" s="67">
        <v>0.19500000000000001</v>
      </c>
      <c r="R162" s="76">
        <f t="shared" ref="R162" si="67">((K162-D162)/D162)</f>
        <v>3.4608801619023487E-3</v>
      </c>
      <c r="S162" s="76">
        <f t="shared" ref="S162" si="68">((N162-G162)/G162)</f>
        <v>4.3290043290042362E-3</v>
      </c>
      <c r="T162" s="76">
        <f t="shared" ref="T162" si="69">((O162-H162)/H162)</f>
        <v>0</v>
      </c>
      <c r="U162" s="76">
        <f t="shared" ref="U162" si="70">P162-I162</f>
        <v>-1E-3</v>
      </c>
      <c r="V162" s="77">
        <f t="shared" ref="V162:V164" si="71">Q162-J162</f>
        <v>2.0000000000000018E-2</v>
      </c>
    </row>
    <row r="163" spans="1:22" ht="13.5" customHeight="1">
      <c r="A163" s="182">
        <v>140</v>
      </c>
      <c r="B163" s="62" t="s">
        <v>210</v>
      </c>
      <c r="C163" s="63" t="s">
        <v>38</v>
      </c>
      <c r="D163" s="65">
        <v>2770526120.77</v>
      </c>
      <c r="E163" s="72">
        <f t="shared" si="60"/>
        <v>5.35173454366457E-2</v>
      </c>
      <c r="F163" s="64">
        <v>3.9122620000000001</v>
      </c>
      <c r="G163" s="64">
        <v>4.0398079999999998</v>
      </c>
      <c r="H163" s="74">
        <v>2340</v>
      </c>
      <c r="I163" s="67">
        <v>-1.44E-2</v>
      </c>
      <c r="J163" s="67">
        <v>7.5600000000000001E-2</v>
      </c>
      <c r="K163" s="65">
        <v>2765060095.54</v>
      </c>
      <c r="L163" s="94">
        <f t="shared" si="61"/>
        <v>5.340757504069097E-2</v>
      </c>
      <c r="M163" s="64">
        <v>3.9043890000000001</v>
      </c>
      <c r="N163" s="64">
        <v>4.0343730000000004</v>
      </c>
      <c r="O163" s="74">
        <v>2343</v>
      </c>
      <c r="P163" s="67">
        <v>-2E-3</v>
      </c>
      <c r="Q163" s="67">
        <v>7.3400000000000007E-2</v>
      </c>
      <c r="R163" s="76">
        <f t="shared" si="62"/>
        <v>-1.972919579794783E-3</v>
      </c>
      <c r="S163" s="76">
        <f t="shared" si="63"/>
        <v>-1.3453609676498024E-3</v>
      </c>
      <c r="T163" s="76">
        <f t="shared" si="64"/>
        <v>1.2820512820512821E-3</v>
      </c>
      <c r="U163" s="76">
        <f t="shared" si="65"/>
        <v>1.24E-2</v>
      </c>
      <c r="V163" s="77">
        <f t="shared" si="71"/>
        <v>-2.1999999999999936E-3</v>
      </c>
    </row>
    <row r="164" spans="1:22" ht="13.5" customHeight="1">
      <c r="A164" s="182">
        <v>141</v>
      </c>
      <c r="B164" s="62" t="s">
        <v>211</v>
      </c>
      <c r="C164" s="63" t="s">
        <v>212</v>
      </c>
      <c r="D164" s="65">
        <v>66114306.859999999</v>
      </c>
      <c r="E164" s="72">
        <f t="shared" si="60"/>
        <v>1.2771084062357229E-3</v>
      </c>
      <c r="F164" s="64">
        <v>2.1800000000000002</v>
      </c>
      <c r="G164" s="64">
        <v>2.1800000000000002</v>
      </c>
      <c r="H164" s="74">
        <v>62</v>
      </c>
      <c r="I164" s="67">
        <v>-3.8999999999999998E-3</v>
      </c>
      <c r="J164" s="67">
        <v>8.7900000000000006E-2</v>
      </c>
      <c r="K164" s="65">
        <v>66114306.859999999</v>
      </c>
      <c r="L164" s="94">
        <f t="shared" si="61"/>
        <v>1.2770083408256395E-3</v>
      </c>
      <c r="M164" s="64">
        <v>2.1800000000000002</v>
      </c>
      <c r="N164" s="64">
        <v>2.1800000000000002</v>
      </c>
      <c r="O164" s="74">
        <v>62</v>
      </c>
      <c r="P164" s="67">
        <v>-3.8999999999999998E-3</v>
      </c>
      <c r="Q164" s="67">
        <v>8.7900000000000006E-2</v>
      </c>
      <c r="R164" s="76">
        <f t="shared" ref="R164" si="72">((K164-D164)/D164)</f>
        <v>0</v>
      </c>
      <c r="S164" s="76">
        <f t="shared" ref="S164" si="73">((N164-G164)/G164)</f>
        <v>0</v>
      </c>
      <c r="T164" s="76">
        <f t="shared" ref="T164" si="74">((O164-H164)/H164)</f>
        <v>0</v>
      </c>
      <c r="U164" s="76">
        <f t="shared" ref="U164" si="75">P164-I164</f>
        <v>0</v>
      </c>
      <c r="V164" s="77">
        <f t="shared" si="71"/>
        <v>0</v>
      </c>
    </row>
    <row r="165" spans="1:22">
      <c r="A165" s="182">
        <v>142</v>
      </c>
      <c r="B165" s="62" t="s">
        <v>213</v>
      </c>
      <c r="C165" s="63" t="s">
        <v>135</v>
      </c>
      <c r="D165" s="65">
        <v>208638339.19</v>
      </c>
      <c r="E165" s="72">
        <f t="shared" si="60"/>
        <v>4.0301984471657068E-3</v>
      </c>
      <c r="F165" s="64">
        <v>190.57168799999999</v>
      </c>
      <c r="G165" s="64">
        <v>194.85706300000001</v>
      </c>
      <c r="H165" s="74">
        <v>139</v>
      </c>
      <c r="I165" s="67">
        <v>8.9999999999999998E-4</v>
      </c>
      <c r="J165" s="67">
        <v>0.18129999999999999</v>
      </c>
      <c r="K165" s="65">
        <v>208267754.71000001</v>
      </c>
      <c r="L165" s="94">
        <f t="shared" si="61"/>
        <v>4.0227247704930167E-3</v>
      </c>
      <c r="M165" s="64">
        <v>190.23</v>
      </c>
      <c r="N165" s="64">
        <v>194.56</v>
      </c>
      <c r="O165" s="74">
        <v>141</v>
      </c>
      <c r="P165" s="67">
        <v>2E-3</v>
      </c>
      <c r="Q165" s="67">
        <v>0.1855</v>
      </c>
      <c r="R165" s="76">
        <f t="shared" si="62"/>
        <v>-1.7762050898157808E-3</v>
      </c>
      <c r="S165" s="76">
        <f t="shared" si="63"/>
        <v>-1.5245174869540578E-3</v>
      </c>
      <c r="T165" s="76">
        <f t="shared" si="64"/>
        <v>1.4388489208633094E-2</v>
      </c>
      <c r="U165" s="76">
        <f t="shared" si="65"/>
        <v>1.1000000000000001E-3</v>
      </c>
      <c r="V165" s="77">
        <f t="shared" si="66"/>
        <v>4.2000000000000093E-3</v>
      </c>
    </row>
    <row r="166" spans="1:22">
      <c r="A166" s="182">
        <v>143</v>
      </c>
      <c r="B166" s="62" t="s">
        <v>214</v>
      </c>
      <c r="C166" s="63" t="s">
        <v>34</v>
      </c>
      <c r="D166" s="65">
        <v>2173436601.5999999</v>
      </c>
      <c r="E166" s="72">
        <f t="shared" si="60"/>
        <v>4.1983562804363363E-2</v>
      </c>
      <c r="F166" s="64">
        <v>552.22</v>
      </c>
      <c r="G166" s="64">
        <v>552.22</v>
      </c>
      <c r="H166" s="74">
        <v>823</v>
      </c>
      <c r="I166" s="67">
        <v>1.2E-2</v>
      </c>
      <c r="J166" s="67">
        <v>0.40689999999999998</v>
      </c>
      <c r="K166" s="65">
        <v>2173436601.5999999</v>
      </c>
      <c r="L166" s="94">
        <f t="shared" si="61"/>
        <v>4.1980273261824713E-2</v>
      </c>
      <c r="M166" s="64">
        <v>552.22</v>
      </c>
      <c r="N166" s="64">
        <v>552.22</v>
      </c>
      <c r="O166" s="74">
        <v>823</v>
      </c>
      <c r="P166" s="67">
        <v>2.043E-2</v>
      </c>
      <c r="Q166" s="67">
        <v>0.39029000000000003</v>
      </c>
      <c r="R166" s="76">
        <f t="shared" si="62"/>
        <v>0</v>
      </c>
      <c r="S166" s="76">
        <f t="shared" si="63"/>
        <v>0</v>
      </c>
      <c r="T166" s="76">
        <f t="shared" si="64"/>
        <v>0</v>
      </c>
      <c r="U166" s="76">
        <f t="shared" si="65"/>
        <v>8.43E-3</v>
      </c>
      <c r="V166" s="77">
        <f t="shared" si="66"/>
        <v>-1.6609999999999958E-2</v>
      </c>
    </row>
    <row r="167" spans="1:22">
      <c r="A167" s="182">
        <v>144</v>
      </c>
      <c r="B167" s="62" t="s">
        <v>215</v>
      </c>
      <c r="C167" s="63" t="s">
        <v>92</v>
      </c>
      <c r="D167" s="64">
        <v>27635339.359999999</v>
      </c>
      <c r="E167" s="72">
        <f t="shared" si="60"/>
        <v>5.3382279694118447E-4</v>
      </c>
      <c r="F167" s="64">
        <v>1.7</v>
      </c>
      <c r="G167" s="64">
        <v>1.7</v>
      </c>
      <c r="H167" s="74">
        <v>8</v>
      </c>
      <c r="I167" s="67">
        <v>-1.6839E-2</v>
      </c>
      <c r="J167" s="67">
        <v>4.5252000000000001E-2</v>
      </c>
      <c r="K167" s="64">
        <v>27329415.609999999</v>
      </c>
      <c r="L167" s="94">
        <f t="shared" si="61"/>
        <v>5.2787200443260357E-4</v>
      </c>
      <c r="M167" s="64">
        <v>1.73</v>
      </c>
      <c r="N167" s="64">
        <v>1.73</v>
      </c>
      <c r="O167" s="74">
        <v>8</v>
      </c>
      <c r="P167" s="67">
        <v>1.8280000000000001E-2</v>
      </c>
      <c r="Q167" s="67">
        <v>6.4360000000000001E-2</v>
      </c>
      <c r="R167" s="76">
        <f t="shared" si="62"/>
        <v>-1.1070019659060196E-2</v>
      </c>
      <c r="S167" s="76">
        <f t="shared" si="63"/>
        <v>1.7647058823529429E-2</v>
      </c>
      <c r="T167" s="76">
        <f t="shared" si="64"/>
        <v>0</v>
      </c>
      <c r="U167" s="76">
        <f t="shared" si="65"/>
        <v>3.5118999999999997E-2</v>
      </c>
      <c r="V167" s="77">
        <f t="shared" si="66"/>
        <v>1.9108E-2</v>
      </c>
    </row>
    <row r="168" spans="1:22">
      <c r="A168" s="182">
        <v>145</v>
      </c>
      <c r="B168" s="62" t="s">
        <v>216</v>
      </c>
      <c r="C168" s="63" t="s">
        <v>46</v>
      </c>
      <c r="D168" s="64">
        <v>229900791.03999999</v>
      </c>
      <c r="E168" s="72">
        <f t="shared" si="60"/>
        <v>4.4409182638661688E-3</v>
      </c>
      <c r="F168" s="64">
        <v>2.3542269999999998</v>
      </c>
      <c r="G168" s="64">
        <v>2.411092</v>
      </c>
      <c r="H168" s="74">
        <v>119</v>
      </c>
      <c r="I168" s="67">
        <v>0.1125</v>
      </c>
      <c r="J168" s="67">
        <v>1.6500000000000001E-2</v>
      </c>
      <c r="K168" s="64">
        <v>234186022.91999999</v>
      </c>
      <c r="L168" s="94">
        <f t="shared" si="61"/>
        <v>4.5233402387004074E-3</v>
      </c>
      <c r="M168" s="64">
        <v>2.3562080000000001</v>
      </c>
      <c r="N168" s="64">
        <v>2.4129520000000002</v>
      </c>
      <c r="O168" s="74">
        <v>120</v>
      </c>
      <c r="P168" s="67">
        <v>4.0000000000000002E-4</v>
      </c>
      <c r="Q168" s="67">
        <v>1.7299999999999999E-2</v>
      </c>
      <c r="R168" s="76">
        <f t="shared" si="62"/>
        <v>1.8639482972698497E-2</v>
      </c>
      <c r="S168" s="76">
        <f t="shared" si="63"/>
        <v>7.714346860261636E-4</v>
      </c>
      <c r="T168" s="76">
        <f t="shared" si="64"/>
        <v>8.4033613445378148E-3</v>
      </c>
      <c r="U168" s="76">
        <f t="shared" si="65"/>
        <v>-0.11210000000000001</v>
      </c>
      <c r="V168" s="77">
        <f t="shared" si="66"/>
        <v>7.9999999999999863E-4</v>
      </c>
    </row>
    <row r="169" spans="1:22">
      <c r="A169" s="182">
        <v>146</v>
      </c>
      <c r="B169" s="62" t="s">
        <v>217</v>
      </c>
      <c r="C169" s="63" t="s">
        <v>50</v>
      </c>
      <c r="D169" s="65">
        <v>2642238963.79</v>
      </c>
      <c r="E169" s="72">
        <f t="shared" si="60"/>
        <v>5.1039264452779814E-2</v>
      </c>
      <c r="F169" s="64">
        <v>5865.49</v>
      </c>
      <c r="G169" s="64">
        <v>5923</v>
      </c>
      <c r="H169" s="74">
        <v>2252</v>
      </c>
      <c r="I169" s="67">
        <v>1.18E-2</v>
      </c>
      <c r="J169" s="67">
        <v>0.17960000000000001</v>
      </c>
      <c r="K169" s="65">
        <v>2650531742.9299998</v>
      </c>
      <c r="L169" s="72">
        <f t="shared" si="61"/>
        <v>5.1195441714485361E-2</v>
      </c>
      <c r="M169" s="64">
        <v>5885.87</v>
      </c>
      <c r="N169" s="64">
        <v>5943.76</v>
      </c>
      <c r="O169" s="74">
        <v>2248</v>
      </c>
      <c r="P169" s="67">
        <v>3.5000000000000001E-3</v>
      </c>
      <c r="Q169" s="67">
        <v>0.1837</v>
      </c>
      <c r="R169" s="76">
        <f t="shared" si="62"/>
        <v>3.1385424458750658E-3</v>
      </c>
      <c r="S169" s="76">
        <f t="shared" si="63"/>
        <v>3.5049805841634676E-3</v>
      </c>
      <c r="T169" s="76">
        <f t="shared" si="64"/>
        <v>-1.7761989342806395E-3</v>
      </c>
      <c r="U169" s="76">
        <f t="shared" si="65"/>
        <v>-8.3000000000000001E-3</v>
      </c>
      <c r="V169" s="77">
        <f t="shared" si="66"/>
        <v>4.0999999999999925E-3</v>
      </c>
    </row>
    <row r="170" spans="1:22">
      <c r="A170" s="182">
        <v>147</v>
      </c>
      <c r="B170" s="62" t="s">
        <v>218</v>
      </c>
      <c r="C170" s="62" t="s">
        <v>102</v>
      </c>
      <c r="D170" s="65">
        <v>82371919.540000007</v>
      </c>
      <c r="E170" s="72">
        <f t="shared" si="60"/>
        <v>1.5911513842997371E-3</v>
      </c>
      <c r="F170" s="64">
        <v>1063.3599999999999</v>
      </c>
      <c r="G170" s="64">
        <v>1079.9100000000001</v>
      </c>
      <c r="H170" s="74">
        <v>7</v>
      </c>
      <c r="I170" s="67">
        <v>-3.9135961290052102E-3</v>
      </c>
      <c r="J170" s="67">
        <v>7.6726000000000003E-2</v>
      </c>
      <c r="K170" s="65">
        <v>83231650.790000007</v>
      </c>
      <c r="L170" s="72">
        <f t="shared" si="61"/>
        <v>1.6076325583294021E-3</v>
      </c>
      <c r="M170" s="64">
        <v>1074.3599999999999</v>
      </c>
      <c r="N170" s="64">
        <v>1091.24</v>
      </c>
      <c r="O170" s="74">
        <v>7</v>
      </c>
      <c r="P170" s="67">
        <v>1.0168135115710353E-2</v>
      </c>
      <c r="Q170" s="67">
        <v>8.8426000000000005E-2</v>
      </c>
      <c r="R170" s="76">
        <f t="shared" si="62"/>
        <v>1.0437188483661746E-2</v>
      </c>
      <c r="S170" s="76">
        <f t="shared" si="63"/>
        <v>1.0491615041994171E-2</v>
      </c>
      <c r="T170" s="76">
        <f t="shared" si="64"/>
        <v>0</v>
      </c>
      <c r="U170" s="76">
        <f t="shared" si="65"/>
        <v>1.4081731244715564E-2</v>
      </c>
      <c r="V170" s="77">
        <f t="shared" si="66"/>
        <v>1.1700000000000002E-2</v>
      </c>
    </row>
    <row r="171" spans="1:22">
      <c r="A171" s="182">
        <v>148</v>
      </c>
      <c r="B171" s="62" t="s">
        <v>219</v>
      </c>
      <c r="C171" s="62" t="s">
        <v>85</v>
      </c>
      <c r="D171" s="65">
        <v>680180497.38</v>
      </c>
      <c r="E171" s="72">
        <f t="shared" si="60"/>
        <v>1.313882383734323E-2</v>
      </c>
      <c r="F171" s="64">
        <v>1.302</v>
      </c>
      <c r="G171" s="64">
        <v>1.302</v>
      </c>
      <c r="H171" s="74">
        <v>42</v>
      </c>
      <c r="I171" s="67">
        <v>3.0000000000000001E-3</v>
      </c>
      <c r="J171" s="67">
        <v>0.21920000000000001</v>
      </c>
      <c r="K171" s="65">
        <v>682174673.70000005</v>
      </c>
      <c r="L171" s="72">
        <f t="shared" si="61"/>
        <v>1.3176312202131875E-2</v>
      </c>
      <c r="M171" s="64">
        <v>1.3049999999999999</v>
      </c>
      <c r="N171" s="64">
        <v>1.3049999999999999</v>
      </c>
      <c r="O171" s="74">
        <v>42</v>
      </c>
      <c r="P171" s="67">
        <v>1.8E-3</v>
      </c>
      <c r="Q171" s="67">
        <v>0.223</v>
      </c>
      <c r="R171" s="76">
        <f t="shared" si="62"/>
        <v>2.931834017119658E-3</v>
      </c>
      <c r="S171" s="76">
        <f t="shared" si="63"/>
        <v>2.3041474654377047E-3</v>
      </c>
      <c r="T171" s="76">
        <f t="shared" si="64"/>
        <v>0</v>
      </c>
      <c r="U171" s="76">
        <f t="shared" si="65"/>
        <v>-1.2000000000000001E-3</v>
      </c>
      <c r="V171" s="77">
        <f t="shared" si="66"/>
        <v>3.7999999999999978E-3</v>
      </c>
    </row>
    <row r="172" spans="1:22">
      <c r="A172" s="182">
        <v>149</v>
      </c>
      <c r="B172" s="62" t="s">
        <v>220</v>
      </c>
      <c r="C172" s="63" t="s">
        <v>53</v>
      </c>
      <c r="D172" s="64">
        <v>1902595719.8800001</v>
      </c>
      <c r="E172" s="72">
        <f t="shared" si="60"/>
        <v>3.675181822101091E-2</v>
      </c>
      <c r="F172" s="64">
        <v>1.7952999999999999</v>
      </c>
      <c r="G172" s="64">
        <v>1.8061</v>
      </c>
      <c r="H172" s="74">
        <v>2168</v>
      </c>
      <c r="I172" s="67">
        <v>1.01E-2</v>
      </c>
      <c r="J172" s="67">
        <v>0.1636</v>
      </c>
      <c r="K172" s="64">
        <v>1899783622.5599999</v>
      </c>
      <c r="L172" s="94">
        <f t="shared" si="61"/>
        <v>3.6694622495405053E-2</v>
      </c>
      <c r="M172" s="64">
        <v>1.7963</v>
      </c>
      <c r="N172" s="64">
        <v>1.8070999999999999</v>
      </c>
      <c r="O172" s="74">
        <v>2168</v>
      </c>
      <c r="P172" s="67">
        <v>5.0000000000000001E-4</v>
      </c>
      <c r="Q172" s="67">
        <v>0.1641</v>
      </c>
      <c r="R172" s="76">
        <f t="shared" si="62"/>
        <v>-1.4780319805289667E-3</v>
      </c>
      <c r="S172" s="76">
        <f t="shared" si="63"/>
        <v>5.5367919827245993E-4</v>
      </c>
      <c r="T172" s="76">
        <f t="shared" si="64"/>
        <v>0</v>
      </c>
      <c r="U172" s="76">
        <f t="shared" si="65"/>
        <v>-9.5999999999999992E-3</v>
      </c>
      <c r="V172" s="77">
        <f t="shared" si="66"/>
        <v>5.0000000000000044E-4</v>
      </c>
    </row>
    <row r="173" spans="1:22">
      <c r="A173" s="182">
        <v>150</v>
      </c>
      <c r="B173" s="62" t="s">
        <v>221</v>
      </c>
      <c r="C173" s="63" t="s">
        <v>53</v>
      </c>
      <c r="D173" s="64">
        <v>1103108643.72</v>
      </c>
      <c r="E173" s="72">
        <f t="shared" si="60"/>
        <v>2.1308388286808685E-2</v>
      </c>
      <c r="F173" s="64">
        <v>1.4276</v>
      </c>
      <c r="G173" s="64">
        <v>1.4356</v>
      </c>
      <c r="H173" s="74">
        <v>783</v>
      </c>
      <c r="I173" s="67">
        <v>4.7999999999999996E-3</v>
      </c>
      <c r="J173" s="67">
        <v>0.1956</v>
      </c>
      <c r="K173" s="64">
        <v>1101802695.3699999</v>
      </c>
      <c r="L173" s="94">
        <f t="shared" si="61"/>
        <v>2.1281494108545525E-2</v>
      </c>
      <c r="M173" s="64">
        <v>1.4272</v>
      </c>
      <c r="N173" s="64">
        <v>1.4352</v>
      </c>
      <c r="O173" s="74">
        <v>783</v>
      </c>
      <c r="P173" s="67">
        <v>-2.0000000000000001E-4</v>
      </c>
      <c r="Q173" s="67">
        <v>0.1953</v>
      </c>
      <c r="R173" s="76">
        <f t="shared" si="62"/>
        <v>-1.1838800805658717E-3</v>
      </c>
      <c r="S173" s="76">
        <f t="shared" si="63"/>
        <v>-2.7862914460849539E-4</v>
      </c>
      <c r="T173" s="76">
        <f t="shared" si="64"/>
        <v>0</v>
      </c>
      <c r="U173" s="76">
        <f t="shared" si="65"/>
        <v>-4.9999999999999992E-3</v>
      </c>
      <c r="V173" s="77">
        <f t="shared" si="66"/>
        <v>-2.9999999999999472E-4</v>
      </c>
    </row>
    <row r="174" spans="1:22">
      <c r="A174" s="182">
        <v>151</v>
      </c>
      <c r="B174" s="62" t="s">
        <v>222</v>
      </c>
      <c r="C174" s="63" t="s">
        <v>107</v>
      </c>
      <c r="D174" s="65">
        <v>9818227130.9400005</v>
      </c>
      <c r="E174" s="72">
        <f t="shared" si="60"/>
        <v>0.18965547698786112</v>
      </c>
      <c r="F174" s="64">
        <v>532.83000000000004</v>
      </c>
      <c r="G174" s="64">
        <v>538.57000000000005</v>
      </c>
      <c r="H174" s="74">
        <v>36</v>
      </c>
      <c r="I174" s="67">
        <v>1.0330000000000001E-2</v>
      </c>
      <c r="J174" s="67">
        <v>0.53129999999999999</v>
      </c>
      <c r="K174" s="65">
        <v>9698869089.5599995</v>
      </c>
      <c r="L174" s="94">
        <f t="shared" si="61"/>
        <v>0.18733519736009671</v>
      </c>
      <c r="M174" s="64">
        <v>526.35</v>
      </c>
      <c r="N174" s="64">
        <v>532.02</v>
      </c>
      <c r="O174" s="74">
        <v>36</v>
      </c>
      <c r="P174" s="67">
        <v>-1.2160000000000001E-2</v>
      </c>
      <c r="Q174" s="67">
        <v>0.51270000000000004</v>
      </c>
      <c r="R174" s="76">
        <f t="shared" si="62"/>
        <v>-1.2156781442127189E-2</v>
      </c>
      <c r="S174" s="76">
        <f t="shared" si="63"/>
        <v>-1.2161835973039842E-2</v>
      </c>
      <c r="T174" s="76">
        <f t="shared" si="64"/>
        <v>0</v>
      </c>
      <c r="U174" s="76">
        <f t="shared" si="65"/>
        <v>-2.2490000000000003E-2</v>
      </c>
      <c r="V174" s="77">
        <f t="shared" si="66"/>
        <v>-1.859999999999995E-2</v>
      </c>
    </row>
    <row r="175" spans="1:22">
      <c r="A175" s="182">
        <v>152</v>
      </c>
      <c r="B175" s="62" t="s">
        <v>223</v>
      </c>
      <c r="C175" s="63" t="s">
        <v>48</v>
      </c>
      <c r="D175" s="65">
        <v>514247282.68000001</v>
      </c>
      <c r="E175" s="72">
        <f t="shared" si="60"/>
        <v>9.9335462895376418E-3</v>
      </c>
      <c r="F175" s="64">
        <v>248.48</v>
      </c>
      <c r="G175" s="64">
        <v>251.59</v>
      </c>
      <c r="H175" s="74">
        <v>690</v>
      </c>
      <c r="I175" s="67">
        <v>1.43E-2</v>
      </c>
      <c r="J175" s="67">
        <v>0.28770000000000001</v>
      </c>
      <c r="K175" s="65">
        <v>514009451.81</v>
      </c>
      <c r="L175" s="94">
        <f t="shared" si="61"/>
        <v>9.9281742242950388E-3</v>
      </c>
      <c r="M175" s="64">
        <v>248.41</v>
      </c>
      <c r="N175" s="64">
        <v>251.52</v>
      </c>
      <c r="O175" s="74">
        <v>690</v>
      </c>
      <c r="P175" s="67">
        <v>-3.2000000000000002E-3</v>
      </c>
      <c r="Q175" s="67">
        <v>0.28739999999999999</v>
      </c>
      <c r="R175" s="76">
        <f t="shared" si="62"/>
        <v>-4.6248347441049968E-4</v>
      </c>
      <c r="S175" s="76">
        <f t="shared" si="63"/>
        <v>-2.7823045431055757E-4</v>
      </c>
      <c r="T175" s="76">
        <f t="shared" si="64"/>
        <v>0</v>
      </c>
      <c r="U175" s="76">
        <f t="shared" si="65"/>
        <v>-1.7500000000000002E-2</v>
      </c>
      <c r="V175" s="77">
        <f t="shared" si="66"/>
        <v>-3.0000000000002247E-4</v>
      </c>
    </row>
    <row r="176" spans="1:22">
      <c r="A176" s="181"/>
      <c r="B176" s="81"/>
      <c r="C176" s="82" t="s">
        <v>54</v>
      </c>
      <c r="D176" s="109">
        <f>SUM(D147:D175)</f>
        <v>51768750825.837822</v>
      </c>
      <c r="E176" s="84">
        <f>(D176/$D$206)</f>
        <v>1.4345737076267859E-2</v>
      </c>
      <c r="F176" s="85"/>
      <c r="G176" s="110"/>
      <c r="H176" s="87">
        <f>SUM(H147:H175)</f>
        <v>69748</v>
      </c>
      <c r="I176" s="111"/>
      <c r="J176" s="111"/>
      <c r="K176" s="109">
        <f>SUM(K147:K175)</f>
        <v>51772807386.092972</v>
      </c>
      <c r="L176" s="84">
        <f>(K176/$K$206)</f>
        <v>1.4184890345168436E-2</v>
      </c>
      <c r="M176" s="85"/>
      <c r="N176" s="110"/>
      <c r="O176" s="87">
        <f>SUM(O147:O175)</f>
        <v>69756</v>
      </c>
      <c r="P176" s="111"/>
      <c r="Q176" s="111"/>
      <c r="R176" s="76">
        <f t="shared" si="62"/>
        <v>7.8359245499221293E-5</v>
      </c>
      <c r="S176" s="76" t="e">
        <f t="shared" si="63"/>
        <v>#DIV/0!</v>
      </c>
      <c r="T176" s="76">
        <f t="shared" si="64"/>
        <v>1.1469862935137926E-4</v>
      </c>
      <c r="U176" s="76">
        <f t="shared" si="65"/>
        <v>0</v>
      </c>
      <c r="V176" s="77">
        <f t="shared" si="66"/>
        <v>0</v>
      </c>
    </row>
    <row r="177" spans="1:24" ht="5.25" customHeight="1">
      <c r="A177" s="181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</row>
    <row r="178" spans="1:24" ht="15" customHeight="1">
      <c r="A178" s="136" t="s">
        <v>276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</row>
    <row r="179" spans="1:24">
      <c r="A179" s="182">
        <v>153</v>
      </c>
      <c r="B179" s="62" t="s">
        <v>224</v>
      </c>
      <c r="C179" s="63" t="s">
        <v>24</v>
      </c>
      <c r="D179" s="112">
        <v>977744511.17999995</v>
      </c>
      <c r="E179" s="72">
        <f>(D179/$D$182)</f>
        <v>0.17951028768882776</v>
      </c>
      <c r="F179" s="112">
        <v>64.279899999999998</v>
      </c>
      <c r="G179" s="112">
        <v>66.218000000000004</v>
      </c>
      <c r="H179" s="78">
        <v>1619</v>
      </c>
      <c r="I179" s="79">
        <v>-1.03E-2</v>
      </c>
      <c r="J179" s="79">
        <v>0.22969999999999999</v>
      </c>
      <c r="K179" s="112">
        <v>901012114.35000002</v>
      </c>
      <c r="L179" s="94">
        <f>(K179/$K$182)</f>
        <v>0.16701995135282355</v>
      </c>
      <c r="M179" s="112">
        <v>63.969299999999997</v>
      </c>
      <c r="N179" s="112">
        <v>65.898099999999999</v>
      </c>
      <c r="O179" s="78">
        <v>1620</v>
      </c>
      <c r="P179" s="79">
        <v>-0.25259999999999999</v>
      </c>
      <c r="Q179" s="79">
        <v>0.217</v>
      </c>
      <c r="R179" s="76">
        <f>((K179-D179)/D179)</f>
        <v>-7.8478985003346866E-2</v>
      </c>
      <c r="S179" s="76">
        <f t="shared" ref="S179:T182" si="76">((N179-G179)/G179)</f>
        <v>-4.8310127155758867E-3</v>
      </c>
      <c r="T179" s="76">
        <f t="shared" si="76"/>
        <v>6.1766522544780733E-4</v>
      </c>
      <c r="U179" s="76">
        <f t="shared" ref="U179:V182" si="77">P179-I179</f>
        <v>-0.24229999999999999</v>
      </c>
      <c r="V179" s="77">
        <f t="shared" si="77"/>
        <v>-1.2699999999999989E-2</v>
      </c>
    </row>
    <row r="180" spans="1:24">
      <c r="A180" s="182">
        <v>154</v>
      </c>
      <c r="B180" s="62" t="s">
        <v>225</v>
      </c>
      <c r="C180" s="63" t="s">
        <v>226</v>
      </c>
      <c r="D180" s="185">
        <v>915494334.80999994</v>
      </c>
      <c r="E180" s="72">
        <f>(D180/$D$182)</f>
        <v>0.16808138479949028</v>
      </c>
      <c r="F180" s="112">
        <v>26.117599999999999</v>
      </c>
      <c r="G180" s="112">
        <v>26.369700000000002</v>
      </c>
      <c r="H180" s="74">
        <v>1484</v>
      </c>
      <c r="I180" s="67">
        <v>5.1999999999999998E-3</v>
      </c>
      <c r="J180" s="67">
        <v>0.19889999999999999</v>
      </c>
      <c r="K180" s="185">
        <v>926055647.63999999</v>
      </c>
      <c r="L180" s="94">
        <f>(K180/$K$182)</f>
        <v>0.17166225265508306</v>
      </c>
      <c r="M180" s="112">
        <v>26.3049</v>
      </c>
      <c r="N180" s="112">
        <v>26.5579</v>
      </c>
      <c r="O180" s="74">
        <v>1483</v>
      </c>
      <c r="P180" s="67">
        <v>1.15E-2</v>
      </c>
      <c r="Q180" s="67">
        <v>0.2074</v>
      </c>
      <c r="R180" s="76">
        <f>((K180-D180)/D180)</f>
        <v>1.1536185892610596E-2</v>
      </c>
      <c r="S180" s="76">
        <f t="shared" si="76"/>
        <v>7.1369791844426884E-3</v>
      </c>
      <c r="T180" s="76">
        <f t="shared" si="76"/>
        <v>-6.7385444743935314E-4</v>
      </c>
      <c r="U180" s="76">
        <f t="shared" si="77"/>
        <v>6.3E-3</v>
      </c>
      <c r="V180" s="77">
        <f t="shared" si="77"/>
        <v>8.5000000000000075E-3</v>
      </c>
    </row>
    <row r="181" spans="1:24">
      <c r="A181" s="182">
        <v>155</v>
      </c>
      <c r="B181" s="62" t="s">
        <v>227</v>
      </c>
      <c r="C181" s="63" t="s">
        <v>50</v>
      </c>
      <c r="D181" s="90">
        <v>3553493615.8000002</v>
      </c>
      <c r="E181" s="72">
        <f>(D181/$D$182)</f>
        <v>0.65240832751168198</v>
      </c>
      <c r="F181" s="112">
        <v>2.59</v>
      </c>
      <c r="G181" s="112">
        <v>2.63</v>
      </c>
      <c r="H181" s="74">
        <v>10152</v>
      </c>
      <c r="I181" s="67">
        <v>7.7000000000000002E-3</v>
      </c>
      <c r="J181" s="67">
        <v>0.26440000000000002</v>
      </c>
      <c r="K181" s="90">
        <v>3567569866.9400001</v>
      </c>
      <c r="L181" s="94">
        <f>(K181/$K$182)</f>
        <v>0.66131779599209328</v>
      </c>
      <c r="M181" s="112">
        <v>2.6</v>
      </c>
      <c r="N181" s="112">
        <v>2.64</v>
      </c>
      <c r="O181" s="74">
        <v>10156</v>
      </c>
      <c r="P181" s="67">
        <v>3.8E-3</v>
      </c>
      <c r="Q181" s="67">
        <v>0.26919999999999999</v>
      </c>
      <c r="R181" s="76">
        <f>((K181-D181)/D181)</f>
        <v>3.9612428392757568E-3</v>
      </c>
      <c r="S181" s="76">
        <f t="shared" si="76"/>
        <v>3.8022813688213808E-3</v>
      </c>
      <c r="T181" s="76">
        <f t="shared" si="76"/>
        <v>3.9401103230890468E-4</v>
      </c>
      <c r="U181" s="76">
        <f t="shared" si="77"/>
        <v>-3.9000000000000003E-3</v>
      </c>
      <c r="V181" s="77">
        <f t="shared" si="77"/>
        <v>4.799999999999971E-3</v>
      </c>
    </row>
    <row r="182" spans="1:24">
      <c r="A182" s="181"/>
      <c r="B182" s="81"/>
      <c r="C182" s="104" t="s">
        <v>54</v>
      </c>
      <c r="D182" s="109">
        <f>SUM(D179:D181)</f>
        <v>5446732461.79</v>
      </c>
      <c r="E182" s="84">
        <f>(D182/$D$206)</f>
        <v>1.5093543996161885E-3</v>
      </c>
      <c r="F182" s="85"/>
      <c r="G182" s="110"/>
      <c r="H182" s="87">
        <f>SUM(H179:H181)</f>
        <v>13255</v>
      </c>
      <c r="I182" s="111"/>
      <c r="J182" s="111"/>
      <c r="K182" s="109">
        <f>SUM(K179:K181)</f>
        <v>5394637628.9300003</v>
      </c>
      <c r="L182" s="84">
        <f>(K182/$K$206)</f>
        <v>1.4780412166493153E-3</v>
      </c>
      <c r="M182" s="85"/>
      <c r="N182" s="110"/>
      <c r="O182" s="87">
        <f>SUM(O179:O181)</f>
        <v>13259</v>
      </c>
      <c r="P182" s="111"/>
      <c r="Q182" s="111"/>
      <c r="R182" s="76">
        <f>((K182-D182)/D182)</f>
        <v>-9.5644192597040736E-3</v>
      </c>
      <c r="S182" s="76" t="e">
        <f t="shared" si="76"/>
        <v>#DIV/0!</v>
      </c>
      <c r="T182" s="76">
        <f t="shared" si="76"/>
        <v>3.0177291588079971E-4</v>
      </c>
      <c r="U182" s="76">
        <f t="shared" si="77"/>
        <v>0</v>
      </c>
      <c r="V182" s="77">
        <f t="shared" si="77"/>
        <v>0</v>
      </c>
    </row>
    <row r="183" spans="1:24" ht="6" customHeight="1">
      <c r="A183" s="181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</row>
    <row r="184" spans="1:24" ht="15" customHeight="1">
      <c r="A184" s="98" t="s">
        <v>291</v>
      </c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</row>
    <row r="185" spans="1:24">
      <c r="A185" s="137" t="s">
        <v>292</v>
      </c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</row>
    <row r="186" spans="1:24">
      <c r="A186" s="186">
        <v>156</v>
      </c>
      <c r="B186" s="60" t="s">
        <v>228</v>
      </c>
      <c r="C186" s="61" t="s">
        <v>229</v>
      </c>
      <c r="D186" s="95">
        <v>4448589788.4899998</v>
      </c>
      <c r="E186" s="72">
        <f>(D186/$D$205)</f>
        <v>8.6418897486173041E-2</v>
      </c>
      <c r="F186" s="113">
        <v>2.08</v>
      </c>
      <c r="G186" s="113">
        <v>2.12</v>
      </c>
      <c r="H186" s="92">
        <v>14977</v>
      </c>
      <c r="I186" s="93">
        <v>3.2000000000000002E-3</v>
      </c>
      <c r="J186" s="93">
        <v>0.20680000000000001</v>
      </c>
      <c r="K186" s="95">
        <v>4510959616.2200003</v>
      </c>
      <c r="L186" s="72">
        <f>(K186/$K$205)</f>
        <v>8.7996422227984594E-2</v>
      </c>
      <c r="M186" s="113">
        <v>2.11</v>
      </c>
      <c r="N186" s="113">
        <v>2.15</v>
      </c>
      <c r="O186" s="92">
        <v>14977</v>
      </c>
      <c r="P186" s="93">
        <v>1.3100000000000001E-2</v>
      </c>
      <c r="Q186" s="93">
        <v>0.22189999999999999</v>
      </c>
      <c r="R186" s="76">
        <f>((K186-D186)/D186)</f>
        <v>1.4020134625892513E-2</v>
      </c>
      <c r="S186" s="76">
        <f>((N186-G186)/G186)</f>
        <v>1.4150943396226322E-2</v>
      </c>
      <c r="T186" s="76">
        <f>((O186-H186)/H186)</f>
        <v>0</v>
      </c>
      <c r="U186" s="76">
        <f>P186-I186</f>
        <v>9.9000000000000008E-3</v>
      </c>
      <c r="V186" s="77">
        <f>Q186-J186</f>
        <v>1.5099999999999975E-2</v>
      </c>
    </row>
    <row r="187" spans="1:24">
      <c r="A187" s="186">
        <v>157</v>
      </c>
      <c r="B187" s="62" t="s">
        <v>230</v>
      </c>
      <c r="C187" s="63" t="s">
        <v>50</v>
      </c>
      <c r="D187" s="95">
        <v>612407897.45000005</v>
      </c>
      <c r="E187" s="72">
        <f>(D187/$D$205)</f>
        <v>1.1896717347682977E-2</v>
      </c>
      <c r="F187" s="113">
        <v>418.72</v>
      </c>
      <c r="G187" s="113">
        <v>424.1</v>
      </c>
      <c r="H187" s="92">
        <v>850</v>
      </c>
      <c r="I187" s="93">
        <v>-6.9999999999999999E-4</v>
      </c>
      <c r="J187" s="93">
        <v>0.1106</v>
      </c>
      <c r="K187" s="95">
        <v>613097651.70000005</v>
      </c>
      <c r="L187" s="72">
        <f>(K187/$K$205)</f>
        <v>1.1959849880276088E-2</v>
      </c>
      <c r="M187" s="113">
        <v>418.09</v>
      </c>
      <c r="N187" s="113">
        <v>423.47</v>
      </c>
      <c r="O187" s="92">
        <v>853</v>
      </c>
      <c r="P187" s="93">
        <v>-1.5E-3</v>
      </c>
      <c r="Q187" s="93">
        <v>0.1089</v>
      </c>
      <c r="R187" s="76">
        <f>((K187-D187)/D187)</f>
        <v>1.1262987509992307E-3</v>
      </c>
      <c r="S187" s="76">
        <f>((N187-G187)/G187)</f>
        <v>-1.485498703136042E-3</v>
      </c>
      <c r="T187" s="76">
        <f>((O187-H187)/H187)</f>
        <v>3.5294117647058825E-3</v>
      </c>
      <c r="U187" s="76">
        <f>P187-I187</f>
        <v>-8.0000000000000004E-4</v>
      </c>
      <c r="V187" s="77">
        <f>Q187-J187</f>
        <v>-1.7000000000000071E-3</v>
      </c>
    </row>
    <row r="188" spans="1:24" ht="6" customHeight="1">
      <c r="A188" s="181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</row>
    <row r="189" spans="1:24" ht="15" customHeight="1">
      <c r="A189" s="137" t="s">
        <v>289</v>
      </c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</row>
    <row r="190" spans="1:24">
      <c r="A190" s="182">
        <v>158</v>
      </c>
      <c r="B190" s="62" t="s">
        <v>231</v>
      </c>
      <c r="C190" s="63" t="s">
        <v>232</v>
      </c>
      <c r="D190" s="65">
        <v>360872969.69</v>
      </c>
      <c r="E190" s="72">
        <f t="shared" ref="E190:E201" si="78">(D190/$D$205)</f>
        <v>7.0103663533689397E-3</v>
      </c>
      <c r="F190" s="65">
        <v>1052.6099999999999</v>
      </c>
      <c r="G190" s="65">
        <v>1052.6099999999999</v>
      </c>
      <c r="H190" s="74">
        <v>21</v>
      </c>
      <c r="I190" s="67">
        <v>4.7000000000000002E-3</v>
      </c>
      <c r="J190" s="67">
        <v>0.10780000000000001</v>
      </c>
      <c r="K190" s="65">
        <v>361630437.74000001</v>
      </c>
      <c r="L190" s="72">
        <f t="shared" ref="L190:L201" si="79">(K190/$K$205)</f>
        <v>7.0544157778396665E-3</v>
      </c>
      <c r="M190" s="65">
        <v>1054.8800000000001</v>
      </c>
      <c r="N190" s="65">
        <v>1054.8800000000001</v>
      </c>
      <c r="O190" s="74">
        <v>21</v>
      </c>
      <c r="P190" s="67">
        <v>2.3999999999999998E-3</v>
      </c>
      <c r="Q190" s="67">
        <v>0.11020000000000001</v>
      </c>
      <c r="R190" s="76">
        <f>((K190-D190)/D190)</f>
        <v>2.0989880473749481E-3</v>
      </c>
      <c r="S190" s="76">
        <f>((N190-G190)/G190)</f>
        <v>2.1565442091564867E-3</v>
      </c>
      <c r="T190" s="76">
        <f>((O190-H190)/H190)</f>
        <v>0</v>
      </c>
      <c r="U190" s="76">
        <f>P190-I190</f>
        <v>-2.3000000000000004E-3</v>
      </c>
      <c r="V190" s="77">
        <f>Q190-J190</f>
        <v>2.3999999999999994E-3</v>
      </c>
      <c r="X190" s="39"/>
    </row>
    <row r="191" spans="1:24">
      <c r="A191" s="182">
        <v>159</v>
      </c>
      <c r="B191" s="62" t="s">
        <v>233</v>
      </c>
      <c r="C191" s="63" t="s">
        <v>67</v>
      </c>
      <c r="D191" s="65">
        <v>129487819.17</v>
      </c>
      <c r="E191" s="72">
        <f t="shared" si="78"/>
        <v>2.5154476143233401E-3</v>
      </c>
      <c r="F191" s="112">
        <v>116.8</v>
      </c>
      <c r="G191" s="112">
        <v>116.8</v>
      </c>
      <c r="H191" s="74">
        <v>75</v>
      </c>
      <c r="I191" s="67">
        <v>2.5999999999999999E-3</v>
      </c>
      <c r="J191" s="67">
        <v>0.14649999999999999</v>
      </c>
      <c r="K191" s="65">
        <v>129823757.55</v>
      </c>
      <c r="L191" s="72">
        <f t="shared" si="79"/>
        <v>2.5325046456891515E-3</v>
      </c>
      <c r="M191" s="112">
        <v>117.11</v>
      </c>
      <c r="N191" s="112">
        <v>117.11</v>
      </c>
      <c r="O191" s="74">
        <v>75</v>
      </c>
      <c r="P191" s="67">
        <v>2.7000000000000001E-3</v>
      </c>
      <c r="Q191" s="67">
        <v>0.14649999999999999</v>
      </c>
      <c r="R191" s="76">
        <f t="shared" ref="R191:R206" si="80">((K191-D191)/D191)</f>
        <v>2.5943627914449124E-3</v>
      </c>
      <c r="S191" s="76">
        <f t="shared" ref="S191:S205" si="81">((N191-G191)/G191)</f>
        <v>2.6541095890411153E-3</v>
      </c>
      <c r="T191" s="76">
        <f t="shared" ref="T191:T205" si="82">((O191-H191)/H191)</f>
        <v>0</v>
      </c>
      <c r="U191" s="76">
        <f t="shared" ref="U191:U205" si="83">P191-I191</f>
        <v>1.0000000000000026E-4</v>
      </c>
      <c r="V191" s="77">
        <f t="shared" ref="V191:V205" si="84">Q191-J191</f>
        <v>0</v>
      </c>
    </row>
    <row r="192" spans="1:24">
      <c r="A192" s="182">
        <v>160</v>
      </c>
      <c r="B192" s="66" t="s">
        <v>234</v>
      </c>
      <c r="C192" s="63" t="s">
        <v>73</v>
      </c>
      <c r="D192" s="90">
        <v>58941667.119999997</v>
      </c>
      <c r="E192" s="72">
        <f t="shared" si="78"/>
        <v>1.1450086725655097E-3</v>
      </c>
      <c r="F192" s="112">
        <v>105.18</v>
      </c>
      <c r="G192" s="112">
        <v>108.53</v>
      </c>
      <c r="H192" s="74">
        <v>14</v>
      </c>
      <c r="I192" s="67">
        <v>4.1000000000000003E-3</v>
      </c>
      <c r="J192" s="67">
        <v>0.1084</v>
      </c>
      <c r="K192" s="90">
        <v>59021788.140000001</v>
      </c>
      <c r="L192" s="72">
        <f t="shared" si="79"/>
        <v>1.1513528454440492E-3</v>
      </c>
      <c r="M192" s="112">
        <v>105.31</v>
      </c>
      <c r="N192" s="112">
        <v>108.36</v>
      </c>
      <c r="O192" s="74">
        <v>14</v>
      </c>
      <c r="P192" s="67">
        <v>-2.0000000000000001E-4</v>
      </c>
      <c r="Q192" s="67">
        <v>0.1082</v>
      </c>
      <c r="R192" s="76">
        <f t="shared" si="80"/>
        <v>1.3593273471020763E-3</v>
      </c>
      <c r="S192" s="76">
        <f t="shared" si="81"/>
        <v>-1.5663871740532729E-3</v>
      </c>
      <c r="T192" s="76">
        <f t="shared" si="82"/>
        <v>0</v>
      </c>
      <c r="U192" s="76">
        <f t="shared" si="83"/>
        <v>-4.3E-3</v>
      </c>
      <c r="V192" s="77">
        <f t="shared" si="84"/>
        <v>-1.9999999999999185E-4</v>
      </c>
    </row>
    <row r="193" spans="1:22">
      <c r="A193" s="182">
        <v>161</v>
      </c>
      <c r="B193" s="62" t="s">
        <v>235</v>
      </c>
      <c r="C193" s="63" t="s">
        <v>76</v>
      </c>
      <c r="D193" s="90">
        <v>123708320.14</v>
      </c>
      <c r="E193" s="72">
        <v>0</v>
      </c>
      <c r="F193" s="112">
        <v>1.0167999999999999</v>
      </c>
      <c r="G193" s="112">
        <v>1.0167999999999999</v>
      </c>
      <c r="H193" s="74">
        <v>22</v>
      </c>
      <c r="I193" s="67">
        <v>1.085E-3</v>
      </c>
      <c r="J193" s="67">
        <v>8.1525E-2</v>
      </c>
      <c r="K193" s="90">
        <v>124062638.68000001</v>
      </c>
      <c r="L193" s="72">
        <f t="shared" si="79"/>
        <v>2.4201210529016508E-3</v>
      </c>
      <c r="M193" s="112">
        <v>1.0184</v>
      </c>
      <c r="N193" s="112">
        <v>1.0184</v>
      </c>
      <c r="O193" s="74">
        <v>23</v>
      </c>
      <c r="P193" s="67">
        <v>1.5740000000000001E-3</v>
      </c>
      <c r="Q193" s="67">
        <v>8.1939999999999999E-2</v>
      </c>
      <c r="R193" s="76">
        <f t="shared" ref="R193:R194" si="85">((K193-D193)/D193)</f>
        <v>2.8641447850801488E-3</v>
      </c>
      <c r="S193" s="76">
        <f t="shared" ref="S193:S194" si="86">((N193-G193)/G193)</f>
        <v>1.5735641227380467E-3</v>
      </c>
      <c r="T193" s="76">
        <f t="shared" ref="T193" si="87">((O193-H193)/H193)</f>
        <v>4.5454545454545456E-2</v>
      </c>
      <c r="U193" s="76">
        <f t="shared" ref="U193" si="88">P193-I193</f>
        <v>4.8900000000000007E-4</v>
      </c>
      <c r="V193" s="77">
        <f t="shared" ref="V193" si="89">Q193-J193</f>
        <v>4.149999999999987E-4</v>
      </c>
    </row>
    <row r="194" spans="1:22">
      <c r="A194" s="182">
        <v>162</v>
      </c>
      <c r="B194" s="62" t="s">
        <v>236</v>
      </c>
      <c r="C194" s="63" t="s">
        <v>32</v>
      </c>
      <c r="D194" s="65">
        <v>8548034626.5799999</v>
      </c>
      <c r="E194" s="72">
        <f t="shared" si="78"/>
        <v>0.16605525868309337</v>
      </c>
      <c r="F194" s="112">
        <v>149.47</v>
      </c>
      <c r="G194" s="112">
        <v>149.47</v>
      </c>
      <c r="H194" s="74">
        <v>691</v>
      </c>
      <c r="I194" s="67">
        <v>2.8E-3</v>
      </c>
      <c r="J194" s="67">
        <v>0.1179</v>
      </c>
      <c r="K194" s="65">
        <v>8392239047.5299997</v>
      </c>
      <c r="L194" s="72">
        <f t="shared" si="79"/>
        <v>0.16370951493541658</v>
      </c>
      <c r="M194" s="112">
        <v>149.88999999999999</v>
      </c>
      <c r="N194" s="112">
        <v>149.88999999999999</v>
      </c>
      <c r="O194" s="74">
        <v>689</v>
      </c>
      <c r="P194" s="67">
        <v>2.8E-3</v>
      </c>
      <c r="Q194" s="67">
        <v>0.121</v>
      </c>
      <c r="R194" s="76">
        <f t="shared" si="85"/>
        <v>-1.8225894706317157E-2</v>
      </c>
      <c r="S194" s="76">
        <f t="shared" si="86"/>
        <v>2.8099284137284236E-3</v>
      </c>
      <c r="T194" s="76">
        <f t="shared" si="82"/>
        <v>-2.8943560057887118E-3</v>
      </c>
      <c r="U194" s="76">
        <f t="shared" si="83"/>
        <v>0</v>
      </c>
      <c r="V194" s="77">
        <f t="shared" si="84"/>
        <v>3.0999999999999917E-3</v>
      </c>
    </row>
    <row r="195" spans="1:22">
      <c r="A195" s="182">
        <v>163</v>
      </c>
      <c r="B195" s="62" t="s">
        <v>237</v>
      </c>
      <c r="C195" s="63" t="s">
        <v>65</v>
      </c>
      <c r="D195" s="65">
        <v>450300030.71087098</v>
      </c>
      <c r="E195" s="72">
        <f t="shared" si="78"/>
        <v>8.7475883464706219E-3</v>
      </c>
      <c r="F195" s="80">
        <v>1142.72133582319</v>
      </c>
      <c r="G195" s="80">
        <v>1142.72133582319</v>
      </c>
      <c r="H195" s="74">
        <v>91</v>
      </c>
      <c r="I195" s="67">
        <v>0.16070000000000001</v>
      </c>
      <c r="J195" s="67">
        <v>0.14149999999999999</v>
      </c>
      <c r="K195" s="65">
        <v>454880997.40005898</v>
      </c>
      <c r="L195" s="72">
        <f t="shared" si="79"/>
        <v>8.8734778663889027E-3</v>
      </c>
      <c r="M195" s="80">
        <v>1146.21270710921</v>
      </c>
      <c r="N195" s="80">
        <v>1146.21270710921</v>
      </c>
      <c r="O195" s="74">
        <v>94</v>
      </c>
      <c r="P195" s="67">
        <v>0.159749219519635</v>
      </c>
      <c r="Q195" s="67">
        <v>0.14236643240994201</v>
      </c>
      <c r="R195" s="76">
        <f t="shared" si="80"/>
        <v>1.0173143186235656E-2</v>
      </c>
      <c r="S195" s="76">
        <f t="shared" si="81"/>
        <v>3.0553129416323616E-3</v>
      </c>
      <c r="T195" s="76">
        <f t="shared" si="82"/>
        <v>3.2967032967032968E-2</v>
      </c>
      <c r="U195" s="76">
        <f t="shared" si="83"/>
        <v>-9.5078048036500995E-4</v>
      </c>
      <c r="V195" s="77">
        <f t="shared" si="84"/>
        <v>8.6643240994202508E-4</v>
      </c>
    </row>
    <row r="196" spans="1:22">
      <c r="A196" s="182">
        <v>164</v>
      </c>
      <c r="B196" s="62" t="s">
        <v>238</v>
      </c>
      <c r="C196" s="63" t="s">
        <v>229</v>
      </c>
      <c r="D196" s="65">
        <v>24103116827.240002</v>
      </c>
      <c r="E196" s="72">
        <f t="shared" si="78"/>
        <v>0.46823035641088728</v>
      </c>
      <c r="F196" s="80">
        <v>1216.8699999999999</v>
      </c>
      <c r="G196" s="80">
        <v>1216.8699999999999</v>
      </c>
      <c r="H196" s="74">
        <v>7725</v>
      </c>
      <c r="I196" s="67">
        <v>2.8E-3</v>
      </c>
      <c r="J196" s="67">
        <v>0.11119999999999999</v>
      </c>
      <c r="K196" s="65">
        <v>24041833330.709999</v>
      </c>
      <c r="L196" s="72">
        <f t="shared" si="79"/>
        <v>0.46899008124501296</v>
      </c>
      <c r="M196" s="80">
        <v>1222.1099999999999</v>
      </c>
      <c r="N196" s="80">
        <v>1222.1099999999999</v>
      </c>
      <c r="O196" s="74">
        <v>7759</v>
      </c>
      <c r="P196" s="67">
        <v>4.3E-3</v>
      </c>
      <c r="Q196" s="67">
        <v>4.3E-3</v>
      </c>
      <c r="R196" s="76">
        <f t="shared" si="80"/>
        <v>-2.5425548475433431E-3</v>
      </c>
      <c r="S196" s="76">
        <f t="shared" si="81"/>
        <v>4.3061296605224958E-3</v>
      </c>
      <c r="T196" s="76">
        <f t="shared" si="82"/>
        <v>4.4012944983818766E-3</v>
      </c>
      <c r="U196" s="76">
        <f t="shared" si="83"/>
        <v>1.5E-3</v>
      </c>
      <c r="V196" s="77">
        <f t="shared" si="84"/>
        <v>-0.1069</v>
      </c>
    </row>
    <row r="197" spans="1:22">
      <c r="A197" s="182">
        <v>165</v>
      </c>
      <c r="B197" s="62" t="s">
        <v>239</v>
      </c>
      <c r="C197" s="63" t="s">
        <v>240</v>
      </c>
      <c r="D197" s="65">
        <v>382121419.32999998</v>
      </c>
      <c r="E197" s="72">
        <f t="shared" si="78"/>
        <v>7.4231415649495423E-3</v>
      </c>
      <c r="F197" s="113">
        <v>123.69</v>
      </c>
      <c r="G197" s="113">
        <v>123.97</v>
      </c>
      <c r="H197" s="92">
        <v>166</v>
      </c>
      <c r="I197" s="67">
        <v>4.0000000000000001E-3</v>
      </c>
      <c r="J197" s="67">
        <v>0.24529999999999999</v>
      </c>
      <c r="K197" s="65">
        <v>379439607.54000002</v>
      </c>
      <c r="L197" s="72">
        <f t="shared" si="79"/>
        <v>7.4018237261652764E-3</v>
      </c>
      <c r="M197" s="113">
        <v>123.77</v>
      </c>
      <c r="N197" s="113">
        <v>124.05</v>
      </c>
      <c r="O197" s="92">
        <v>166</v>
      </c>
      <c r="P197" s="67">
        <v>6.9999999999999999E-4</v>
      </c>
      <c r="Q197" s="67">
        <v>0.2462</v>
      </c>
      <c r="R197" s="76">
        <f t="shared" si="80"/>
        <v>-7.0182189595709363E-3</v>
      </c>
      <c r="S197" s="76">
        <f t="shared" si="81"/>
        <v>6.4531741550373717E-4</v>
      </c>
      <c r="T197" s="76">
        <f t="shared" si="82"/>
        <v>0</v>
      </c>
      <c r="U197" s="76">
        <f t="shared" si="83"/>
        <v>-3.3E-3</v>
      </c>
      <c r="V197" s="77">
        <f t="shared" si="84"/>
        <v>9.000000000000119E-4</v>
      </c>
    </row>
    <row r="198" spans="1:22">
      <c r="A198" s="182">
        <v>166</v>
      </c>
      <c r="B198" s="62" t="s">
        <v>241</v>
      </c>
      <c r="C198" s="63" t="s">
        <v>240</v>
      </c>
      <c r="D198" s="65">
        <v>104036145.02</v>
      </c>
      <c r="E198" s="72">
        <f t="shared" si="78"/>
        <v>2.0210200038227738E-3</v>
      </c>
      <c r="F198" s="113">
        <v>108.2</v>
      </c>
      <c r="G198" s="113">
        <v>108.2</v>
      </c>
      <c r="H198" s="92">
        <v>72</v>
      </c>
      <c r="I198" s="67">
        <v>4.3E-3</v>
      </c>
      <c r="J198" s="67">
        <v>8.0500000000000002E-2</v>
      </c>
      <c r="K198" s="65">
        <v>104482767.81999999</v>
      </c>
      <c r="L198" s="72">
        <f t="shared" si="79"/>
        <v>2.0381715942607991E-3</v>
      </c>
      <c r="M198" s="113">
        <v>108.67</v>
      </c>
      <c r="N198" s="113">
        <v>108.67</v>
      </c>
      <c r="O198" s="92">
        <v>72</v>
      </c>
      <c r="P198" s="67">
        <v>4.3E-3</v>
      </c>
      <c r="Q198" s="67">
        <v>8.5099999999999995E-2</v>
      </c>
      <c r="R198" s="76">
        <f t="shared" si="80"/>
        <v>4.2929579898807078E-3</v>
      </c>
      <c r="S198" s="76">
        <f t="shared" si="81"/>
        <v>4.3438077634010983E-3</v>
      </c>
      <c r="T198" s="76">
        <f t="shared" si="82"/>
        <v>0</v>
      </c>
      <c r="U198" s="76">
        <f t="shared" si="83"/>
        <v>0</v>
      </c>
      <c r="V198" s="77">
        <f t="shared" si="84"/>
        <v>4.599999999999993E-3</v>
      </c>
    </row>
    <row r="199" spans="1:22" ht="13.5" customHeight="1">
      <c r="A199" s="182">
        <v>167</v>
      </c>
      <c r="B199" s="62" t="s">
        <v>242</v>
      </c>
      <c r="C199" s="63" t="s">
        <v>90</v>
      </c>
      <c r="D199" s="65">
        <v>1064560922.62</v>
      </c>
      <c r="E199" s="72">
        <f t="shared" si="78"/>
        <v>2.0680302211211709E-2</v>
      </c>
      <c r="F199" s="99">
        <v>102.95229999999999</v>
      </c>
      <c r="G199" s="99">
        <v>102.95229999999999</v>
      </c>
      <c r="H199" s="74">
        <v>579</v>
      </c>
      <c r="I199" s="67">
        <v>2.3999999999999998E-3</v>
      </c>
      <c r="J199" s="67">
        <v>9.3100000000000002E-2</v>
      </c>
      <c r="K199" s="65">
        <v>1064436274.7</v>
      </c>
      <c r="L199" s="72">
        <f t="shared" si="79"/>
        <v>2.0764225759523195E-2</v>
      </c>
      <c r="M199" s="99">
        <v>103.19</v>
      </c>
      <c r="N199" s="99">
        <v>103.19</v>
      </c>
      <c r="O199" s="74">
        <v>579</v>
      </c>
      <c r="P199" s="67">
        <v>2.3E-3</v>
      </c>
      <c r="Q199" s="67">
        <v>9.5399999999999999E-2</v>
      </c>
      <c r="R199" s="76">
        <f t="shared" si="80"/>
        <v>-1.1708857365643765E-4</v>
      </c>
      <c r="S199" s="76">
        <f t="shared" si="81"/>
        <v>2.3088362280396244E-3</v>
      </c>
      <c r="T199" s="76">
        <f t="shared" si="82"/>
        <v>0</v>
      </c>
      <c r="U199" s="76">
        <f t="shared" si="83"/>
        <v>-9.9999999999999829E-5</v>
      </c>
      <c r="V199" s="77">
        <f t="shared" si="84"/>
        <v>2.2999999999999965E-3</v>
      </c>
    </row>
    <row r="200" spans="1:22" ht="15.75" customHeight="1">
      <c r="A200" s="182">
        <v>168</v>
      </c>
      <c r="B200" s="62" t="s">
        <v>243</v>
      </c>
      <c r="C200" s="63" t="s">
        <v>50</v>
      </c>
      <c r="D200" s="65">
        <v>7032329091.7600002</v>
      </c>
      <c r="E200" s="72">
        <f t="shared" si="78"/>
        <v>0.13661096117296137</v>
      </c>
      <c r="F200" s="99">
        <v>133.07</v>
      </c>
      <c r="G200" s="99">
        <v>133.07</v>
      </c>
      <c r="H200" s="74">
        <v>1241</v>
      </c>
      <c r="I200" s="67">
        <v>1.6999999999999999E-3</v>
      </c>
      <c r="J200" s="67">
        <v>3.73E-2</v>
      </c>
      <c r="K200" s="65">
        <v>7014703637.8999996</v>
      </c>
      <c r="L200" s="72">
        <f t="shared" si="79"/>
        <v>0.13683758571132454</v>
      </c>
      <c r="M200" s="99">
        <v>133.21</v>
      </c>
      <c r="N200" s="99">
        <v>133.21</v>
      </c>
      <c r="O200" s="74">
        <v>1244</v>
      </c>
      <c r="P200" s="67">
        <v>1.1000000000000001E-3</v>
      </c>
      <c r="Q200" s="67">
        <v>3.8399999999999997E-2</v>
      </c>
      <c r="R200" s="76">
        <f t="shared" si="80"/>
        <v>-2.5063465645617901E-3</v>
      </c>
      <c r="S200" s="76">
        <f t="shared" si="81"/>
        <v>1.0520778537612895E-3</v>
      </c>
      <c r="T200" s="76">
        <f t="shared" si="82"/>
        <v>2.4174053182917004E-3</v>
      </c>
      <c r="U200" s="76">
        <f t="shared" si="83"/>
        <v>-5.9999999999999984E-4</v>
      </c>
      <c r="V200" s="77">
        <f t="shared" si="84"/>
        <v>1.0999999999999968E-3</v>
      </c>
    </row>
    <row r="201" spans="1:22">
      <c r="A201" s="182">
        <v>169</v>
      </c>
      <c r="B201" s="62" t="s">
        <v>244</v>
      </c>
      <c r="C201" s="63" t="s">
        <v>53</v>
      </c>
      <c r="D201" s="65">
        <v>3848080341.9899998</v>
      </c>
      <c r="E201" s="72">
        <f t="shared" si="78"/>
        <v>7.4753321030723546E-2</v>
      </c>
      <c r="F201" s="99">
        <v>1.1884999999999999</v>
      </c>
      <c r="G201" s="99">
        <v>1.1884999999999999</v>
      </c>
      <c r="H201" s="74">
        <v>1068</v>
      </c>
      <c r="I201" s="67">
        <v>9.6600000000000005E-2</v>
      </c>
      <c r="J201" s="67">
        <v>9.6799999999999997E-2</v>
      </c>
      <c r="K201" s="65">
        <v>3801755177.98</v>
      </c>
      <c r="L201" s="72">
        <f t="shared" si="79"/>
        <v>7.4161793124028527E-2</v>
      </c>
      <c r="M201" s="99">
        <v>1.1906000000000001</v>
      </c>
      <c r="N201" s="99">
        <v>1.1906000000000001</v>
      </c>
      <c r="O201" s="74">
        <v>1123</v>
      </c>
      <c r="P201" s="67">
        <v>9.64E-2</v>
      </c>
      <c r="Q201" s="67">
        <v>9.6699999999999994E-2</v>
      </c>
      <c r="R201" s="76">
        <f t="shared" si="80"/>
        <v>-1.2038512685014033E-2</v>
      </c>
      <c r="S201" s="76">
        <f t="shared" si="81"/>
        <v>1.7669331089610542E-3</v>
      </c>
      <c r="T201" s="76">
        <f t="shared" si="82"/>
        <v>5.1498127340823971E-2</v>
      </c>
      <c r="U201" s="76">
        <f t="shared" si="83"/>
        <v>-2.0000000000000573E-4</v>
      </c>
      <c r="V201" s="77">
        <f t="shared" si="84"/>
        <v>-1.0000000000000286E-4</v>
      </c>
    </row>
    <row r="202" spans="1:22" ht="6" customHeight="1">
      <c r="A202" s="181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</row>
    <row r="203" spans="1:22">
      <c r="A203" s="137" t="s">
        <v>293</v>
      </c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</row>
    <row r="204" spans="1:22">
      <c r="A204" s="187">
        <v>170</v>
      </c>
      <c r="B204" s="60" t="s">
        <v>245</v>
      </c>
      <c r="C204" s="61" t="s">
        <v>229</v>
      </c>
      <c r="D204" s="65">
        <v>210460763.19</v>
      </c>
      <c r="E204" s="72">
        <f t="shared" ref="E204" si="90">(D204/$D$205)</f>
        <v>4.0884388050425064E-3</v>
      </c>
      <c r="F204" s="80">
        <v>1130.98</v>
      </c>
      <c r="G204" s="80">
        <v>1130.98</v>
      </c>
      <c r="H204" s="74">
        <v>66</v>
      </c>
      <c r="I204" s="67">
        <v>2.8999999999999998E-3</v>
      </c>
      <c r="J204" s="67">
        <v>0.13100000000000001</v>
      </c>
      <c r="K204" s="65">
        <v>210622171.88</v>
      </c>
      <c r="L204" s="72">
        <f t="shared" ref="L204" si="91">(K204/$K$205)</f>
        <v>4.1086596077440293E-3</v>
      </c>
      <c r="M204" s="80">
        <v>1131.79</v>
      </c>
      <c r="N204" s="80">
        <v>1131.79</v>
      </c>
      <c r="O204" s="74">
        <v>66</v>
      </c>
      <c r="P204" s="67">
        <v>6.9999999999999999E-4</v>
      </c>
      <c r="Q204" s="67">
        <v>0.1318</v>
      </c>
      <c r="R204" s="76">
        <f t="shared" ref="R204" si="92">((K204-D204)/D204)</f>
        <v>7.6693008023676556E-4</v>
      </c>
      <c r="S204" s="76">
        <f t="shared" ref="S204" si="93">((N204-G204)/G204)</f>
        <v>7.1619303612791159E-4</v>
      </c>
      <c r="T204" s="76">
        <f t="shared" ref="T204" si="94">((O204-H204)/H204)</f>
        <v>0</v>
      </c>
      <c r="U204" s="76">
        <f t="shared" ref="U204" si="95">P204-I204</f>
        <v>-2.1999999999999997E-3</v>
      </c>
      <c r="V204" s="77">
        <f t="shared" ref="V204" si="96">Q204-J204</f>
        <v>7.9999999999999516E-4</v>
      </c>
    </row>
    <row r="205" spans="1:22">
      <c r="A205" s="181"/>
      <c r="B205" s="81"/>
      <c r="C205" s="104" t="s">
        <v>54</v>
      </c>
      <c r="D205" s="96">
        <f>SUM(D186:D204)</f>
        <v>51477048630.500877</v>
      </c>
      <c r="E205" s="84">
        <f>(D205/$D$206)</f>
        <v>1.4264902925701773E-2</v>
      </c>
      <c r="F205" s="85"/>
      <c r="G205" s="107"/>
      <c r="H205" s="139">
        <f>SUM(H186:H204)</f>
        <v>27658</v>
      </c>
      <c r="I205" s="108"/>
      <c r="J205" s="108"/>
      <c r="K205" s="96">
        <f>SUM(K186:K204)</f>
        <v>51262988903.490059</v>
      </c>
      <c r="L205" s="84">
        <f>(K205/$K$206)</f>
        <v>1.4045208538506257E-2</v>
      </c>
      <c r="M205" s="85"/>
      <c r="N205" s="107"/>
      <c r="O205" s="139">
        <f>SUM(O186:O204)</f>
        <v>27755</v>
      </c>
      <c r="P205" s="108"/>
      <c r="Q205" s="108"/>
      <c r="R205" s="76">
        <f t="shared" si="80"/>
        <v>-4.1583527553672736E-3</v>
      </c>
      <c r="S205" s="76" t="e">
        <f t="shared" si="81"/>
        <v>#DIV/0!</v>
      </c>
      <c r="T205" s="76">
        <f t="shared" si="82"/>
        <v>3.5071227131390557E-3</v>
      </c>
      <c r="U205" s="76">
        <f t="shared" si="83"/>
        <v>0</v>
      </c>
      <c r="V205" s="77">
        <f t="shared" si="84"/>
        <v>0</v>
      </c>
    </row>
    <row r="206" spans="1:22">
      <c r="A206" s="114"/>
      <c r="B206" s="114"/>
      <c r="C206" s="115" t="s">
        <v>246</v>
      </c>
      <c r="D206" s="116">
        <f>SUM(D24,D63,D102,D136,D144,D176,D182,D205)</f>
        <v>3608650468819.6763</v>
      </c>
      <c r="E206" s="117"/>
      <c r="F206" s="117"/>
      <c r="G206" s="118"/>
      <c r="H206" s="116">
        <f>SUM(H24,H63,H102,H136,H144,H176,H182,H205)</f>
        <v>779165</v>
      </c>
      <c r="I206" s="119"/>
      <c r="J206" s="119"/>
      <c r="K206" s="116">
        <f>SUM(K24,K63,K102,K136,K144,K176,K182,K205)</f>
        <v>3649856017655.2568</v>
      </c>
      <c r="L206" s="117"/>
      <c r="M206" s="117"/>
      <c r="N206" s="118"/>
      <c r="O206" s="116">
        <f>SUM(O24,O63,O102,O136,O144,O176,O182,O205)</f>
        <v>781801</v>
      </c>
      <c r="P206" s="120"/>
      <c r="Q206" s="116"/>
      <c r="R206" s="121">
        <f t="shared" si="80"/>
        <v>1.141854806710004E-2</v>
      </c>
      <c r="S206" s="121"/>
      <c r="T206" s="121"/>
      <c r="U206" s="121"/>
      <c r="V206" s="121"/>
    </row>
    <row r="207" spans="1:22" ht="6.75" customHeight="1">
      <c r="A207" s="181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1"/>
    </row>
    <row r="208" spans="1:22" ht="15.75">
      <c r="A208" s="98" t="s">
        <v>294</v>
      </c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</row>
    <row r="209" spans="1:22">
      <c r="A209" s="186">
        <v>171</v>
      </c>
      <c r="B209" s="60" t="s">
        <v>247</v>
      </c>
      <c r="C209" s="61" t="s">
        <v>248</v>
      </c>
      <c r="D209" s="65">
        <v>103175705234</v>
      </c>
      <c r="E209" s="72">
        <f>(D209/$D$211)</f>
        <v>0.88041686156640986</v>
      </c>
      <c r="F209" s="99">
        <v>107.39</v>
      </c>
      <c r="G209" s="99">
        <v>107.39</v>
      </c>
      <c r="H209" s="74">
        <v>0</v>
      </c>
      <c r="I209" s="67">
        <v>0</v>
      </c>
      <c r="J209" s="67">
        <v>0.13800000000000001</v>
      </c>
      <c r="K209" s="65">
        <v>103175705234</v>
      </c>
      <c r="L209" s="72">
        <f>(K209/$K$211)</f>
        <v>0.88062702202481524</v>
      </c>
      <c r="M209" s="99">
        <v>107.39</v>
      </c>
      <c r="N209" s="99">
        <v>107.39</v>
      </c>
      <c r="O209" s="74">
        <v>0</v>
      </c>
      <c r="P209" s="67">
        <v>0</v>
      </c>
      <c r="Q209" s="67">
        <v>0.13800000000000001</v>
      </c>
      <c r="R209" s="76">
        <f>((K209-D209)/D209)</f>
        <v>0</v>
      </c>
      <c r="S209" s="76">
        <f>((N209-G209)/G209)</f>
        <v>0</v>
      </c>
      <c r="T209" s="76" t="e">
        <f>((O209-H209)/H209)</f>
        <v>#DIV/0!</v>
      </c>
      <c r="U209" s="76">
        <f>P209-I209</f>
        <v>0</v>
      </c>
      <c r="V209" s="77">
        <f>Q209-J209</f>
        <v>0</v>
      </c>
    </row>
    <row r="210" spans="1:22">
      <c r="A210" s="186">
        <v>172</v>
      </c>
      <c r="B210" s="60" t="s">
        <v>249</v>
      </c>
      <c r="C210" s="61" t="s">
        <v>53</v>
      </c>
      <c r="D210" s="65">
        <v>14013900892.389999</v>
      </c>
      <c r="E210" s="72">
        <f>(D210/$D$211)</f>
        <v>0.11958313843359014</v>
      </c>
      <c r="F210" s="122">
        <v>1000000</v>
      </c>
      <c r="G210" s="122">
        <v>1000000</v>
      </c>
      <c r="H210" s="74">
        <v>0</v>
      </c>
      <c r="I210" s="67">
        <v>0.1822</v>
      </c>
      <c r="J210" s="67">
        <v>0.1822</v>
      </c>
      <c r="K210" s="65">
        <v>13985933749.969999</v>
      </c>
      <c r="L210" s="72">
        <f>(K210/$K$211)</f>
        <v>0.11937297797518476</v>
      </c>
      <c r="M210" s="122">
        <v>1000000</v>
      </c>
      <c r="N210" s="122">
        <v>1000000</v>
      </c>
      <c r="O210" s="74">
        <v>26</v>
      </c>
      <c r="P210" s="67">
        <v>0.19270000000000001</v>
      </c>
      <c r="Q210" s="67">
        <v>0.19270000000000001</v>
      </c>
      <c r="R210" s="76">
        <f>((K210-D210)/D210)</f>
        <v>-1.9956714861018559E-3</v>
      </c>
      <c r="S210" s="76">
        <f>((N210-G210)/G210)</f>
        <v>0</v>
      </c>
      <c r="T210" s="76" t="e">
        <f>((O210-H210)/H210)</f>
        <v>#DIV/0!</v>
      </c>
      <c r="U210" s="76">
        <f>P210-I210</f>
        <v>1.0500000000000009E-2</v>
      </c>
      <c r="V210" s="77">
        <f>Q210-J210</f>
        <v>1.0500000000000009E-2</v>
      </c>
    </row>
    <row r="211" spans="1:22">
      <c r="A211" s="114"/>
      <c r="B211" s="114"/>
      <c r="C211" s="115" t="s">
        <v>250</v>
      </c>
      <c r="D211" s="123">
        <f>SUM(D209:D210)</f>
        <v>117189606126.39</v>
      </c>
      <c r="E211" s="124"/>
      <c r="F211" s="125"/>
      <c r="G211" s="125"/>
      <c r="H211" s="123">
        <f>SUM(H209:H210)</f>
        <v>0</v>
      </c>
      <c r="I211" s="126"/>
      <c r="J211" s="126"/>
      <c r="K211" s="123">
        <f>SUM(K209:K210)</f>
        <v>117161638983.97</v>
      </c>
      <c r="L211" s="124"/>
      <c r="M211" s="125"/>
      <c r="N211" s="125"/>
      <c r="O211" s="126"/>
      <c r="P211" s="126"/>
      <c r="Q211" s="123"/>
      <c r="R211" s="121">
        <f>((K211-D211)/D211)</f>
        <v>-2.3864865959047056E-4</v>
      </c>
      <c r="S211" s="127"/>
      <c r="T211" s="127"/>
      <c r="U211" s="121"/>
      <c r="V211" s="128"/>
    </row>
    <row r="212" spans="1:22" ht="4.5" customHeight="1">
      <c r="A212" s="181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</row>
    <row r="213" spans="1:22" ht="15.75">
      <c r="A213" s="98" t="s">
        <v>295</v>
      </c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</row>
    <row r="214" spans="1:22">
      <c r="A214" s="186">
        <v>173</v>
      </c>
      <c r="B214" s="60" t="s">
        <v>251</v>
      </c>
      <c r="C214" s="61" t="s">
        <v>83</v>
      </c>
      <c r="D214" s="130">
        <v>930709617.03028905</v>
      </c>
      <c r="E214" s="131">
        <f t="shared" ref="E214:E225" si="97">(D214/$D$226)</f>
        <v>7.3278173204789673E-2</v>
      </c>
      <c r="F214" s="122">
        <v>219.33</v>
      </c>
      <c r="G214" s="122">
        <v>224.72</v>
      </c>
      <c r="H214" s="132">
        <v>61</v>
      </c>
      <c r="I214" s="88">
        <v>2.8348040784600399E-3</v>
      </c>
      <c r="J214" s="88">
        <v>0.25290000000000001</v>
      </c>
      <c r="K214" s="130">
        <v>951783993.63</v>
      </c>
      <c r="L214" s="131">
        <f t="shared" ref="L214:L225" si="98">(K214/$K$226)</f>
        <v>7.4421178359610429E-2</v>
      </c>
      <c r="M214" s="122">
        <v>218.79236084537999</v>
      </c>
      <c r="N214" s="122">
        <v>224.29</v>
      </c>
      <c r="O214" s="132">
        <v>61</v>
      </c>
      <c r="P214" s="88">
        <v>3.76575581270799E-4</v>
      </c>
      <c r="Q214" s="88">
        <v>0.24929999999999999</v>
      </c>
      <c r="R214" s="76">
        <f>((K214-D214)/D214)</f>
        <v>2.2643342471258782E-2</v>
      </c>
      <c r="S214" s="76">
        <f>((N214-G214)/G214)</f>
        <v>-1.9134923460306463E-3</v>
      </c>
      <c r="T214" s="76">
        <f>((O214-H214)/H214)</f>
        <v>0</v>
      </c>
      <c r="U214" s="76">
        <f>P214-I214</f>
        <v>-2.458228497189241E-3</v>
      </c>
      <c r="V214" s="77">
        <f>Q214-J214</f>
        <v>-3.6000000000000199E-3</v>
      </c>
    </row>
    <row r="215" spans="1:22">
      <c r="A215" s="186">
        <v>174</v>
      </c>
      <c r="B215" s="60" t="s">
        <v>252</v>
      </c>
      <c r="C215" s="61" t="s">
        <v>229</v>
      </c>
      <c r="D215" s="130">
        <v>967095820.73000002</v>
      </c>
      <c r="E215" s="131">
        <f t="shared" si="97"/>
        <v>7.6142992143138952E-2</v>
      </c>
      <c r="F215" s="122">
        <v>27.51</v>
      </c>
      <c r="G215" s="122">
        <v>30.4</v>
      </c>
      <c r="H215" s="132">
        <v>212</v>
      </c>
      <c r="I215" s="88">
        <v>-2.0000000000000001E-4</v>
      </c>
      <c r="J215" s="88">
        <v>0.2833</v>
      </c>
      <c r="K215" s="130">
        <v>965316638.54999995</v>
      </c>
      <c r="L215" s="131">
        <f t="shared" si="98"/>
        <v>7.5479312755659222E-2</v>
      </c>
      <c r="M215" s="122">
        <v>27.46</v>
      </c>
      <c r="N215" s="122">
        <v>30.35</v>
      </c>
      <c r="O215" s="132">
        <v>212</v>
      </c>
      <c r="P215" s="88">
        <v>-1.8E-3</v>
      </c>
      <c r="Q215" s="88">
        <v>0.28089999999999998</v>
      </c>
      <c r="R215" s="76">
        <f t="shared" ref="R215:R226" si="99">((K215-D215)/D215)</f>
        <v>-1.8397165429347774E-3</v>
      </c>
      <c r="S215" s="76">
        <f t="shared" ref="S215:S226" si="100">((N215-G215)/G215)</f>
        <v>-1.6447368421051698E-3</v>
      </c>
      <c r="T215" s="76">
        <f t="shared" ref="T215:T226" si="101">((O215-H215)/H215)</f>
        <v>0</v>
      </c>
      <c r="U215" s="76">
        <f t="shared" ref="U215:U226" si="102">P215-I215</f>
        <v>-1.5999999999999999E-3</v>
      </c>
      <c r="V215" s="77">
        <f t="shared" ref="V215:V226" si="103">Q215-J215</f>
        <v>-2.4000000000000132E-3</v>
      </c>
    </row>
    <row r="216" spans="1:22">
      <c r="A216" s="186">
        <v>175</v>
      </c>
      <c r="B216" s="62" t="s">
        <v>253</v>
      </c>
      <c r="C216" s="63" t="s">
        <v>44</v>
      </c>
      <c r="D216" s="130">
        <v>299600257.5</v>
      </c>
      <c r="E216" s="131">
        <f t="shared" si="97"/>
        <v>2.3588624378177138E-2</v>
      </c>
      <c r="F216" s="122">
        <v>22.35342</v>
      </c>
      <c r="G216" s="122">
        <v>22.574282</v>
      </c>
      <c r="H216" s="132">
        <v>167</v>
      </c>
      <c r="I216" s="88">
        <v>7.7368699771256403E-3</v>
      </c>
      <c r="J216" s="88">
        <v>-1.9833353401120701E-2</v>
      </c>
      <c r="K216" s="130">
        <v>294794655</v>
      </c>
      <c r="L216" s="131">
        <f t="shared" si="98"/>
        <v>2.3050362000249666E-2</v>
      </c>
      <c r="M216" s="122">
        <v>21.99</v>
      </c>
      <c r="N216" s="122">
        <v>22.22</v>
      </c>
      <c r="O216" s="132">
        <v>167</v>
      </c>
      <c r="P216" s="88">
        <v>-2.5600000000000001E-2</v>
      </c>
      <c r="Q216" s="88">
        <v>-4.4499999999999998E-2</v>
      </c>
      <c r="R216" s="76">
        <f t="shared" si="99"/>
        <v>-1.6040047962909379E-2</v>
      </c>
      <c r="S216" s="76">
        <f t="shared" si="100"/>
        <v>-1.5694053968139554E-2</v>
      </c>
      <c r="T216" s="76">
        <f t="shared" si="101"/>
        <v>0</v>
      </c>
      <c r="U216" s="76">
        <f t="shared" si="102"/>
        <v>-3.3336869977125642E-2</v>
      </c>
      <c r="V216" s="77">
        <f t="shared" si="103"/>
        <v>-2.4666646598879297E-2</v>
      </c>
    </row>
    <row r="217" spans="1:22">
      <c r="A217" s="186">
        <v>176</v>
      </c>
      <c r="B217" s="62" t="s">
        <v>254</v>
      </c>
      <c r="C217" s="63" t="s">
        <v>44</v>
      </c>
      <c r="D217" s="130">
        <v>745033492.77999997</v>
      </c>
      <c r="E217" s="131">
        <f t="shared" si="97"/>
        <v>5.8659212635519077E-2</v>
      </c>
      <c r="F217" s="122">
        <v>55.906244999999998</v>
      </c>
      <c r="G217" s="122">
        <v>56.261069999999997</v>
      </c>
      <c r="H217" s="132">
        <v>99</v>
      </c>
      <c r="I217" s="88">
        <v>2.6550754743486199E-2</v>
      </c>
      <c r="J217" s="88">
        <v>0.52075734776425397</v>
      </c>
      <c r="K217" s="130">
        <v>739317602.32000005</v>
      </c>
      <c r="L217" s="131">
        <f t="shared" si="98"/>
        <v>5.7808166049118571E-2</v>
      </c>
      <c r="M217" s="122">
        <v>55.48</v>
      </c>
      <c r="N217" s="122">
        <v>55.84</v>
      </c>
      <c r="O217" s="132">
        <v>99</v>
      </c>
      <c r="P217" s="88">
        <v>-1.3899999999999999E-2</v>
      </c>
      <c r="Q217" s="88">
        <v>0.5</v>
      </c>
      <c r="R217" s="76">
        <f t="shared" si="99"/>
        <v>-7.6719912801124996E-3</v>
      </c>
      <c r="S217" s="76">
        <f t="shared" si="100"/>
        <v>-7.4842159951809166E-3</v>
      </c>
      <c r="T217" s="76">
        <f t="shared" si="101"/>
        <v>0</v>
      </c>
      <c r="U217" s="76">
        <f t="shared" si="102"/>
        <v>-4.0450754743486195E-2</v>
      </c>
      <c r="V217" s="77">
        <f t="shared" si="103"/>
        <v>-2.0757347764253975E-2</v>
      </c>
    </row>
    <row r="218" spans="1:22">
      <c r="A218" s="186">
        <v>177</v>
      </c>
      <c r="B218" s="60" t="s">
        <v>255</v>
      </c>
      <c r="C218" s="61" t="s">
        <v>256</v>
      </c>
      <c r="D218" s="130">
        <v>1342871971.78</v>
      </c>
      <c r="E218" s="131">
        <f t="shared" si="97"/>
        <v>0.10572922331450436</v>
      </c>
      <c r="F218" s="122">
        <v>38000</v>
      </c>
      <c r="G218" s="122">
        <v>44000</v>
      </c>
      <c r="H218" s="132">
        <v>226</v>
      </c>
      <c r="I218" s="88">
        <v>-0.02</v>
      </c>
      <c r="J218" s="88">
        <v>1.3</v>
      </c>
      <c r="K218" s="130">
        <v>1393834379.98</v>
      </c>
      <c r="L218" s="131">
        <f t="shared" si="98"/>
        <v>0.10898564978029383</v>
      </c>
      <c r="M218" s="122">
        <v>39000</v>
      </c>
      <c r="N218" s="122">
        <v>45180</v>
      </c>
      <c r="O218" s="132">
        <v>226</v>
      </c>
      <c r="P218" s="88">
        <v>0.04</v>
      </c>
      <c r="Q218" s="88">
        <v>1.38</v>
      </c>
      <c r="R218" s="76">
        <f t="shared" si="99"/>
        <v>3.7950310432385073E-2</v>
      </c>
      <c r="S218" s="76">
        <f t="shared" si="100"/>
        <v>2.6818181818181817E-2</v>
      </c>
      <c r="T218" s="76">
        <f t="shared" si="101"/>
        <v>0</v>
      </c>
      <c r="U218" s="76">
        <f t="shared" si="102"/>
        <v>0.06</v>
      </c>
      <c r="V218" s="77">
        <f t="shared" si="103"/>
        <v>7.9999999999999849E-2</v>
      </c>
    </row>
    <row r="219" spans="1:22">
      <c r="A219" s="186">
        <v>178</v>
      </c>
      <c r="B219" s="62" t="s">
        <v>257</v>
      </c>
      <c r="C219" s="63" t="s">
        <v>258</v>
      </c>
      <c r="D219" s="130">
        <v>1107461527.8900001</v>
      </c>
      <c r="E219" s="131">
        <f t="shared" si="97"/>
        <v>8.7194497804059329E-2</v>
      </c>
      <c r="F219" s="122">
        <v>841.4</v>
      </c>
      <c r="G219" s="122">
        <v>841.4</v>
      </c>
      <c r="H219" s="132">
        <v>127</v>
      </c>
      <c r="I219" s="88">
        <v>6.4999999999999997E-3</v>
      </c>
      <c r="J219" s="88">
        <v>0.20250000000000001</v>
      </c>
      <c r="K219" s="130">
        <v>1106737409.4100001</v>
      </c>
      <c r="L219" s="131">
        <f t="shared" si="98"/>
        <v>8.6537179332912342E-2</v>
      </c>
      <c r="M219" s="122">
        <v>841</v>
      </c>
      <c r="N219" s="122">
        <v>841</v>
      </c>
      <c r="O219" s="132">
        <v>127</v>
      </c>
      <c r="P219" s="88">
        <v>-5.9999999999999995E-4</v>
      </c>
      <c r="Q219" s="88">
        <v>0.20180000000000001</v>
      </c>
      <c r="R219" s="76">
        <f t="shared" si="99"/>
        <v>-6.538542981079005E-4</v>
      </c>
      <c r="S219" s="76">
        <f t="shared" si="100"/>
        <v>-4.7539814594720379E-4</v>
      </c>
      <c r="T219" s="76">
        <f t="shared" si="101"/>
        <v>0</v>
      </c>
      <c r="U219" s="76">
        <f t="shared" si="102"/>
        <v>-7.0999999999999995E-3</v>
      </c>
      <c r="V219" s="77">
        <f t="shared" si="103"/>
        <v>-7.0000000000000617E-4</v>
      </c>
    </row>
    <row r="220" spans="1:22">
      <c r="A220" s="186">
        <v>179</v>
      </c>
      <c r="B220" s="62" t="s">
        <v>259</v>
      </c>
      <c r="C220" s="63" t="s">
        <v>258</v>
      </c>
      <c r="D220" s="130">
        <v>880773965.04999995</v>
      </c>
      <c r="E220" s="131">
        <f t="shared" si="97"/>
        <v>6.9346556631855252E-2</v>
      </c>
      <c r="F220" s="122">
        <v>480.5</v>
      </c>
      <c r="G220" s="122">
        <v>480.5</v>
      </c>
      <c r="H220" s="132">
        <v>586</v>
      </c>
      <c r="I220" s="88">
        <v>5.7000000000000002E-3</v>
      </c>
      <c r="J220" s="88">
        <v>0.31890000000000002</v>
      </c>
      <c r="K220" s="130">
        <v>880849958.92999995</v>
      </c>
      <c r="L220" s="131">
        <f t="shared" si="98"/>
        <v>6.8874757655431537E-2</v>
      </c>
      <c r="M220" s="122">
        <v>507.99</v>
      </c>
      <c r="N220" s="122">
        <v>507.99</v>
      </c>
      <c r="O220" s="132">
        <v>586</v>
      </c>
      <c r="P220" s="88">
        <v>1E-4</v>
      </c>
      <c r="Q220" s="88">
        <v>0.31900000000000001</v>
      </c>
      <c r="R220" s="76">
        <f t="shared" si="99"/>
        <v>8.6280797361762616E-5</v>
      </c>
      <c r="S220" s="76">
        <f t="shared" si="100"/>
        <v>5.721123829344435E-2</v>
      </c>
      <c r="T220" s="76">
        <f t="shared" si="101"/>
        <v>0</v>
      </c>
      <c r="U220" s="76">
        <f t="shared" si="102"/>
        <v>-5.5999999999999999E-3</v>
      </c>
      <c r="V220" s="77">
        <f t="shared" si="103"/>
        <v>9.9999999999988987E-5</v>
      </c>
    </row>
    <row r="221" spans="1:22">
      <c r="A221" s="186">
        <v>180</v>
      </c>
      <c r="B221" s="60" t="s">
        <v>260</v>
      </c>
      <c r="C221" s="61" t="s">
        <v>261</v>
      </c>
      <c r="D221" s="130">
        <v>50014888.060000002</v>
      </c>
      <c r="E221" s="131">
        <f t="shared" si="97"/>
        <v>3.9378551193799179E-3</v>
      </c>
      <c r="F221" s="122">
        <v>15.46</v>
      </c>
      <c r="G221" s="122">
        <v>15.56</v>
      </c>
      <c r="H221" s="132">
        <v>61</v>
      </c>
      <c r="I221" s="88">
        <v>0</v>
      </c>
      <c r="J221" s="88">
        <v>0.43230000000000002</v>
      </c>
      <c r="K221" s="130">
        <v>53790910.049999997</v>
      </c>
      <c r="L221" s="131">
        <f t="shared" si="98"/>
        <v>4.2059783918923762E-3</v>
      </c>
      <c r="M221" s="122">
        <v>15.68</v>
      </c>
      <c r="N221" s="122">
        <v>15.78</v>
      </c>
      <c r="O221" s="132">
        <v>61</v>
      </c>
      <c r="P221" s="88">
        <v>0</v>
      </c>
      <c r="Q221" s="88">
        <v>0.43230000000000002</v>
      </c>
      <c r="R221" s="76">
        <f t="shared" si="99"/>
        <v>7.549795943700037E-2</v>
      </c>
      <c r="S221" s="76">
        <f t="shared" si="100"/>
        <v>1.4138817480719721E-2</v>
      </c>
      <c r="T221" s="76">
        <f t="shared" si="101"/>
        <v>0</v>
      </c>
      <c r="U221" s="76">
        <f t="shared" si="102"/>
        <v>0</v>
      </c>
      <c r="V221" s="77">
        <f t="shared" si="103"/>
        <v>0</v>
      </c>
    </row>
    <row r="222" spans="1:22">
      <c r="A222" s="186">
        <v>181</v>
      </c>
      <c r="B222" s="60" t="s">
        <v>262</v>
      </c>
      <c r="C222" s="61" t="s">
        <v>261</v>
      </c>
      <c r="D222" s="133">
        <v>593894765.15999997</v>
      </c>
      <c r="E222" s="131">
        <f t="shared" si="97"/>
        <v>4.6759507660052539E-2</v>
      </c>
      <c r="F222" s="122">
        <v>9.26</v>
      </c>
      <c r="G222" s="122">
        <v>9.36</v>
      </c>
      <c r="H222" s="132">
        <v>106</v>
      </c>
      <c r="I222" s="88">
        <v>0</v>
      </c>
      <c r="J222" s="88">
        <v>5.8900000000000001E-2</v>
      </c>
      <c r="K222" s="133">
        <v>596913475.04999995</v>
      </c>
      <c r="L222" s="131">
        <f t="shared" si="98"/>
        <v>4.6673409606865141E-2</v>
      </c>
      <c r="M222" s="122">
        <v>9.2100000000000009</v>
      </c>
      <c r="N222" s="122">
        <v>9.31</v>
      </c>
      <c r="O222" s="132">
        <v>106</v>
      </c>
      <c r="P222" s="88">
        <v>0</v>
      </c>
      <c r="Q222" s="88">
        <v>5.8900000000000001E-2</v>
      </c>
      <c r="R222" s="76">
        <f t="shared" si="99"/>
        <v>5.0829036844376313E-3</v>
      </c>
      <c r="S222" s="76">
        <f t="shared" si="100"/>
        <v>-5.3418803418802284E-3</v>
      </c>
      <c r="T222" s="76">
        <f t="shared" si="101"/>
        <v>0</v>
      </c>
      <c r="U222" s="76">
        <f t="shared" si="102"/>
        <v>0</v>
      </c>
      <c r="V222" s="77">
        <f t="shared" si="103"/>
        <v>0</v>
      </c>
    </row>
    <row r="223" spans="1:22" ht="15" customHeight="1">
      <c r="A223" s="186">
        <v>182</v>
      </c>
      <c r="B223" s="60" t="s">
        <v>263</v>
      </c>
      <c r="C223" s="61" t="s">
        <v>261</v>
      </c>
      <c r="D223" s="130">
        <v>447077205.62</v>
      </c>
      <c r="E223" s="131">
        <f t="shared" si="97"/>
        <v>3.5200024056772534E-2</v>
      </c>
      <c r="F223" s="122">
        <v>126</v>
      </c>
      <c r="G223" s="122">
        <v>128</v>
      </c>
      <c r="H223" s="132">
        <v>270</v>
      </c>
      <c r="I223" s="88">
        <v>-6.7400000000000002E-2</v>
      </c>
      <c r="J223" s="88">
        <v>0.2162</v>
      </c>
      <c r="K223" s="130">
        <v>451926910.60000002</v>
      </c>
      <c r="L223" s="131">
        <f t="shared" si="98"/>
        <v>3.5336729178432585E-2</v>
      </c>
      <c r="M223" s="122">
        <v>127.38</v>
      </c>
      <c r="N223" s="122">
        <v>129.38</v>
      </c>
      <c r="O223" s="132">
        <v>269</v>
      </c>
      <c r="P223" s="88">
        <v>-1.67E-2</v>
      </c>
      <c r="Q223" s="88">
        <v>0.19589999999999999</v>
      </c>
      <c r="R223" s="76">
        <f t="shared" si="99"/>
        <v>1.0847578268443635E-2</v>
      </c>
      <c r="S223" s="76">
        <f t="shared" si="100"/>
        <v>1.0781249999999964E-2</v>
      </c>
      <c r="T223" s="76">
        <f t="shared" si="101"/>
        <v>-3.7037037037037038E-3</v>
      </c>
      <c r="U223" s="76">
        <f t="shared" si="102"/>
        <v>5.0700000000000002E-2</v>
      </c>
      <c r="V223" s="77">
        <f t="shared" si="103"/>
        <v>-2.0300000000000012E-2</v>
      </c>
    </row>
    <row r="224" spans="1:22">
      <c r="A224" s="186">
        <v>183</v>
      </c>
      <c r="B224" s="60" t="s">
        <v>264</v>
      </c>
      <c r="C224" s="61" t="s">
        <v>261</v>
      </c>
      <c r="D224" s="130">
        <v>5276019566.5600004</v>
      </c>
      <c r="E224" s="131">
        <f t="shared" si="97"/>
        <v>0.4154003231038505</v>
      </c>
      <c r="F224" s="122">
        <v>36.770000000000003</v>
      </c>
      <c r="G224" s="122">
        <v>36.97</v>
      </c>
      <c r="H224" s="132">
        <v>283</v>
      </c>
      <c r="I224" s="88">
        <v>7.0000000000000001E-3</v>
      </c>
      <c r="J224" s="88">
        <v>0.3352</v>
      </c>
      <c r="K224" s="130">
        <v>5288897377.0500002</v>
      </c>
      <c r="L224" s="131">
        <f t="shared" si="98"/>
        <v>0.41354548685142695</v>
      </c>
      <c r="M224" s="122">
        <v>36.79</v>
      </c>
      <c r="N224" s="122">
        <v>36.99</v>
      </c>
      <c r="O224" s="132">
        <v>283</v>
      </c>
      <c r="P224" s="88">
        <v>0</v>
      </c>
      <c r="Q224" s="88">
        <v>0.3352</v>
      </c>
      <c r="R224" s="76">
        <f t="shared" si="99"/>
        <v>2.4408193198563492E-3</v>
      </c>
      <c r="S224" s="76">
        <f t="shared" si="100"/>
        <v>5.4097917230195094E-4</v>
      </c>
      <c r="T224" s="76">
        <f t="shared" si="101"/>
        <v>0</v>
      </c>
      <c r="U224" s="76">
        <f t="shared" si="102"/>
        <v>-7.0000000000000001E-3</v>
      </c>
      <c r="V224" s="77">
        <f t="shared" si="103"/>
        <v>0</v>
      </c>
    </row>
    <row r="225" spans="1:22">
      <c r="A225" s="186">
        <v>184</v>
      </c>
      <c r="B225" s="60" t="s">
        <v>265</v>
      </c>
      <c r="C225" s="61" t="s">
        <v>261</v>
      </c>
      <c r="D225" s="133">
        <v>60495219.390000001</v>
      </c>
      <c r="E225" s="131">
        <f t="shared" si="97"/>
        <v>4.7630099479007574E-3</v>
      </c>
      <c r="F225" s="122">
        <v>35.700000000000003</v>
      </c>
      <c r="G225" s="122">
        <v>35.9</v>
      </c>
      <c r="H225" s="132">
        <v>60</v>
      </c>
      <c r="I225" s="88">
        <v>0</v>
      </c>
      <c r="J225" s="88">
        <v>0.7208</v>
      </c>
      <c r="K225" s="133">
        <v>64991801.042000003</v>
      </c>
      <c r="L225" s="131">
        <f t="shared" si="98"/>
        <v>5.0817900381073854E-3</v>
      </c>
      <c r="M225" s="122">
        <v>35.71</v>
      </c>
      <c r="N225" s="122">
        <v>35.909999999999997</v>
      </c>
      <c r="O225" s="132">
        <v>60</v>
      </c>
      <c r="P225" s="88">
        <v>0</v>
      </c>
      <c r="Q225" s="88">
        <v>0.7208</v>
      </c>
      <c r="R225" s="76">
        <f t="shared" si="99"/>
        <v>7.4329537066581797E-2</v>
      </c>
      <c r="S225" s="76">
        <f t="shared" si="100"/>
        <v>2.7855153203337079E-4</v>
      </c>
      <c r="T225" s="76">
        <f t="shared" si="101"/>
        <v>0</v>
      </c>
      <c r="U225" s="76">
        <f t="shared" si="102"/>
        <v>0</v>
      </c>
      <c r="V225" s="77">
        <f t="shared" si="103"/>
        <v>0</v>
      </c>
    </row>
    <row r="226" spans="1:22">
      <c r="A226" s="188"/>
      <c r="B226" s="188"/>
      <c r="C226" s="189" t="s">
        <v>266</v>
      </c>
      <c r="D226" s="123">
        <f>SUM(D214:D225)</f>
        <v>12701048297.550289</v>
      </c>
      <c r="E226" s="124"/>
      <c r="F226" s="124"/>
      <c r="G226" s="125"/>
      <c r="H226" s="123">
        <f>SUM(H214:H225)</f>
        <v>2258</v>
      </c>
      <c r="I226" s="126"/>
      <c r="J226" s="126"/>
      <c r="K226" s="123">
        <f>SUM(K214:K225)</f>
        <v>12789155111.612</v>
      </c>
      <c r="L226" s="124"/>
      <c r="M226" s="124"/>
      <c r="N226" s="125"/>
      <c r="O226" s="123">
        <f>SUM(O214:O225)</f>
        <v>2257</v>
      </c>
      <c r="P226" s="126"/>
      <c r="Q226" s="126"/>
      <c r="R226" s="76">
        <f t="shared" si="99"/>
        <v>6.9369718150511976E-3</v>
      </c>
      <c r="S226" s="76" t="e">
        <f t="shared" si="100"/>
        <v>#DIV/0!</v>
      </c>
      <c r="T226" s="76">
        <f t="shared" si="101"/>
        <v>-4.4286979627989372E-4</v>
      </c>
      <c r="U226" s="76">
        <f t="shared" si="102"/>
        <v>0</v>
      </c>
      <c r="V226" s="77">
        <f t="shared" si="103"/>
        <v>0</v>
      </c>
    </row>
    <row r="227" spans="1:22">
      <c r="A227" s="40"/>
      <c r="B227" s="40"/>
      <c r="C227" s="41" t="s">
        <v>267</v>
      </c>
      <c r="D227" s="42">
        <f>SUM(D206,D211,D226)</f>
        <v>3738541123243.6167</v>
      </c>
      <c r="E227" s="43"/>
      <c r="F227" s="43"/>
      <c r="G227" s="44"/>
      <c r="H227" s="42">
        <f>SUM(H206,H211,H226)</f>
        <v>781423</v>
      </c>
      <c r="I227" s="52"/>
      <c r="J227" s="52"/>
      <c r="K227" s="42">
        <f>SUM(K206,K211,K226)</f>
        <v>3779806811750.8389</v>
      </c>
      <c r="L227" s="43"/>
      <c r="M227" s="43"/>
      <c r="N227" s="44"/>
      <c r="O227" s="42">
        <f>SUM(O206,O211,O226)</f>
        <v>784058</v>
      </c>
      <c r="P227" s="53"/>
      <c r="Q227" s="42"/>
      <c r="R227" s="56"/>
      <c r="S227" s="57"/>
      <c r="T227" s="57"/>
      <c r="U227" s="58"/>
      <c r="V227" s="58"/>
    </row>
    <row r="228" spans="1:22">
      <c r="A228" s="190" t="s">
        <v>297</v>
      </c>
      <c r="B228" s="191" t="s">
        <v>296</v>
      </c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</row>
    <row r="230" spans="1:22">
      <c r="B230" s="45"/>
      <c r="C230" s="46"/>
      <c r="D230" s="47"/>
      <c r="K230" s="47"/>
    </row>
    <row r="231" spans="1:22">
      <c r="B231" s="48"/>
      <c r="C231" s="49"/>
      <c r="D231" s="50"/>
      <c r="F231" s="51"/>
      <c r="G231" s="51"/>
      <c r="I231" s="54"/>
      <c r="J231" s="55"/>
    </row>
    <row r="234" spans="1:22">
      <c r="B234" s="46"/>
    </row>
  </sheetData>
  <sheetProtection password="CA3B" sheet="1" objects="1" scenarios="1"/>
  <mergeCells count="33">
    <mergeCell ref="D2:J2"/>
    <mergeCell ref="K2:Q2"/>
    <mergeCell ref="R2:T2"/>
    <mergeCell ref="U2:V2"/>
    <mergeCell ref="A1:V1"/>
    <mergeCell ref="B4:V4"/>
    <mergeCell ref="B25:V25"/>
    <mergeCell ref="B64:V64"/>
    <mergeCell ref="A5:V5"/>
    <mergeCell ref="A26:V26"/>
    <mergeCell ref="A65:V65"/>
    <mergeCell ref="B103:V103"/>
    <mergeCell ref="B121:V121"/>
    <mergeCell ref="A104:V104"/>
    <mergeCell ref="A105:V105"/>
    <mergeCell ref="A122:V122"/>
    <mergeCell ref="B137:V137"/>
    <mergeCell ref="B145:V145"/>
    <mergeCell ref="B177:V177"/>
    <mergeCell ref="A138:V138"/>
    <mergeCell ref="A146:V146"/>
    <mergeCell ref="B183:V183"/>
    <mergeCell ref="B188:V188"/>
    <mergeCell ref="A178:V178"/>
    <mergeCell ref="A184:V184"/>
    <mergeCell ref="A185:V185"/>
    <mergeCell ref="B212:V212"/>
    <mergeCell ref="B202:V202"/>
    <mergeCell ref="B207:U207"/>
    <mergeCell ref="A189:V189"/>
    <mergeCell ref="A203:V203"/>
    <mergeCell ref="A208:V208"/>
    <mergeCell ref="A213:V213"/>
  </mergeCells>
  <pageMargins left="0.7" right="0.7" top="0.75" bottom="0.75" header="0.3" footer="0.3"/>
  <pageSetup paperSize="9" orientation="portrait" horizontalDpi="300" verticalDpi="300" r:id="rId1"/>
  <ignoredErrors>
    <ignoredError sqref="L88 E88 E70 L45 E45" formula="1"/>
    <ignoredError sqref="S144 S24 T36 S63 S102 S136 T154 S176 S182 S205 S226 T209:T210" evalError="1"/>
    <ignoredError sqref="Q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E8" sqref="E8"/>
    </sheetView>
  </sheetViews>
  <sheetFormatPr defaultColWidth="9" defaultRowHeight="15"/>
  <cols>
    <col min="1" max="1" width="34" customWidth="1"/>
    <col min="2" max="2" width="17.7109375" customWidth="1"/>
    <col min="3" max="3" width="17.42578125" customWidth="1"/>
  </cols>
  <sheetData>
    <row r="1" spans="1:5">
      <c r="A1" s="152"/>
      <c r="B1" s="152"/>
      <c r="C1" s="152"/>
      <c r="D1" s="152"/>
    </row>
    <row r="2" spans="1:5" ht="26.25">
      <c r="A2" s="160" t="s">
        <v>268</v>
      </c>
      <c r="B2" s="161" t="s">
        <v>269</v>
      </c>
      <c r="C2" s="161" t="s">
        <v>298</v>
      </c>
      <c r="D2" s="162"/>
    </row>
    <row r="3" spans="1:5">
      <c r="A3" s="163" t="s">
        <v>270</v>
      </c>
      <c r="B3" s="164">
        <f t="shared" ref="B3:C10" si="0">B13</f>
        <v>28.910390807939201</v>
      </c>
      <c r="C3" s="164">
        <f t="shared" si="0"/>
        <v>28.835332748210007</v>
      </c>
      <c r="D3" s="162"/>
    </row>
    <row r="4" spans="1:5" ht="17.25" customHeight="1">
      <c r="A4" s="160" t="s">
        <v>271</v>
      </c>
      <c r="B4" s="165">
        <f t="shared" si="0"/>
        <v>1454.5468602184092</v>
      </c>
      <c r="C4" s="165">
        <f t="shared" si="0"/>
        <v>1470.975929116318</v>
      </c>
      <c r="D4" s="162"/>
    </row>
    <row r="5" spans="1:5" ht="19.5" customHeight="1">
      <c r="A5" s="160" t="s">
        <v>272</v>
      </c>
      <c r="B5" s="164">
        <f t="shared" si="0"/>
        <v>215.87323731121811</v>
      </c>
      <c r="C5" s="164">
        <f t="shared" si="0"/>
        <v>217.59624471189483</v>
      </c>
      <c r="D5" s="162"/>
    </row>
    <row r="6" spans="1:5">
      <c r="A6" s="160" t="s">
        <v>273</v>
      </c>
      <c r="B6" s="165">
        <f t="shared" si="0"/>
        <v>1701.9144035928202</v>
      </c>
      <c r="C6" s="165">
        <f t="shared" si="0"/>
        <v>1725.2497696005873</v>
      </c>
      <c r="D6" s="162"/>
    </row>
    <row r="7" spans="1:5">
      <c r="A7" s="160" t="s">
        <v>274</v>
      </c>
      <c r="B7" s="164">
        <f t="shared" si="0"/>
        <v>98.713044971160656</v>
      </c>
      <c r="C7" s="164">
        <f t="shared" si="0"/>
        <v>98.768307559734097</v>
      </c>
      <c r="D7" s="162"/>
    </row>
    <row r="8" spans="1:5">
      <c r="A8" s="160" t="s">
        <v>275</v>
      </c>
      <c r="B8" s="166">
        <f t="shared" si="0"/>
        <v>51.76875082583782</v>
      </c>
      <c r="C8" s="166">
        <f t="shared" si="0"/>
        <v>51.772807386092971</v>
      </c>
      <c r="D8" s="162"/>
    </row>
    <row r="9" spans="1:5">
      <c r="A9" s="160" t="s">
        <v>276</v>
      </c>
      <c r="B9" s="164">
        <f t="shared" si="0"/>
        <v>5.4467324617899999</v>
      </c>
      <c r="C9" s="164">
        <f t="shared" si="0"/>
        <v>5.39463762893</v>
      </c>
      <c r="D9" s="162"/>
    </row>
    <row r="10" spans="1:5">
      <c r="A10" s="160" t="s">
        <v>277</v>
      </c>
      <c r="B10" s="164">
        <f t="shared" si="0"/>
        <v>51.477048630500875</v>
      </c>
      <c r="C10" s="164">
        <f t="shared" si="0"/>
        <v>51.262988903490061</v>
      </c>
      <c r="D10" s="162"/>
    </row>
    <row r="11" spans="1:5">
      <c r="A11" s="160"/>
      <c r="B11" s="164"/>
      <c r="C11" s="164"/>
      <c r="D11" s="162"/>
    </row>
    <row r="12" spans="1:5">
      <c r="A12" s="152"/>
      <c r="B12" s="152"/>
      <c r="C12" s="152"/>
      <c r="D12" s="152"/>
    </row>
    <row r="13" spans="1:5">
      <c r="A13" s="167" t="s">
        <v>270</v>
      </c>
      <c r="B13" s="168">
        <f>'Weekly Valuation'!D24/1000000000</f>
        <v>28.910390807939201</v>
      </c>
      <c r="C13" s="169">
        <f>'Weekly Valuation'!K24/1000000000</f>
        <v>28.835332748210007</v>
      </c>
      <c r="D13" s="152"/>
      <c r="E13" s="15"/>
    </row>
    <row r="14" spans="1:5">
      <c r="A14" s="170" t="s">
        <v>271</v>
      </c>
      <c r="B14" s="168">
        <f>'Weekly Valuation'!D63/1000000000</f>
        <v>1454.5468602184092</v>
      </c>
      <c r="C14" s="171">
        <f>'Weekly Valuation'!K63/1000000000</f>
        <v>1470.975929116318</v>
      </c>
      <c r="D14" s="152"/>
      <c r="E14" s="15"/>
    </row>
    <row r="15" spans="1:5">
      <c r="A15" s="170" t="s">
        <v>272</v>
      </c>
      <c r="B15" s="168">
        <f>'Weekly Valuation'!D102/1000000000</f>
        <v>215.87323731121811</v>
      </c>
      <c r="C15" s="169">
        <f>'Weekly Valuation'!K102/1000000000</f>
        <v>217.59624471189483</v>
      </c>
      <c r="D15" s="152"/>
      <c r="E15" s="15"/>
    </row>
    <row r="16" spans="1:5">
      <c r="A16" s="170" t="s">
        <v>273</v>
      </c>
      <c r="B16" s="168">
        <f>'Weekly Valuation'!D136/1000000000</f>
        <v>1701.9144035928202</v>
      </c>
      <c r="C16" s="171">
        <f>'Weekly Valuation'!K136/1000000000</f>
        <v>1725.2497696005873</v>
      </c>
      <c r="D16" s="152"/>
      <c r="E16" s="15"/>
    </row>
    <row r="17" spans="1:5">
      <c r="A17" s="170" t="s">
        <v>274</v>
      </c>
      <c r="B17" s="168">
        <f>'Weekly Valuation'!D144/1000000000</f>
        <v>98.713044971160656</v>
      </c>
      <c r="C17" s="169">
        <f>'Weekly Valuation'!K144/1000000000</f>
        <v>98.768307559734097</v>
      </c>
      <c r="D17" s="152"/>
      <c r="E17" s="15"/>
    </row>
    <row r="18" spans="1:5">
      <c r="A18" s="170" t="s">
        <v>275</v>
      </c>
      <c r="B18" s="168">
        <f>'Weekly Valuation'!D176/1000000000</f>
        <v>51.76875082583782</v>
      </c>
      <c r="C18" s="172">
        <f>'Weekly Valuation'!K176/1000000000</f>
        <v>51.772807386092971</v>
      </c>
      <c r="D18" s="152"/>
      <c r="E18" s="15"/>
    </row>
    <row r="19" spans="1:5">
      <c r="A19" s="170" t="s">
        <v>276</v>
      </c>
      <c r="B19" s="168">
        <f>'Weekly Valuation'!D182/1000000000</f>
        <v>5.4467324617899999</v>
      </c>
      <c r="C19" s="169">
        <f>'Weekly Valuation'!K182/1000000000</f>
        <v>5.39463762893</v>
      </c>
      <c r="D19" s="152"/>
      <c r="E19" s="15"/>
    </row>
    <row r="20" spans="1:5">
      <c r="A20" s="170" t="s">
        <v>277</v>
      </c>
      <c r="B20" s="168">
        <f>'Weekly Valuation'!D205/1000000000</f>
        <v>51.477048630500875</v>
      </c>
      <c r="C20" s="169">
        <f>'Weekly Valuation'!K205/1000000000</f>
        <v>51.262988903490061</v>
      </c>
      <c r="D20" s="152"/>
      <c r="E20" s="15"/>
    </row>
    <row r="21" spans="1:5" ht="16.5">
      <c r="A21" s="148"/>
      <c r="B21" s="152"/>
      <c r="C21" s="151"/>
      <c r="D21" s="152"/>
      <c r="E21" s="15"/>
    </row>
    <row r="22" spans="1:5" ht="16.5">
      <c r="A22" s="148"/>
      <c r="B22" s="152"/>
      <c r="C22" s="149"/>
      <c r="D22" s="152"/>
      <c r="E22" s="15"/>
    </row>
    <row r="23" spans="1:5" ht="16.5">
      <c r="A23" s="173"/>
      <c r="B23" s="174"/>
      <c r="C23" s="150"/>
      <c r="D23" s="147"/>
      <c r="E23" s="15"/>
    </row>
    <row r="24" spans="1:5" ht="16.5">
      <c r="A24" s="24"/>
      <c r="B24" s="23"/>
      <c r="C24" s="23"/>
      <c r="D24" s="22"/>
      <c r="E24" s="15"/>
    </row>
    <row r="25" spans="1:5" ht="16.5">
      <c r="A25" s="24"/>
      <c r="B25" s="23"/>
      <c r="C25" s="23"/>
      <c r="D25" s="22"/>
      <c r="E25" s="15"/>
    </row>
    <row r="26" spans="1:5" ht="16.5">
      <c r="A26" s="24"/>
      <c r="B26" s="23"/>
      <c r="C26" s="23"/>
      <c r="D26" s="22"/>
      <c r="E26" s="15"/>
    </row>
    <row r="27" spans="1:5" ht="16.5">
      <c r="A27" s="24"/>
      <c r="B27" s="23"/>
      <c r="C27" s="23"/>
      <c r="D27" s="22"/>
      <c r="E27" s="15"/>
    </row>
    <row r="28" spans="1:5">
      <c r="A28" s="22"/>
      <c r="B28" s="22"/>
      <c r="C28" s="22"/>
      <c r="D28" s="22"/>
    </row>
    <row r="29" spans="1:5">
      <c r="A29" s="22"/>
      <c r="B29" s="22"/>
      <c r="C29" s="22"/>
      <c r="D29" s="22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6" sqref="K6"/>
    </sheetView>
  </sheetViews>
  <sheetFormatPr defaultColWidth="9" defaultRowHeight="15"/>
  <cols>
    <col min="1" max="1" width="26.7109375" customWidth="1"/>
    <col min="2" max="2" width="17.42578125" customWidth="1"/>
  </cols>
  <sheetData>
    <row r="1" spans="1:6" ht="16.5">
      <c r="A1" s="145" t="s">
        <v>268</v>
      </c>
      <c r="B1" s="146">
        <v>45583</v>
      </c>
      <c r="C1" s="147"/>
      <c r="D1" s="140"/>
    </row>
    <row r="2" spans="1:6" ht="16.5">
      <c r="A2" s="148" t="s">
        <v>276</v>
      </c>
      <c r="B2" s="149">
        <f>'Weekly Valuation'!K182</f>
        <v>5394637628.9300003</v>
      </c>
      <c r="C2" s="147"/>
      <c r="D2" s="140"/>
    </row>
    <row r="3" spans="1:6" ht="16.5">
      <c r="A3" s="148" t="s">
        <v>270</v>
      </c>
      <c r="B3" s="149">
        <f>'Weekly Valuation'!K24</f>
        <v>28835332748.210007</v>
      </c>
      <c r="C3" s="147"/>
      <c r="D3" s="140"/>
    </row>
    <row r="4" spans="1:6" ht="16.5">
      <c r="A4" s="148" t="s">
        <v>277</v>
      </c>
      <c r="B4" s="150">
        <f>'Weekly Valuation'!K205</f>
        <v>51262988903.490059</v>
      </c>
      <c r="C4" s="147"/>
      <c r="D4" s="140"/>
    </row>
    <row r="5" spans="1:6" ht="16.5">
      <c r="A5" s="148" t="s">
        <v>275</v>
      </c>
      <c r="B5" s="149">
        <f>'Weekly Valuation'!K176</f>
        <v>51772807386.092972</v>
      </c>
      <c r="C5" s="147"/>
      <c r="D5" s="140"/>
    </row>
    <row r="6" spans="1:6" ht="16.5">
      <c r="A6" s="148" t="s">
        <v>274</v>
      </c>
      <c r="B6" s="149">
        <f>'Weekly Valuation'!K144</f>
        <v>98768307559.7341</v>
      </c>
      <c r="C6" s="147"/>
      <c r="D6" s="140"/>
    </row>
    <row r="7" spans="1:6" ht="16.5">
      <c r="A7" s="148" t="s">
        <v>272</v>
      </c>
      <c r="B7" s="149">
        <f>'Weekly Valuation'!K102</f>
        <v>217596244711.89484</v>
      </c>
      <c r="C7" s="147"/>
      <c r="D7" s="140"/>
    </row>
    <row r="8" spans="1:6" ht="16.5">
      <c r="A8" s="148" t="s">
        <v>271</v>
      </c>
      <c r="B8" s="151">
        <f>'Weekly Valuation'!K63</f>
        <v>1470975929116.3179</v>
      </c>
      <c r="C8" s="147"/>
      <c r="D8" s="140"/>
    </row>
    <row r="9" spans="1:6" ht="16.5">
      <c r="A9" s="148" t="s">
        <v>273</v>
      </c>
      <c r="B9" s="151">
        <f>'Weekly Valuation'!K136</f>
        <v>1725249769600.5874</v>
      </c>
      <c r="C9" s="147"/>
      <c r="D9" s="140"/>
      <c r="F9" t="s">
        <v>278</v>
      </c>
    </row>
    <row r="10" spans="1:6">
      <c r="A10" s="152"/>
      <c r="B10" s="152"/>
      <c r="C10" s="147"/>
      <c r="D10" s="140"/>
    </row>
    <row r="11" spans="1:6" ht="16.5">
      <c r="A11" s="148"/>
      <c r="B11" s="153"/>
      <c r="C11" s="147"/>
      <c r="D11" s="140"/>
    </row>
    <row r="12" spans="1:6" ht="16.5">
      <c r="A12" s="138"/>
      <c r="B12" s="140"/>
      <c r="C12" s="140"/>
      <c r="D12" s="140"/>
    </row>
    <row r="13" spans="1:6" ht="16.5">
      <c r="A13" s="142"/>
      <c r="B13" s="142"/>
      <c r="C13" s="140"/>
      <c r="D13" s="140"/>
    </row>
    <row r="14" spans="1:6" ht="16.5">
      <c r="A14" s="142"/>
      <c r="B14" s="142"/>
      <c r="C14" s="140"/>
      <c r="D14" s="140"/>
    </row>
    <row r="15" spans="1:6" ht="16.5" customHeight="1">
      <c r="A15" s="141"/>
      <c r="B15" s="141"/>
      <c r="C15" s="140"/>
      <c r="D15" s="140"/>
    </row>
    <row r="16" spans="1:6" ht="16.5">
      <c r="A16" s="142"/>
      <c r="B16" s="142"/>
      <c r="C16" s="140"/>
      <c r="D16" s="140"/>
    </row>
    <row r="17" spans="1:17" ht="16.5">
      <c r="A17" s="142"/>
      <c r="B17" s="142"/>
      <c r="C17" s="140"/>
      <c r="D17" s="140"/>
    </row>
    <row r="18" spans="1:17" ht="16.5">
      <c r="A18" s="143"/>
      <c r="B18" s="142"/>
      <c r="C18" s="140"/>
      <c r="D18" s="140"/>
    </row>
    <row r="19" spans="1:17" ht="16.5">
      <c r="A19" s="143"/>
      <c r="B19" s="143"/>
      <c r="C19" s="140"/>
      <c r="D19" s="140"/>
    </row>
    <row r="20" spans="1:17" ht="16.5">
      <c r="A20" s="143"/>
      <c r="B20" s="143"/>
      <c r="C20" s="140"/>
      <c r="D20" s="140"/>
    </row>
    <row r="21" spans="1:17" ht="16.5">
      <c r="A21" s="144"/>
      <c r="B21" s="143"/>
      <c r="C21" s="140"/>
      <c r="D21" s="140"/>
    </row>
    <row r="22" spans="1:17" ht="16.5">
      <c r="A22" s="140"/>
      <c r="B22" s="143"/>
      <c r="C22" s="140"/>
      <c r="D22" s="140"/>
    </row>
    <row r="23" spans="1:17">
      <c r="A23" s="140"/>
      <c r="B23" s="140"/>
      <c r="C23" s="140"/>
      <c r="D23" s="140"/>
    </row>
    <row r="24" spans="1:17">
      <c r="A24" s="140"/>
      <c r="B24" s="140"/>
      <c r="C24" s="140"/>
      <c r="D24" s="140"/>
    </row>
    <row r="25" spans="1:17">
      <c r="A25" s="15"/>
      <c r="B25" s="15"/>
      <c r="C25" s="15"/>
    </row>
    <row r="26" spans="1:17">
      <c r="A26" s="15"/>
      <c r="B26" s="15"/>
    </row>
    <row r="32" spans="1:17" ht="16.5" customHeight="1">
      <c r="A32" s="159" t="s">
        <v>299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25"/>
    </row>
    <row r="33" spans="1:17" ht="1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25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D7" sqref="D7"/>
    </sheetView>
  </sheetViews>
  <sheetFormatPr defaultColWidth="9"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5"/>
      <c r="L1" s="15"/>
      <c r="M1" s="15"/>
    </row>
    <row r="2" spans="1:13">
      <c r="A2" s="154" t="s">
        <v>279</v>
      </c>
      <c r="B2" s="155">
        <v>45534</v>
      </c>
      <c r="C2" s="155">
        <v>45541</v>
      </c>
      <c r="D2" s="155">
        <v>45548</v>
      </c>
      <c r="E2" s="155">
        <v>45555</v>
      </c>
      <c r="F2" s="155">
        <v>45562</v>
      </c>
      <c r="G2" s="155">
        <v>45569</v>
      </c>
      <c r="H2" s="155">
        <v>45576</v>
      </c>
      <c r="I2" s="155">
        <v>45583</v>
      </c>
      <c r="J2" s="147"/>
      <c r="K2" s="15"/>
      <c r="L2" s="15"/>
      <c r="M2" s="15"/>
    </row>
    <row r="3" spans="1:13">
      <c r="A3" s="154" t="s">
        <v>280</v>
      </c>
      <c r="B3" s="156">
        <f t="shared" ref="B3:I3" si="0">B4</f>
        <v>3346.0742802576997</v>
      </c>
      <c r="C3" s="156">
        <f t="shared" si="0"/>
        <v>3400.7528613225986</v>
      </c>
      <c r="D3" s="156">
        <f t="shared" si="0"/>
        <v>3452.8102334622345</v>
      </c>
      <c r="E3" s="156">
        <f t="shared" si="0"/>
        <v>3459.9856712522856</v>
      </c>
      <c r="F3" s="156">
        <f t="shared" si="0"/>
        <v>3518.3374037557901</v>
      </c>
      <c r="G3" s="156">
        <f t="shared" si="0"/>
        <v>3587.8911717657538</v>
      </c>
      <c r="H3" s="156">
        <f t="shared" si="0"/>
        <v>3608.6485199322269</v>
      </c>
      <c r="I3" s="156">
        <f t="shared" si="0"/>
        <v>3649.8560176552569</v>
      </c>
      <c r="J3" s="147"/>
      <c r="K3" s="15"/>
      <c r="L3" s="15"/>
      <c r="M3" s="15"/>
    </row>
    <row r="4" spans="1:13">
      <c r="A4" s="147"/>
      <c r="B4" s="157">
        <f>'NAV Trend'!C10/1000000000</f>
        <v>3346.0742802576997</v>
      </c>
      <c r="C4" s="157">
        <f>'NAV Trend'!D10/1000000000</f>
        <v>3400.7528613225986</v>
      </c>
      <c r="D4" s="157">
        <f>'NAV Trend'!E10/1000000000</f>
        <v>3452.8102334622345</v>
      </c>
      <c r="E4" s="157">
        <f>'NAV Trend'!F10/1000000000</f>
        <v>3459.9856712522856</v>
      </c>
      <c r="F4" s="157">
        <f>'NAV Trend'!G10/1000000000</f>
        <v>3518.3374037557901</v>
      </c>
      <c r="G4" s="157">
        <f>'NAV Trend'!H10/1000000000</f>
        <v>3587.8911717657538</v>
      </c>
      <c r="H4" s="158">
        <f>'NAV Trend'!I10/1000000000</f>
        <v>3608.6485199322269</v>
      </c>
      <c r="I4" s="158">
        <f>'NAV Trend'!J10/1000000000</f>
        <v>3649.8560176552569</v>
      </c>
      <c r="J4" s="147"/>
      <c r="K4" s="15"/>
      <c r="L4" s="15"/>
      <c r="M4" s="15"/>
    </row>
    <row r="5" spans="1:1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5"/>
      <c r="L5" s="15"/>
      <c r="M5" s="15"/>
    </row>
    <row r="6" spans="1:1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C7" sqref="C7"/>
    </sheetView>
  </sheetViews>
  <sheetFormatPr defaultColWidth="9" defaultRowHeight="15"/>
  <cols>
    <col min="1" max="1" width="16.5703125" customWidth="1"/>
    <col min="2" max="2" width="11.140625" customWidth="1"/>
    <col min="3" max="3" width="11.42578125" customWidth="1"/>
    <col min="4" max="4" width="11.5703125" customWidth="1"/>
    <col min="5" max="5" width="11.140625" customWidth="1"/>
    <col min="6" max="7" width="11.28515625" customWidth="1"/>
    <col min="8" max="8" width="11.7109375" customWidth="1"/>
    <col min="9" max="9" width="11.140625" customWidth="1"/>
  </cols>
  <sheetData>
    <row r="1" spans="1:1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5"/>
      <c r="L1" s="15"/>
    </row>
    <row r="2" spans="1:12">
      <c r="A2" s="154" t="s">
        <v>279</v>
      </c>
      <c r="B2" s="155">
        <v>45534</v>
      </c>
      <c r="C2" s="155">
        <v>45541</v>
      </c>
      <c r="D2" s="155">
        <v>45548</v>
      </c>
      <c r="E2" s="155">
        <v>45555</v>
      </c>
      <c r="F2" s="155">
        <v>45562</v>
      </c>
      <c r="G2" s="155">
        <v>45569</v>
      </c>
      <c r="H2" s="155">
        <v>45576</v>
      </c>
      <c r="I2" s="155">
        <v>45583</v>
      </c>
      <c r="J2" s="147"/>
      <c r="K2" s="15"/>
      <c r="L2" s="15"/>
    </row>
    <row r="3" spans="1:12">
      <c r="A3" s="154" t="s">
        <v>281</v>
      </c>
      <c r="B3" s="156">
        <f t="shared" ref="B3:I3" si="0">B4</f>
        <v>12.190662825377601</v>
      </c>
      <c r="C3" s="156">
        <f t="shared" si="0"/>
        <v>12.1682734018876</v>
      </c>
      <c r="D3" s="156">
        <f t="shared" si="0"/>
        <v>12.3487801515176</v>
      </c>
      <c r="E3" s="156">
        <f t="shared" si="0"/>
        <v>12.596631014149999</v>
      </c>
      <c r="F3" s="156">
        <f t="shared" si="0"/>
        <v>12.728824087969999</v>
      </c>
      <c r="G3" s="156">
        <f t="shared" si="0"/>
        <v>12.697813827940001</v>
      </c>
      <c r="H3" s="156">
        <f t="shared" si="0"/>
        <v>12.701048297550301</v>
      </c>
      <c r="I3" s="156">
        <f t="shared" si="0"/>
        <v>12.789155111611999</v>
      </c>
      <c r="J3" s="147"/>
      <c r="K3" s="15"/>
      <c r="L3" s="15"/>
    </row>
    <row r="4" spans="1:12">
      <c r="A4" s="147"/>
      <c r="B4" s="157">
        <f>'NAV Trend'!C16/1000000000</f>
        <v>12.190662825377601</v>
      </c>
      <c r="C4" s="157">
        <f>'NAV Trend'!D16/1000000000</f>
        <v>12.1682734018876</v>
      </c>
      <c r="D4" s="157">
        <f>'NAV Trend'!E16/1000000000</f>
        <v>12.3487801515176</v>
      </c>
      <c r="E4" s="157">
        <f>'NAV Trend'!F16/1000000000</f>
        <v>12.596631014149999</v>
      </c>
      <c r="F4" s="157">
        <f>'NAV Trend'!G16/1000000000</f>
        <v>12.728824087969999</v>
      </c>
      <c r="G4" s="157">
        <f>'NAV Trend'!H16/1000000000</f>
        <v>12.697813827940001</v>
      </c>
      <c r="H4" s="157">
        <f>'NAV Trend'!I16/1000000000</f>
        <v>12.701048297550301</v>
      </c>
      <c r="I4" s="158">
        <f>'NAV Trend'!J16/1000000000</f>
        <v>12.789155111611999</v>
      </c>
      <c r="J4" s="147"/>
      <c r="K4" s="15"/>
      <c r="L4" s="15"/>
    </row>
    <row r="5" spans="1:12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5"/>
      <c r="L5" s="15"/>
    </row>
    <row r="6" spans="1:1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5"/>
      <c r="L6" s="15"/>
    </row>
    <row r="7" spans="1:1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ColWidth="9"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customWidth="1"/>
    <col min="13" max="13" width="20.5703125" customWidth="1"/>
  </cols>
  <sheetData>
    <row r="1" spans="1:11" ht="16.5">
      <c r="A1" s="1" t="s">
        <v>268</v>
      </c>
      <c r="B1" s="2">
        <v>45527</v>
      </c>
      <c r="C1" s="2">
        <v>45534</v>
      </c>
      <c r="D1" s="2">
        <v>45541</v>
      </c>
      <c r="E1" s="2">
        <v>45548</v>
      </c>
      <c r="F1" s="2">
        <v>45555</v>
      </c>
      <c r="G1" s="2">
        <v>45562</v>
      </c>
      <c r="H1" s="2">
        <v>45569</v>
      </c>
      <c r="I1" s="2">
        <v>45576</v>
      </c>
      <c r="J1" s="2">
        <v>45583</v>
      </c>
    </row>
    <row r="2" spans="1:11" ht="16.5">
      <c r="A2" s="3" t="s">
        <v>270</v>
      </c>
      <c r="B2" s="4">
        <v>27464171302.259998</v>
      </c>
      <c r="C2" s="4">
        <v>28027790368.7999</v>
      </c>
      <c r="D2" s="4">
        <v>27785128483.915298</v>
      </c>
      <c r="E2" s="4">
        <v>27732432482.203999</v>
      </c>
      <c r="F2" s="4">
        <v>28146858775.669201</v>
      </c>
      <c r="G2" s="4">
        <v>28730451829.155499</v>
      </c>
      <c r="H2" s="4">
        <v>28625624040.070999</v>
      </c>
      <c r="I2" s="4">
        <v>28910390807.939201</v>
      </c>
      <c r="J2" s="4">
        <v>28835332748.210007</v>
      </c>
    </row>
    <row r="3" spans="1:11" ht="16.5">
      <c r="A3" s="3" t="s">
        <v>271</v>
      </c>
      <c r="B3" s="4">
        <v>1261933383053.9299</v>
      </c>
      <c r="C3" s="4">
        <v>1275703699629.3601</v>
      </c>
      <c r="D3" s="4">
        <v>1307622955124.6599</v>
      </c>
      <c r="E3" s="4">
        <v>1334285121601.73</v>
      </c>
      <c r="F3" s="4">
        <v>1367483009916.49</v>
      </c>
      <c r="G3" s="4">
        <v>1391842705992.02</v>
      </c>
      <c r="H3" s="4">
        <v>1431162477919.05</v>
      </c>
      <c r="I3" s="19">
        <v>1454546860218.4099</v>
      </c>
      <c r="J3" s="19">
        <v>1470975929116.3179</v>
      </c>
    </row>
    <row r="4" spans="1:11" ht="16.5">
      <c r="A4" s="3" t="s">
        <v>272</v>
      </c>
      <c r="B4" s="5">
        <v>216796049169.53299</v>
      </c>
      <c r="C4" s="5">
        <v>218570980192.586</v>
      </c>
      <c r="D4" s="5">
        <v>218520520561.22501</v>
      </c>
      <c r="E4" s="5">
        <v>218027725773.40799</v>
      </c>
      <c r="F4" s="5">
        <v>215542773710.897</v>
      </c>
      <c r="G4" s="5">
        <v>215016078902.25299</v>
      </c>
      <c r="H4" s="5">
        <v>213364990329.59201</v>
      </c>
      <c r="I4" s="5">
        <v>215873237311.21799</v>
      </c>
      <c r="J4" s="5">
        <v>217596244711.89484</v>
      </c>
    </row>
    <row r="5" spans="1:11" ht="16.5">
      <c r="A5" s="3" t="s">
        <v>273</v>
      </c>
      <c r="B5" s="4">
        <v>1610214165564.04</v>
      </c>
      <c r="C5" s="4">
        <v>1619684731793.4399</v>
      </c>
      <c r="D5" s="4">
        <v>1642482618309.0801</v>
      </c>
      <c r="E5" s="4">
        <v>1668230249491.24</v>
      </c>
      <c r="F5" s="4">
        <v>1643587494351.8101</v>
      </c>
      <c r="G5" s="4">
        <v>1677183716252.02</v>
      </c>
      <c r="H5" s="4">
        <v>1708200360895.5601</v>
      </c>
      <c r="I5" s="4">
        <v>1701912454705.3701</v>
      </c>
      <c r="J5" s="4">
        <v>1725249769600.5874</v>
      </c>
    </row>
    <row r="6" spans="1:11" ht="16.5">
      <c r="A6" s="3" t="s">
        <v>274</v>
      </c>
      <c r="B6" s="6">
        <v>97725390745.223099</v>
      </c>
      <c r="C6" s="6">
        <v>97021700017.900894</v>
      </c>
      <c r="D6" s="6">
        <v>97137104575.276993</v>
      </c>
      <c r="E6" s="6">
        <v>97204373692.430298</v>
      </c>
      <c r="F6" s="6">
        <v>97288036533.859207</v>
      </c>
      <c r="G6" s="6">
        <v>97416504495.638397</v>
      </c>
      <c r="H6" s="6">
        <v>98643900599.545593</v>
      </c>
      <c r="I6" s="6">
        <v>98713044971.160706</v>
      </c>
      <c r="J6" s="6">
        <v>98768307559.7341</v>
      </c>
    </row>
    <row r="7" spans="1:11" ht="16.5">
      <c r="A7" s="3" t="s">
        <v>275</v>
      </c>
      <c r="B7" s="7">
        <v>49723971071.591202</v>
      </c>
      <c r="C7" s="7">
        <v>50541815917.121101</v>
      </c>
      <c r="D7" s="7">
        <v>50358393707.296303</v>
      </c>
      <c r="E7" s="7">
        <v>50669138356.323997</v>
      </c>
      <c r="F7" s="7">
        <v>51108128793.195503</v>
      </c>
      <c r="G7" s="7">
        <v>51162095071.512901</v>
      </c>
      <c r="H7" s="7">
        <v>51490300364.745796</v>
      </c>
      <c r="I7" s="20">
        <v>51768750825.837799</v>
      </c>
      <c r="J7" s="20">
        <v>51772807386.092972</v>
      </c>
    </row>
    <row r="8" spans="1:11" ht="16.5">
      <c r="A8" s="3" t="s">
        <v>276</v>
      </c>
      <c r="B8" s="6">
        <v>5264954956.3800001</v>
      </c>
      <c r="C8" s="6">
        <v>5284717995.9899998</v>
      </c>
      <c r="D8" s="6">
        <v>5291480610.9799995</v>
      </c>
      <c r="E8" s="6">
        <v>5333158647.2600002</v>
      </c>
      <c r="F8" s="6">
        <v>5366654391.6099997</v>
      </c>
      <c r="G8" s="6">
        <v>5372547709.2600002</v>
      </c>
      <c r="H8" s="6">
        <v>5412099692.1300001</v>
      </c>
      <c r="I8" s="6">
        <v>5446732461.79</v>
      </c>
      <c r="J8" s="6">
        <v>5394637628.9300003</v>
      </c>
    </row>
    <row r="9" spans="1:11" ht="16.5">
      <c r="A9" s="3" t="s">
        <v>277</v>
      </c>
      <c r="B9" s="6">
        <v>51033367484.494499</v>
      </c>
      <c r="C9" s="6">
        <v>51238844342.502098</v>
      </c>
      <c r="D9" s="6">
        <v>51554659950.165199</v>
      </c>
      <c r="E9" s="6">
        <v>51328033417.638199</v>
      </c>
      <c r="F9" s="6">
        <v>51462714778.755096</v>
      </c>
      <c r="G9" s="6">
        <v>51613303503.931396</v>
      </c>
      <c r="H9" s="6">
        <v>50991417925.0597</v>
      </c>
      <c r="I9" s="6">
        <v>51477048630.5009</v>
      </c>
      <c r="J9" s="6">
        <v>51262988903.490059</v>
      </c>
    </row>
    <row r="10" spans="1:11" ht="15.75">
      <c r="A10" s="8" t="s">
        <v>282</v>
      </c>
      <c r="B10" s="9">
        <f t="shared" ref="B10:J10" si="0">SUM(B2:B9)</f>
        <v>3320155453347.4517</v>
      </c>
      <c r="C10" s="9">
        <f t="shared" si="0"/>
        <v>3346074280257.6997</v>
      </c>
      <c r="D10" s="9">
        <f t="shared" si="0"/>
        <v>3400752861322.5986</v>
      </c>
      <c r="E10" s="9">
        <f t="shared" si="0"/>
        <v>3452810233462.2344</v>
      </c>
      <c r="F10" s="9">
        <f t="shared" si="0"/>
        <v>3459985671252.2856</v>
      </c>
      <c r="G10" s="9">
        <f t="shared" si="0"/>
        <v>3518337403755.79</v>
      </c>
      <c r="H10" s="9">
        <f t="shared" si="0"/>
        <v>3587891171765.7539</v>
      </c>
      <c r="I10" s="9">
        <f t="shared" si="0"/>
        <v>3608648519932.2271</v>
      </c>
      <c r="J10" s="9">
        <f t="shared" si="0"/>
        <v>3649856017655.2568</v>
      </c>
    </row>
    <row r="11" spans="1:11" ht="16.5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75">
      <c r="A12" s="12" t="s">
        <v>283</v>
      </c>
      <c r="B12" s="59" t="s">
        <v>284</v>
      </c>
      <c r="C12" s="13">
        <f>(B10+C10)/2</f>
        <v>3333114866802.5757</v>
      </c>
      <c r="D12" s="14">
        <f t="shared" ref="D12:J12" si="1">(C10+D10)/2</f>
        <v>3373413570790.1494</v>
      </c>
      <c r="E12" s="14">
        <f t="shared" si="1"/>
        <v>3426781547392.4165</v>
      </c>
      <c r="F12" s="14">
        <f t="shared" si="1"/>
        <v>3456397952357.2598</v>
      </c>
      <c r="G12" s="14">
        <f t="shared" si="1"/>
        <v>3489161537504.0381</v>
      </c>
      <c r="H12" s="14">
        <f t="shared" si="1"/>
        <v>3553114287760.772</v>
      </c>
      <c r="I12" s="14">
        <f t="shared" si="1"/>
        <v>3598269845848.9902</v>
      </c>
      <c r="J12" s="14">
        <f t="shared" si="1"/>
        <v>3629252268793.7422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16.5">
      <c r="A15" s="15"/>
      <c r="B15" s="2">
        <v>45527</v>
      </c>
      <c r="C15" s="2">
        <v>45534</v>
      </c>
      <c r="D15" s="2">
        <v>45541</v>
      </c>
      <c r="E15" s="2">
        <v>45548</v>
      </c>
      <c r="F15" s="2">
        <v>45555</v>
      </c>
      <c r="G15" s="2">
        <v>45562</v>
      </c>
      <c r="H15" s="2">
        <v>45569</v>
      </c>
      <c r="I15" s="2">
        <v>45576</v>
      </c>
      <c r="J15" s="2">
        <v>45583</v>
      </c>
      <c r="K15" s="15"/>
    </row>
    <row r="16" spans="1:11" ht="16.5">
      <c r="A16" s="16" t="s">
        <v>285</v>
      </c>
      <c r="B16" s="17">
        <v>12021932386.1576</v>
      </c>
      <c r="C16" s="17">
        <v>12190662825.3776</v>
      </c>
      <c r="D16" s="17">
        <v>12168273401.8876</v>
      </c>
      <c r="E16" s="17">
        <v>12348780151.517599</v>
      </c>
      <c r="F16" s="17">
        <v>12596631014.15</v>
      </c>
      <c r="G16" s="17">
        <v>12728824087.969999</v>
      </c>
      <c r="H16" s="17">
        <v>12697813827.940001</v>
      </c>
      <c r="I16" s="17">
        <v>12701048297.550301</v>
      </c>
      <c r="J16" s="17">
        <v>12789155111.612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21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2023-10-09T09:40:00Z</dcterms:created>
  <dcterms:modified xsi:type="dcterms:W3CDTF">2024-11-04T14:24:09Z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04D0442593754AB9A212F2BA71B9DE64_13</vt:lpwstr>
  </property>
  <property fmtid="{D5CDD505-2E9C-101B-9397-08002B2CF9AE}" pid="3" name="KSOProductBuildVer">
    <vt:lpwstr>1033-12.2.0.13266</vt:lpwstr>
  </property>
</Properties>
</file>