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bookViews>
    <workbookView xWindow="-120" yWindow="-120" windowWidth="20730" windowHeight="11160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2" i="1" l="1"/>
  <c r="M122" i="1"/>
  <c r="K122" i="1"/>
  <c r="N109" i="1"/>
  <c r="M109" i="1"/>
  <c r="K109" i="1"/>
  <c r="N107" i="1" l="1"/>
  <c r="M107" i="1"/>
  <c r="K107" i="1"/>
  <c r="N111" i="1"/>
  <c r="M111" i="1"/>
  <c r="K111" i="1"/>
  <c r="N108" i="1" l="1"/>
  <c r="M108" i="1"/>
  <c r="K108" i="1"/>
  <c r="N129" i="1"/>
  <c r="M129" i="1"/>
  <c r="N115" i="1"/>
  <c r="M115" i="1"/>
  <c r="K115" i="1"/>
  <c r="N132" i="1" l="1"/>
  <c r="M132" i="1"/>
  <c r="K132" i="1"/>
  <c r="N119" i="1"/>
  <c r="M119" i="1"/>
  <c r="K119" i="1"/>
  <c r="N130" i="1" l="1"/>
  <c r="M130" i="1"/>
  <c r="K130" i="1"/>
  <c r="N127" i="1" l="1"/>
  <c r="M127" i="1"/>
  <c r="K127" i="1"/>
  <c r="N117" i="1"/>
  <c r="M117" i="1"/>
  <c r="K117" i="1"/>
  <c r="N118" i="1" l="1"/>
  <c r="M118" i="1"/>
  <c r="K118" i="1"/>
  <c r="N110" i="1"/>
  <c r="M110" i="1"/>
  <c r="K110" i="1"/>
  <c r="N106" i="1"/>
  <c r="M106" i="1"/>
  <c r="M105" i="1"/>
  <c r="K106" i="1"/>
  <c r="N105" i="1"/>
  <c r="K105" i="1"/>
  <c r="N116" i="1"/>
  <c r="M116" i="1"/>
  <c r="K116" i="1"/>
  <c r="N128" i="1"/>
  <c r="M128" i="1"/>
  <c r="K128" i="1"/>
  <c r="N134" i="1" l="1"/>
  <c r="M134" i="1"/>
  <c r="K134" i="1"/>
  <c r="N126" i="1"/>
  <c r="M126" i="1"/>
  <c r="N123" i="1" l="1"/>
  <c r="M123" i="1"/>
  <c r="K123" i="1"/>
  <c r="G134" i="1" l="1"/>
  <c r="F134" i="1"/>
  <c r="G132" i="1"/>
  <c r="F132" i="1"/>
  <c r="G130" i="1"/>
  <c r="F130" i="1"/>
  <c r="G129" i="1"/>
  <c r="F129" i="1"/>
  <c r="G128" i="1"/>
  <c r="F128" i="1"/>
  <c r="G127" i="1"/>
  <c r="F127" i="1"/>
  <c r="G126" i="1"/>
  <c r="F126" i="1"/>
  <c r="G123" i="1"/>
  <c r="F123" i="1"/>
  <c r="G122" i="1"/>
  <c r="F122" i="1"/>
  <c r="D134" i="1"/>
  <c r="D132" i="1"/>
  <c r="D130" i="1"/>
  <c r="D128" i="1"/>
  <c r="D127" i="1"/>
  <c r="D123" i="1"/>
  <c r="D122" i="1"/>
  <c r="G119" i="1"/>
  <c r="F119" i="1"/>
  <c r="G118" i="1"/>
  <c r="F118" i="1"/>
  <c r="G117" i="1"/>
  <c r="F117" i="1"/>
  <c r="G116" i="1"/>
  <c r="F116" i="1"/>
  <c r="G115" i="1"/>
  <c r="F115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D119" i="1"/>
  <c r="D118" i="1"/>
  <c r="D117" i="1"/>
  <c r="D116" i="1"/>
  <c r="D115" i="1"/>
  <c r="D111" i="1"/>
  <c r="D110" i="1"/>
  <c r="D109" i="1"/>
  <c r="D108" i="1"/>
  <c r="D107" i="1"/>
  <c r="D106" i="1"/>
  <c r="D105" i="1"/>
  <c r="D204" i="1" l="1"/>
  <c r="V163" i="1" l="1"/>
  <c r="U163" i="1"/>
  <c r="T163" i="1"/>
  <c r="S163" i="1"/>
  <c r="R163" i="1"/>
  <c r="R97" i="1" l="1"/>
  <c r="S97" i="1"/>
  <c r="T97" i="1"/>
  <c r="U97" i="1"/>
  <c r="V97" i="1"/>
  <c r="V44" i="1" l="1"/>
  <c r="U44" i="1"/>
  <c r="T44" i="1"/>
  <c r="S44" i="1"/>
  <c r="R44" i="1"/>
  <c r="H204" i="1" l="1"/>
  <c r="R12" i="1" l="1"/>
  <c r="O204" i="1" l="1"/>
  <c r="K204" i="1"/>
  <c r="L203" i="1" s="1"/>
  <c r="E203" i="1"/>
  <c r="V203" i="1"/>
  <c r="U203" i="1"/>
  <c r="T203" i="1"/>
  <c r="S203" i="1"/>
  <c r="R203" i="1"/>
  <c r="D23" i="1" l="1"/>
  <c r="R192" i="1" l="1"/>
  <c r="S192" i="1"/>
  <c r="T192" i="1"/>
  <c r="U192" i="1"/>
  <c r="V192" i="1"/>
  <c r="R95" i="1" l="1"/>
  <c r="V119" i="1" l="1"/>
  <c r="U119" i="1"/>
  <c r="T119" i="1"/>
  <c r="S119" i="1"/>
  <c r="R119" i="1"/>
  <c r="V118" i="1"/>
  <c r="U118" i="1"/>
  <c r="T118" i="1"/>
  <c r="S118" i="1"/>
  <c r="R118" i="1"/>
  <c r="R148" i="1" l="1"/>
  <c r="R107" i="1"/>
  <c r="S86" i="1" l="1"/>
  <c r="R215" i="1" l="1"/>
  <c r="R216" i="1"/>
  <c r="V126" i="1" l="1"/>
  <c r="U126" i="1"/>
  <c r="T126" i="1"/>
  <c r="R126" i="1"/>
  <c r="S133" i="1"/>
  <c r="V133" i="1"/>
  <c r="U133" i="1"/>
  <c r="T133" i="1"/>
  <c r="R133" i="1"/>
  <c r="V52" i="1"/>
  <c r="U52" i="1"/>
  <c r="T52" i="1"/>
  <c r="S52" i="1"/>
  <c r="R52" i="1"/>
  <c r="S126" i="1" l="1"/>
  <c r="R219" i="1" l="1"/>
  <c r="R166" i="1"/>
  <c r="R105" i="1" l="1"/>
  <c r="R161" i="1"/>
  <c r="S161" i="1"/>
  <c r="T161" i="1"/>
  <c r="U161" i="1"/>
  <c r="V161" i="1"/>
  <c r="R83" i="1" l="1"/>
  <c r="V197" i="1"/>
  <c r="U197" i="1"/>
  <c r="T197" i="1"/>
  <c r="S197" i="1"/>
  <c r="R197" i="1"/>
  <c r="V196" i="1"/>
  <c r="U196" i="1"/>
  <c r="T196" i="1"/>
  <c r="S196" i="1"/>
  <c r="R196" i="1"/>
  <c r="R53" i="1" l="1"/>
  <c r="V53" i="1"/>
  <c r="U53" i="1"/>
  <c r="T53" i="1"/>
  <c r="S53" i="1"/>
  <c r="K62" i="1"/>
  <c r="E48" i="1" l="1"/>
  <c r="E49" i="1"/>
  <c r="L40" i="1"/>
  <c r="L52" i="1"/>
  <c r="E52" i="1"/>
  <c r="C14" i="2"/>
  <c r="L38" i="1"/>
  <c r="L59" i="1"/>
  <c r="E53" i="1"/>
  <c r="L53" i="1"/>
  <c r="U169" i="1" l="1"/>
  <c r="V169" i="1"/>
  <c r="R169" i="1"/>
  <c r="S169" i="1"/>
  <c r="T169" i="1"/>
  <c r="R55" i="1"/>
  <c r="V55" i="1"/>
  <c r="U55" i="1"/>
  <c r="T55" i="1"/>
  <c r="S55" i="1"/>
  <c r="V180" i="1" l="1"/>
  <c r="R109" i="1" l="1"/>
  <c r="S109" i="1"/>
  <c r="T109" i="1"/>
  <c r="U109" i="1"/>
  <c r="V109" i="1"/>
  <c r="R32" i="1"/>
  <c r="R71" i="1"/>
  <c r="S71" i="1"/>
  <c r="T71" i="1"/>
  <c r="U71" i="1"/>
  <c r="V71" i="1"/>
  <c r="V32" i="1"/>
  <c r="U32" i="1"/>
  <c r="T32" i="1"/>
  <c r="S32" i="1"/>
  <c r="T106" i="1" l="1"/>
  <c r="U106" i="1"/>
  <c r="V106" i="1"/>
  <c r="S106" i="1"/>
  <c r="R106" i="1"/>
  <c r="R90" i="1" l="1"/>
  <c r="O135" i="1" l="1"/>
  <c r="I10" i="4"/>
  <c r="H10" i="4"/>
  <c r="G10" i="4"/>
  <c r="F10" i="4"/>
  <c r="E10" i="4"/>
  <c r="D10" i="4"/>
  <c r="C10" i="4"/>
  <c r="B10" i="4"/>
  <c r="R10" i="1" l="1"/>
  <c r="S10" i="1"/>
  <c r="T10" i="1"/>
  <c r="U10" i="1"/>
  <c r="V10" i="1"/>
  <c r="R108" i="1"/>
  <c r="S108" i="1"/>
  <c r="T108" i="1"/>
  <c r="U108" i="1"/>
  <c r="V108" i="1"/>
  <c r="R160" i="1" l="1"/>
  <c r="S60" i="1" l="1"/>
  <c r="D143" i="1" l="1"/>
  <c r="I4" i="6"/>
  <c r="I3" i="6" s="1"/>
  <c r="H4" i="6"/>
  <c r="H3" i="6" s="1"/>
  <c r="G4" i="6"/>
  <c r="G3" i="6" s="1"/>
  <c r="F4" i="6"/>
  <c r="E4" i="6"/>
  <c r="D4" i="6"/>
  <c r="C4" i="6"/>
  <c r="C3" i="6" s="1"/>
  <c r="B4" i="6"/>
  <c r="F3" i="6"/>
  <c r="E3" i="6"/>
  <c r="D3" i="6"/>
  <c r="B3" i="6"/>
  <c r="R111" i="1" l="1"/>
  <c r="S111" i="1"/>
  <c r="T111" i="1"/>
  <c r="U111" i="1"/>
  <c r="V111" i="1"/>
  <c r="R112" i="1"/>
  <c r="S112" i="1"/>
  <c r="T112" i="1"/>
  <c r="U112" i="1"/>
  <c r="V112" i="1"/>
  <c r="R99" i="1" l="1"/>
  <c r="S99" i="1"/>
  <c r="T99" i="1"/>
  <c r="U99" i="1"/>
  <c r="V99" i="1"/>
  <c r="R60" i="1"/>
  <c r="V60" i="1"/>
  <c r="U60" i="1"/>
  <c r="T60" i="1"/>
  <c r="R191" i="1"/>
  <c r="R149" i="1" l="1"/>
  <c r="R128" i="1" l="1"/>
  <c r="S128" i="1"/>
  <c r="T128" i="1"/>
  <c r="U128" i="1"/>
  <c r="V128" i="1"/>
  <c r="R84" i="1"/>
  <c r="S84" i="1"/>
  <c r="T84" i="1"/>
  <c r="U84" i="1"/>
  <c r="V84" i="1"/>
  <c r="V209" i="1" l="1"/>
  <c r="T167" i="1"/>
  <c r="S167" i="1"/>
  <c r="R131" i="1" l="1"/>
  <c r="V162" i="1" l="1"/>
  <c r="T153" i="1" l="1"/>
  <c r="R147" i="1"/>
  <c r="S147" i="1"/>
  <c r="T147" i="1"/>
  <c r="U147" i="1"/>
  <c r="V147" i="1"/>
  <c r="R170" i="1"/>
  <c r="S170" i="1"/>
  <c r="T170" i="1"/>
  <c r="U170" i="1"/>
  <c r="V170" i="1"/>
  <c r="R127" i="1" l="1"/>
  <c r="S127" i="1"/>
  <c r="S193" i="1" l="1"/>
  <c r="V127" i="1"/>
  <c r="U127" i="1"/>
  <c r="T127" i="1"/>
  <c r="R73" i="1" l="1"/>
  <c r="V81" i="1" l="1"/>
  <c r="U81" i="1"/>
  <c r="T81" i="1"/>
  <c r="S81" i="1"/>
  <c r="R81" i="1"/>
  <c r="V87" i="1" l="1"/>
  <c r="U87" i="1"/>
  <c r="T87" i="1"/>
  <c r="S87" i="1"/>
  <c r="R87" i="1"/>
  <c r="B4" i="5" l="1"/>
  <c r="B3" i="5" s="1"/>
  <c r="C4" i="5"/>
  <c r="C3" i="5" s="1"/>
  <c r="D4" i="5"/>
  <c r="D3" i="5" s="1"/>
  <c r="E4" i="5"/>
  <c r="E3" i="5" s="1"/>
  <c r="F4" i="5"/>
  <c r="F3" i="5" s="1"/>
  <c r="G4" i="5"/>
  <c r="G3" i="5" s="1"/>
  <c r="H4" i="5"/>
  <c r="H3" i="5" s="1"/>
  <c r="V194" i="1"/>
  <c r="U194" i="1"/>
  <c r="T194" i="1"/>
  <c r="S194" i="1"/>
  <c r="R194" i="1"/>
  <c r="T34" i="1" l="1"/>
  <c r="S22" i="1" l="1"/>
  <c r="T22" i="1"/>
  <c r="V110" i="1" l="1"/>
  <c r="R110" i="1"/>
  <c r="S110" i="1"/>
  <c r="T110" i="1"/>
  <c r="U110" i="1"/>
  <c r="R13" i="1" l="1"/>
  <c r="R51" i="1" l="1"/>
  <c r="V51" i="1"/>
  <c r="U51" i="1"/>
  <c r="T51" i="1"/>
  <c r="S51" i="1"/>
  <c r="V139" i="1" l="1"/>
  <c r="U139" i="1"/>
  <c r="T139" i="1"/>
  <c r="S139" i="1"/>
  <c r="R139" i="1"/>
  <c r="R78" i="1" l="1"/>
  <c r="S186" i="1" l="1"/>
  <c r="D181" i="1" l="1"/>
  <c r="B19" i="2" s="1"/>
  <c r="B9" i="2" s="1"/>
  <c r="D135" i="1"/>
  <c r="E119" i="1" s="1"/>
  <c r="E126" i="1" l="1"/>
  <c r="E118" i="1"/>
  <c r="E109" i="1"/>
  <c r="E108" i="1"/>
  <c r="E106" i="1"/>
  <c r="B16" i="2"/>
  <c r="B6" i="2" s="1"/>
  <c r="E123" i="1"/>
  <c r="E128" i="1"/>
  <c r="E111" i="1"/>
  <c r="E127" i="1"/>
  <c r="R98" i="1"/>
  <c r="S98" i="1"/>
  <c r="T98" i="1"/>
  <c r="U98" i="1"/>
  <c r="V98" i="1"/>
  <c r="D225" i="1"/>
  <c r="D62" i="1"/>
  <c r="B20" i="2" l="1"/>
  <c r="B10" i="2" s="1"/>
  <c r="E197" i="1"/>
  <c r="E196" i="1"/>
  <c r="B14" i="2"/>
  <c r="B4" i="2" s="1"/>
  <c r="E139" i="1"/>
  <c r="B17" i="2"/>
  <c r="B7" i="2" s="1"/>
  <c r="E190" i="1"/>
  <c r="E191" i="1"/>
  <c r="E193" i="1"/>
  <c r="E194" i="1"/>
  <c r="E195" i="1"/>
  <c r="E198" i="1"/>
  <c r="E199" i="1"/>
  <c r="E200" i="1"/>
  <c r="R179" i="1"/>
  <c r="R89" i="1" l="1"/>
  <c r="S89" i="1"/>
  <c r="T89" i="1"/>
  <c r="V89" i="1"/>
  <c r="U89" i="1"/>
  <c r="B13" i="2" l="1"/>
  <c r="B3" i="2" l="1"/>
  <c r="E10" i="1"/>
  <c r="R124" i="1"/>
  <c r="R20" i="1" l="1"/>
  <c r="R214" i="1" l="1"/>
  <c r="S214" i="1"/>
  <c r="T214" i="1"/>
  <c r="U214" i="1"/>
  <c r="V214" i="1"/>
  <c r="S215" i="1"/>
  <c r="T215" i="1"/>
  <c r="U215" i="1"/>
  <c r="V215" i="1"/>
  <c r="S216" i="1"/>
  <c r="T216" i="1"/>
  <c r="U216" i="1"/>
  <c r="V216" i="1"/>
  <c r="R217" i="1"/>
  <c r="S217" i="1"/>
  <c r="T217" i="1"/>
  <c r="U217" i="1"/>
  <c r="V217" i="1"/>
  <c r="R218" i="1"/>
  <c r="S218" i="1"/>
  <c r="T218" i="1"/>
  <c r="U218" i="1"/>
  <c r="V218" i="1"/>
  <c r="S219" i="1"/>
  <c r="T219" i="1"/>
  <c r="U219" i="1"/>
  <c r="V219" i="1"/>
  <c r="R220" i="1"/>
  <c r="S220" i="1"/>
  <c r="T220" i="1"/>
  <c r="U220" i="1"/>
  <c r="V220" i="1"/>
  <c r="R221" i="1"/>
  <c r="S221" i="1"/>
  <c r="T221" i="1"/>
  <c r="U221" i="1"/>
  <c r="V221" i="1"/>
  <c r="R222" i="1"/>
  <c r="S222" i="1"/>
  <c r="T222" i="1"/>
  <c r="U222" i="1"/>
  <c r="V222" i="1"/>
  <c r="R223" i="1"/>
  <c r="S223" i="1"/>
  <c r="T223" i="1"/>
  <c r="U223" i="1"/>
  <c r="V223" i="1"/>
  <c r="R224" i="1"/>
  <c r="S224" i="1"/>
  <c r="T224" i="1"/>
  <c r="U224" i="1"/>
  <c r="V224" i="1"/>
  <c r="S225" i="1"/>
  <c r="U225" i="1"/>
  <c r="V225" i="1"/>
  <c r="V213" i="1"/>
  <c r="U213" i="1"/>
  <c r="T213" i="1"/>
  <c r="S213" i="1"/>
  <c r="R213" i="1"/>
  <c r="U209" i="1"/>
  <c r="T209" i="1"/>
  <c r="S209" i="1"/>
  <c r="R209" i="1"/>
  <c r="V208" i="1"/>
  <c r="U208" i="1"/>
  <c r="T208" i="1"/>
  <c r="S208" i="1"/>
  <c r="R208" i="1"/>
  <c r="R190" i="1"/>
  <c r="S190" i="1"/>
  <c r="T190" i="1"/>
  <c r="U190" i="1"/>
  <c r="V190" i="1"/>
  <c r="S191" i="1"/>
  <c r="T191" i="1"/>
  <c r="U191" i="1"/>
  <c r="V191" i="1"/>
  <c r="R193" i="1"/>
  <c r="T193" i="1"/>
  <c r="U193" i="1"/>
  <c r="V193" i="1"/>
  <c r="R195" i="1"/>
  <c r="S195" i="1"/>
  <c r="T195" i="1"/>
  <c r="U195" i="1"/>
  <c r="V195" i="1"/>
  <c r="R198" i="1"/>
  <c r="S198" i="1"/>
  <c r="T198" i="1"/>
  <c r="U198" i="1"/>
  <c r="V198" i="1"/>
  <c r="R199" i="1"/>
  <c r="S199" i="1"/>
  <c r="T199" i="1"/>
  <c r="U199" i="1"/>
  <c r="V199" i="1"/>
  <c r="R200" i="1"/>
  <c r="S200" i="1"/>
  <c r="T200" i="1"/>
  <c r="U200" i="1"/>
  <c r="V200" i="1"/>
  <c r="S204" i="1"/>
  <c r="U204" i="1"/>
  <c r="V204" i="1"/>
  <c r="V189" i="1"/>
  <c r="U189" i="1"/>
  <c r="T189" i="1"/>
  <c r="S189" i="1"/>
  <c r="R189" i="1"/>
  <c r="V186" i="1"/>
  <c r="U186" i="1"/>
  <c r="T186" i="1"/>
  <c r="R186" i="1"/>
  <c r="V185" i="1"/>
  <c r="U185" i="1"/>
  <c r="T185" i="1"/>
  <c r="S185" i="1"/>
  <c r="R185" i="1"/>
  <c r="S179" i="1"/>
  <c r="T179" i="1"/>
  <c r="U179" i="1"/>
  <c r="V179" i="1"/>
  <c r="R180" i="1"/>
  <c r="S180" i="1"/>
  <c r="T180" i="1"/>
  <c r="U180" i="1"/>
  <c r="S181" i="1"/>
  <c r="U181" i="1"/>
  <c r="V181" i="1"/>
  <c r="V178" i="1"/>
  <c r="U178" i="1"/>
  <c r="T178" i="1"/>
  <c r="S178" i="1"/>
  <c r="R178" i="1"/>
  <c r="S148" i="1"/>
  <c r="T148" i="1"/>
  <c r="U148" i="1"/>
  <c r="V148" i="1"/>
  <c r="S149" i="1"/>
  <c r="T149" i="1"/>
  <c r="U149" i="1"/>
  <c r="V149" i="1"/>
  <c r="R150" i="1"/>
  <c r="S150" i="1"/>
  <c r="T150" i="1"/>
  <c r="U150" i="1"/>
  <c r="R151" i="1"/>
  <c r="S151" i="1"/>
  <c r="T151" i="1"/>
  <c r="U151" i="1"/>
  <c r="V151" i="1"/>
  <c r="R152" i="1"/>
  <c r="S152" i="1"/>
  <c r="T152" i="1"/>
  <c r="U152" i="1"/>
  <c r="V152" i="1"/>
  <c r="R153" i="1"/>
  <c r="S153" i="1"/>
  <c r="U153" i="1"/>
  <c r="V153" i="1"/>
  <c r="R154" i="1"/>
  <c r="S154" i="1"/>
  <c r="T154" i="1"/>
  <c r="U154" i="1"/>
  <c r="V154" i="1"/>
  <c r="R155" i="1"/>
  <c r="S155" i="1"/>
  <c r="T155" i="1"/>
  <c r="U155" i="1"/>
  <c r="V155" i="1"/>
  <c r="R156" i="1"/>
  <c r="S156" i="1"/>
  <c r="T156" i="1"/>
  <c r="U156" i="1"/>
  <c r="V156" i="1"/>
  <c r="R157" i="1"/>
  <c r="S157" i="1"/>
  <c r="T157" i="1"/>
  <c r="U157" i="1"/>
  <c r="V157" i="1"/>
  <c r="R158" i="1"/>
  <c r="S158" i="1"/>
  <c r="T158" i="1"/>
  <c r="U158" i="1"/>
  <c r="V158" i="1"/>
  <c r="R159" i="1"/>
  <c r="S159" i="1"/>
  <c r="T159" i="1"/>
  <c r="U159" i="1"/>
  <c r="V159" i="1"/>
  <c r="S160" i="1"/>
  <c r="T160" i="1"/>
  <c r="U160" i="1"/>
  <c r="V160" i="1"/>
  <c r="R162" i="1"/>
  <c r="S162" i="1"/>
  <c r="T162" i="1"/>
  <c r="U162" i="1"/>
  <c r="R164" i="1"/>
  <c r="S164" i="1"/>
  <c r="T164" i="1"/>
  <c r="U164" i="1"/>
  <c r="V164" i="1"/>
  <c r="R165" i="1"/>
  <c r="S165" i="1"/>
  <c r="T165" i="1"/>
  <c r="U165" i="1"/>
  <c r="V165" i="1"/>
  <c r="S166" i="1"/>
  <c r="T166" i="1"/>
  <c r="U166" i="1"/>
  <c r="V166" i="1"/>
  <c r="R167" i="1"/>
  <c r="U167" i="1"/>
  <c r="V167" i="1"/>
  <c r="R168" i="1"/>
  <c r="S168" i="1"/>
  <c r="T168" i="1"/>
  <c r="U168" i="1"/>
  <c r="V168" i="1"/>
  <c r="R171" i="1"/>
  <c r="S171" i="1"/>
  <c r="T171" i="1"/>
  <c r="U171" i="1"/>
  <c r="V171" i="1"/>
  <c r="R172" i="1"/>
  <c r="S172" i="1"/>
  <c r="T172" i="1"/>
  <c r="U172" i="1"/>
  <c r="V172" i="1"/>
  <c r="R173" i="1"/>
  <c r="S173" i="1"/>
  <c r="T173" i="1"/>
  <c r="U173" i="1"/>
  <c r="V173" i="1"/>
  <c r="R174" i="1"/>
  <c r="S174" i="1"/>
  <c r="T174" i="1"/>
  <c r="U174" i="1"/>
  <c r="V174" i="1"/>
  <c r="S175" i="1"/>
  <c r="U175" i="1"/>
  <c r="V175" i="1"/>
  <c r="V146" i="1"/>
  <c r="U146" i="1"/>
  <c r="T146" i="1"/>
  <c r="S146" i="1"/>
  <c r="R146" i="1"/>
  <c r="R140" i="1"/>
  <c r="S140" i="1"/>
  <c r="T140" i="1"/>
  <c r="U140" i="1"/>
  <c r="V140" i="1"/>
  <c r="R141" i="1"/>
  <c r="S141" i="1"/>
  <c r="T141" i="1"/>
  <c r="U141" i="1"/>
  <c r="V141" i="1"/>
  <c r="R142" i="1"/>
  <c r="S142" i="1"/>
  <c r="T142" i="1"/>
  <c r="U142" i="1"/>
  <c r="V142" i="1"/>
  <c r="S143" i="1"/>
  <c r="U143" i="1"/>
  <c r="V143" i="1"/>
  <c r="V138" i="1"/>
  <c r="U138" i="1"/>
  <c r="T138" i="1"/>
  <c r="S138" i="1"/>
  <c r="R138" i="1"/>
  <c r="R123" i="1"/>
  <c r="S123" i="1"/>
  <c r="T123" i="1"/>
  <c r="U123" i="1"/>
  <c r="V123" i="1"/>
  <c r="S124" i="1"/>
  <c r="T124" i="1"/>
  <c r="U124" i="1"/>
  <c r="V124" i="1"/>
  <c r="R125" i="1"/>
  <c r="S125" i="1"/>
  <c r="T125" i="1"/>
  <c r="U125" i="1"/>
  <c r="V125" i="1"/>
  <c r="R129" i="1"/>
  <c r="S129" i="1"/>
  <c r="T129" i="1"/>
  <c r="U129" i="1"/>
  <c r="V129" i="1"/>
  <c r="R130" i="1"/>
  <c r="S130" i="1"/>
  <c r="T130" i="1"/>
  <c r="U130" i="1"/>
  <c r="V130" i="1"/>
  <c r="S131" i="1"/>
  <c r="T131" i="1"/>
  <c r="U131" i="1"/>
  <c r="V131" i="1"/>
  <c r="R132" i="1"/>
  <c r="S132" i="1"/>
  <c r="T132" i="1"/>
  <c r="U132" i="1"/>
  <c r="V132" i="1"/>
  <c r="R134" i="1"/>
  <c r="S134" i="1"/>
  <c r="T134" i="1"/>
  <c r="U134" i="1"/>
  <c r="V134" i="1"/>
  <c r="S135" i="1"/>
  <c r="U135" i="1"/>
  <c r="V135" i="1"/>
  <c r="V122" i="1"/>
  <c r="U122" i="1"/>
  <c r="T122" i="1"/>
  <c r="S122" i="1"/>
  <c r="R122" i="1"/>
  <c r="S107" i="1"/>
  <c r="T107" i="1"/>
  <c r="U107" i="1"/>
  <c r="V107" i="1"/>
  <c r="R113" i="1"/>
  <c r="S113" i="1"/>
  <c r="T113" i="1"/>
  <c r="U113" i="1"/>
  <c r="V113" i="1"/>
  <c r="R114" i="1"/>
  <c r="S114" i="1"/>
  <c r="T114" i="1"/>
  <c r="U114" i="1"/>
  <c r="V114" i="1"/>
  <c r="R115" i="1"/>
  <c r="S115" i="1"/>
  <c r="T115" i="1"/>
  <c r="U115" i="1"/>
  <c r="V115" i="1"/>
  <c r="R116" i="1"/>
  <c r="S116" i="1"/>
  <c r="T116" i="1"/>
  <c r="U116" i="1"/>
  <c r="V116" i="1"/>
  <c r="R117" i="1"/>
  <c r="S117" i="1"/>
  <c r="T117" i="1"/>
  <c r="U117" i="1"/>
  <c r="V117" i="1"/>
  <c r="V105" i="1"/>
  <c r="U105" i="1"/>
  <c r="T105" i="1"/>
  <c r="S10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R70" i="1"/>
  <c r="S70" i="1"/>
  <c r="T70" i="1"/>
  <c r="U70" i="1"/>
  <c r="R72" i="1"/>
  <c r="S72" i="1"/>
  <c r="T72" i="1"/>
  <c r="U72" i="1"/>
  <c r="V72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R77" i="1"/>
  <c r="S77" i="1"/>
  <c r="T77" i="1"/>
  <c r="U77" i="1"/>
  <c r="V77" i="1"/>
  <c r="S78" i="1"/>
  <c r="T78" i="1"/>
  <c r="U78" i="1"/>
  <c r="V78" i="1"/>
  <c r="R79" i="1"/>
  <c r="S79" i="1"/>
  <c r="T79" i="1"/>
  <c r="U79" i="1"/>
  <c r="V79" i="1"/>
  <c r="R80" i="1"/>
  <c r="S80" i="1"/>
  <c r="T80" i="1"/>
  <c r="U80" i="1"/>
  <c r="V80" i="1"/>
  <c r="R82" i="1"/>
  <c r="S82" i="1"/>
  <c r="T82" i="1"/>
  <c r="U82" i="1"/>
  <c r="V82" i="1"/>
  <c r="S83" i="1"/>
  <c r="T83" i="1"/>
  <c r="U83" i="1"/>
  <c r="V83" i="1"/>
  <c r="R85" i="1"/>
  <c r="S85" i="1"/>
  <c r="T85" i="1"/>
  <c r="U85" i="1"/>
  <c r="V85" i="1"/>
  <c r="R86" i="1"/>
  <c r="T86" i="1"/>
  <c r="U86" i="1"/>
  <c r="V86" i="1"/>
  <c r="R88" i="1"/>
  <c r="S88" i="1"/>
  <c r="T88" i="1"/>
  <c r="U88" i="1"/>
  <c r="V88" i="1"/>
  <c r="S90" i="1"/>
  <c r="T90" i="1"/>
  <c r="U90" i="1"/>
  <c r="V90" i="1"/>
  <c r="R91" i="1"/>
  <c r="S91" i="1"/>
  <c r="T91" i="1"/>
  <c r="U91" i="1"/>
  <c r="V91" i="1"/>
  <c r="R92" i="1"/>
  <c r="S92" i="1"/>
  <c r="T92" i="1"/>
  <c r="U92" i="1"/>
  <c r="V92" i="1"/>
  <c r="R93" i="1"/>
  <c r="S93" i="1"/>
  <c r="T93" i="1"/>
  <c r="U93" i="1"/>
  <c r="V93" i="1"/>
  <c r="R94" i="1"/>
  <c r="S94" i="1"/>
  <c r="T94" i="1"/>
  <c r="U94" i="1"/>
  <c r="V94" i="1"/>
  <c r="S95" i="1"/>
  <c r="T95" i="1"/>
  <c r="U95" i="1"/>
  <c r="V95" i="1"/>
  <c r="R96" i="1"/>
  <c r="S96" i="1"/>
  <c r="T96" i="1"/>
  <c r="U96" i="1"/>
  <c r="V96" i="1"/>
  <c r="R100" i="1"/>
  <c r="S100" i="1"/>
  <c r="T100" i="1"/>
  <c r="U100" i="1"/>
  <c r="V100" i="1"/>
  <c r="S101" i="1"/>
  <c r="U101" i="1"/>
  <c r="V101" i="1"/>
  <c r="V65" i="1"/>
  <c r="U65" i="1"/>
  <c r="T65" i="1"/>
  <c r="S65" i="1"/>
  <c r="R65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3" i="1"/>
  <c r="S33" i="1"/>
  <c r="T33" i="1"/>
  <c r="U33" i="1"/>
  <c r="V33" i="1"/>
  <c r="R34" i="1"/>
  <c r="S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49" i="1"/>
  <c r="S49" i="1"/>
  <c r="T49" i="1"/>
  <c r="U49" i="1"/>
  <c r="V49" i="1"/>
  <c r="R50" i="1"/>
  <c r="S50" i="1"/>
  <c r="T50" i="1"/>
  <c r="U50" i="1"/>
  <c r="V50" i="1"/>
  <c r="R54" i="1"/>
  <c r="S54" i="1"/>
  <c r="T54" i="1"/>
  <c r="U54" i="1"/>
  <c r="V54" i="1"/>
  <c r="R56" i="1"/>
  <c r="S56" i="1"/>
  <c r="T56" i="1"/>
  <c r="U56" i="1"/>
  <c r="V56" i="1"/>
  <c r="R57" i="1"/>
  <c r="S57" i="1"/>
  <c r="T57" i="1"/>
  <c r="U57" i="1"/>
  <c r="V57" i="1"/>
  <c r="R58" i="1"/>
  <c r="S58" i="1"/>
  <c r="T58" i="1"/>
  <c r="U58" i="1"/>
  <c r="V58" i="1"/>
  <c r="R59" i="1"/>
  <c r="S59" i="1"/>
  <c r="T59" i="1"/>
  <c r="U59" i="1"/>
  <c r="V59" i="1"/>
  <c r="R61" i="1"/>
  <c r="S61" i="1"/>
  <c r="T61" i="1"/>
  <c r="U61" i="1"/>
  <c r="V61" i="1"/>
  <c r="S62" i="1"/>
  <c r="U62" i="1"/>
  <c r="V62" i="1"/>
  <c r="V26" i="1"/>
  <c r="U26" i="1"/>
  <c r="T26" i="1"/>
  <c r="S26" i="1"/>
  <c r="R26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1" i="1"/>
  <c r="S11" i="1"/>
  <c r="T11" i="1"/>
  <c r="U11" i="1"/>
  <c r="V11" i="1"/>
  <c r="S12" i="1"/>
  <c r="T12" i="1"/>
  <c r="U12" i="1"/>
  <c r="V12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R19" i="1"/>
  <c r="S19" i="1"/>
  <c r="T19" i="1"/>
  <c r="U19" i="1"/>
  <c r="V19" i="1"/>
  <c r="S20" i="1"/>
  <c r="T20" i="1"/>
  <c r="U20" i="1"/>
  <c r="V20" i="1"/>
  <c r="R21" i="1"/>
  <c r="S21" i="1"/>
  <c r="T21" i="1"/>
  <c r="U21" i="1"/>
  <c r="V21" i="1"/>
  <c r="R22" i="1"/>
  <c r="U22" i="1"/>
  <c r="V22" i="1"/>
  <c r="S23" i="1"/>
  <c r="U23" i="1"/>
  <c r="V23" i="1"/>
  <c r="V6" i="1"/>
  <c r="U6" i="1"/>
  <c r="T6" i="1"/>
  <c r="V70" i="1" l="1"/>
  <c r="V150" i="1"/>
  <c r="O225" i="1" l="1"/>
  <c r="K225" i="1"/>
  <c r="L217" i="1" s="1"/>
  <c r="H225" i="1"/>
  <c r="K210" i="1"/>
  <c r="H210" i="1"/>
  <c r="D210" i="1"/>
  <c r="L192" i="1"/>
  <c r="H181" i="1"/>
  <c r="O181" i="1"/>
  <c r="K181" i="1"/>
  <c r="O175" i="1"/>
  <c r="K175" i="1"/>
  <c r="L163" i="1" s="1"/>
  <c r="H175" i="1"/>
  <c r="D175" i="1"/>
  <c r="E163" i="1" s="1"/>
  <c r="O143" i="1"/>
  <c r="K143" i="1"/>
  <c r="H143" i="1"/>
  <c r="T143" i="1" s="1"/>
  <c r="H135" i="1"/>
  <c r="K135" i="1"/>
  <c r="L119" i="1" s="1"/>
  <c r="O101" i="1"/>
  <c r="K101" i="1"/>
  <c r="L71" i="1" s="1"/>
  <c r="H101" i="1"/>
  <c r="D101" i="1"/>
  <c r="E97" i="1" s="1"/>
  <c r="O62" i="1"/>
  <c r="H62" i="1"/>
  <c r="O23" i="1"/>
  <c r="H23" i="1"/>
  <c r="E161" i="1" l="1"/>
  <c r="E44" i="1"/>
  <c r="L79" i="1"/>
  <c r="L97" i="1"/>
  <c r="L164" i="1"/>
  <c r="L44" i="1"/>
  <c r="L126" i="1"/>
  <c r="L118" i="1"/>
  <c r="B5" i="3"/>
  <c r="L193" i="1"/>
  <c r="L82" i="1"/>
  <c r="L96" i="1"/>
  <c r="L133" i="1"/>
  <c r="B4" i="3"/>
  <c r="L156" i="1"/>
  <c r="L161" i="1"/>
  <c r="L162" i="1"/>
  <c r="L169" i="1"/>
  <c r="L147" i="1"/>
  <c r="L197" i="1"/>
  <c r="L196" i="1"/>
  <c r="E71" i="1"/>
  <c r="B15" i="2"/>
  <c r="B5" i="2" s="1"/>
  <c r="C15" i="2"/>
  <c r="C5" i="2" s="1"/>
  <c r="B18" i="2"/>
  <c r="B8" i="2" s="1"/>
  <c r="E169" i="1"/>
  <c r="E55" i="1"/>
  <c r="L55" i="1"/>
  <c r="L106" i="1"/>
  <c r="L109" i="1"/>
  <c r="E32" i="1"/>
  <c r="L32" i="1"/>
  <c r="L167" i="1"/>
  <c r="L168" i="1"/>
  <c r="L170" i="1"/>
  <c r="E61" i="1"/>
  <c r="E60" i="1"/>
  <c r="C18" i="2"/>
  <c r="C8" i="2" s="1"/>
  <c r="C16" i="2"/>
  <c r="C6" i="2" s="1"/>
  <c r="L108" i="1"/>
  <c r="L139" i="1"/>
  <c r="C17" i="2"/>
  <c r="C7" i="2" s="1"/>
  <c r="B6" i="3"/>
  <c r="C19" i="2"/>
  <c r="C9" i="2" s="1"/>
  <c r="B2" i="3"/>
  <c r="C20" i="2"/>
  <c r="C10" i="2" s="1"/>
  <c r="B7" i="3"/>
  <c r="B8" i="3"/>
  <c r="C4" i="2"/>
  <c r="E99" i="1"/>
  <c r="B9" i="3"/>
  <c r="L84" i="1"/>
  <c r="L99" i="1"/>
  <c r="L60" i="1"/>
  <c r="L190" i="1"/>
  <c r="L191" i="1"/>
  <c r="L194" i="1"/>
  <c r="L195" i="1"/>
  <c r="L198" i="1"/>
  <c r="L199" i="1"/>
  <c r="L200" i="1"/>
  <c r="L127" i="1"/>
  <c r="L128" i="1"/>
  <c r="E81" i="1"/>
  <c r="E84" i="1"/>
  <c r="E168" i="1"/>
  <c r="E170" i="1"/>
  <c r="L91" i="1"/>
  <c r="L100" i="1"/>
  <c r="L81" i="1"/>
  <c r="E147" i="1"/>
  <c r="L111" i="1"/>
  <c r="L124" i="1"/>
  <c r="L189" i="1"/>
  <c r="E87" i="1"/>
  <c r="L87" i="1"/>
  <c r="L58" i="1"/>
  <c r="L37" i="1"/>
  <c r="L223" i="1"/>
  <c r="L224" i="1"/>
  <c r="E51" i="1"/>
  <c r="L50" i="1"/>
  <c r="L54" i="1"/>
  <c r="L51" i="1"/>
  <c r="L56" i="1"/>
  <c r="L105" i="1"/>
  <c r="L122" i="1"/>
  <c r="L171" i="1"/>
  <c r="L92" i="1"/>
  <c r="L68" i="1"/>
  <c r="L110" i="1"/>
  <c r="L26" i="1"/>
  <c r="T204" i="1"/>
  <c r="L98" i="1"/>
  <c r="E89" i="1"/>
  <c r="E98" i="1"/>
  <c r="T225" i="1"/>
  <c r="L89" i="1"/>
  <c r="T62" i="1"/>
  <c r="T181" i="1"/>
  <c r="R181" i="1"/>
  <c r="T101" i="1"/>
  <c r="T175" i="1"/>
  <c r="T23" i="1"/>
  <c r="R143" i="1"/>
  <c r="R225" i="1"/>
  <c r="T135" i="1"/>
  <c r="O205" i="1"/>
  <c r="O226" i="1" s="1"/>
  <c r="R175" i="1"/>
  <c r="R135" i="1"/>
  <c r="R101" i="1"/>
  <c r="L67" i="1"/>
  <c r="L69" i="1"/>
  <c r="L72" i="1"/>
  <c r="L74" i="1"/>
  <c r="L76" i="1"/>
  <c r="L78" i="1"/>
  <c r="L80" i="1"/>
  <c r="L83" i="1"/>
  <c r="L86" i="1"/>
  <c r="L90" i="1"/>
  <c r="L94" i="1"/>
  <c r="L66" i="1"/>
  <c r="L70" i="1"/>
  <c r="L73" i="1"/>
  <c r="L75" i="1"/>
  <c r="L77" i="1"/>
  <c r="L85" i="1"/>
  <c r="L88" i="1"/>
  <c r="L93" i="1"/>
  <c r="L95" i="1"/>
  <c r="E28" i="1"/>
  <c r="E30" i="1"/>
  <c r="E33" i="1"/>
  <c r="E35" i="1"/>
  <c r="E37" i="1"/>
  <c r="E39" i="1"/>
  <c r="E41" i="1"/>
  <c r="E43" i="1"/>
  <c r="E46" i="1"/>
  <c r="E50" i="1"/>
  <c r="E56" i="1"/>
  <c r="E58" i="1"/>
  <c r="E27" i="1"/>
  <c r="E29" i="1"/>
  <c r="E31" i="1"/>
  <c r="E34" i="1"/>
  <c r="E36" i="1"/>
  <c r="E38" i="1"/>
  <c r="E40" i="1"/>
  <c r="E42" i="1"/>
  <c r="E45" i="1"/>
  <c r="E47" i="1"/>
  <c r="E54" i="1"/>
  <c r="E57" i="1"/>
  <c r="E59" i="1"/>
  <c r="E26" i="1"/>
  <c r="R204" i="1"/>
  <c r="H205" i="1"/>
  <c r="H226" i="1" s="1"/>
  <c r="J10" i="4"/>
  <c r="I12" i="4"/>
  <c r="H12" i="4"/>
  <c r="G12" i="4"/>
  <c r="F12" i="4"/>
  <c r="E12" i="4"/>
  <c r="C12" i="4"/>
  <c r="E221" i="1"/>
  <c r="L222" i="1"/>
  <c r="L221" i="1"/>
  <c r="L219" i="1"/>
  <c r="L218" i="1"/>
  <c r="L215" i="1"/>
  <c r="L214" i="1"/>
  <c r="L213" i="1"/>
  <c r="L208" i="1"/>
  <c r="E208" i="1"/>
  <c r="L186" i="1"/>
  <c r="L178" i="1"/>
  <c r="E180" i="1"/>
  <c r="E174" i="1"/>
  <c r="E171" i="1"/>
  <c r="L160" i="1"/>
  <c r="L158" i="1"/>
  <c r="L155" i="1"/>
  <c r="L152" i="1"/>
  <c r="L150" i="1"/>
  <c r="L146" i="1"/>
  <c r="L141" i="1"/>
  <c r="E142" i="1"/>
  <c r="L142" i="1"/>
  <c r="E96" i="1"/>
  <c r="E95" i="1"/>
  <c r="E93" i="1"/>
  <c r="E91" i="1"/>
  <c r="E88" i="1"/>
  <c r="E85" i="1"/>
  <c r="E82" i="1"/>
  <c r="E79" i="1"/>
  <c r="E77" i="1"/>
  <c r="E75" i="1"/>
  <c r="E73" i="1"/>
  <c r="E70" i="1"/>
  <c r="E68" i="1"/>
  <c r="E66" i="1"/>
  <c r="L57" i="1"/>
  <c r="R62" i="1"/>
  <c r="L34" i="1"/>
  <c r="K23" i="1"/>
  <c r="L16" i="1" s="1"/>
  <c r="E15" i="1"/>
  <c r="S6" i="1"/>
  <c r="R6" i="1"/>
  <c r="L10" i="1" l="1"/>
  <c r="C13" i="2"/>
  <c r="C3" i="2" s="1"/>
  <c r="B3" i="3"/>
  <c r="J12" i="4"/>
  <c r="I4" i="5"/>
  <c r="I3" i="5" s="1"/>
  <c r="L7" i="1"/>
  <c r="L8" i="1"/>
  <c r="L9" i="1"/>
  <c r="L11" i="1"/>
  <c r="L12" i="1"/>
  <c r="L13" i="1"/>
  <c r="L14" i="1"/>
  <c r="L15" i="1"/>
  <c r="L17" i="1"/>
  <c r="L18" i="1"/>
  <c r="L19" i="1"/>
  <c r="L20" i="1"/>
  <c r="L21" i="1"/>
  <c r="L22" i="1"/>
  <c r="E8" i="1"/>
  <c r="E6" i="1"/>
  <c r="E11" i="1"/>
  <c r="E9" i="1"/>
  <c r="E20" i="1"/>
  <c r="R23" i="1"/>
  <c r="L6" i="1"/>
  <c r="L42" i="1"/>
  <c r="L138" i="1"/>
  <c r="L148" i="1"/>
  <c r="L151" i="1"/>
  <c r="L154" i="1"/>
  <c r="L159" i="1"/>
  <c r="L165" i="1"/>
  <c r="E19" i="1"/>
  <c r="L65" i="1"/>
  <c r="E69" i="1"/>
  <c r="E138" i="1"/>
  <c r="E146" i="1"/>
  <c r="E148" i="1"/>
  <c r="E149" i="1"/>
  <c r="E154" i="1"/>
  <c r="E155" i="1"/>
  <c r="E156" i="1"/>
  <c r="E157" i="1"/>
  <c r="E164" i="1"/>
  <c r="E167" i="1"/>
  <c r="E173" i="1"/>
  <c r="E12" i="1"/>
  <c r="E14" i="1"/>
  <c r="E17" i="1"/>
  <c r="E21" i="1"/>
  <c r="L30" i="1"/>
  <c r="L39" i="1"/>
  <c r="L46" i="1"/>
  <c r="K205" i="1"/>
  <c r="L140" i="1"/>
  <c r="E150" i="1"/>
  <c r="E151" i="1"/>
  <c r="E152" i="1"/>
  <c r="E153" i="1"/>
  <c r="E158" i="1"/>
  <c r="E159" i="1"/>
  <c r="E160" i="1"/>
  <c r="E162" i="1"/>
  <c r="E165" i="1"/>
  <c r="E166" i="1"/>
  <c r="E172" i="1"/>
  <c r="L185" i="1"/>
  <c r="L115" i="1"/>
  <c r="L114" i="1"/>
  <c r="L35" i="1"/>
  <c r="L47" i="1"/>
  <c r="E141" i="1"/>
  <c r="L173" i="1"/>
  <c r="L180" i="1"/>
  <c r="E216" i="1"/>
  <c r="E220" i="1"/>
  <c r="E224" i="1"/>
  <c r="D12" i="4"/>
  <c r="E107" i="1"/>
  <c r="L41" i="1"/>
  <c r="L31" i="1"/>
  <c r="L43" i="1"/>
  <c r="L149" i="1"/>
  <c r="L153" i="1"/>
  <c r="L157" i="1"/>
  <c r="E179" i="1"/>
  <c r="E189" i="1"/>
  <c r="E209" i="1"/>
  <c r="L216" i="1"/>
  <c r="L220" i="1"/>
  <c r="L29" i="1"/>
  <c r="E7" i="1"/>
  <c r="E18" i="1"/>
  <c r="E22" i="1"/>
  <c r="L28" i="1"/>
  <c r="L49" i="1"/>
  <c r="E65" i="1"/>
  <c r="E74" i="1"/>
  <c r="E78" i="1"/>
  <c r="E83" i="1"/>
  <c r="E90" i="1"/>
  <c r="E94" i="1"/>
  <c r="E100" i="1"/>
  <c r="E140" i="1"/>
  <c r="L166" i="1"/>
  <c r="L172" i="1"/>
  <c r="L179" i="1"/>
  <c r="L209" i="1"/>
  <c r="R210" i="1"/>
  <c r="E215" i="1"/>
  <c r="E219" i="1"/>
  <c r="E223" i="1"/>
  <c r="E178" i="1"/>
  <c r="E186" i="1"/>
  <c r="E214" i="1"/>
  <c r="E218" i="1"/>
  <c r="E222" i="1"/>
  <c r="L48" i="1"/>
  <c r="L61" i="1"/>
  <c r="L27" i="1"/>
  <c r="L36" i="1"/>
  <c r="E185" i="1"/>
  <c r="E13" i="1"/>
  <c r="E16" i="1"/>
  <c r="L33" i="1"/>
  <c r="L45" i="1"/>
  <c r="E67" i="1"/>
  <c r="E72" i="1"/>
  <c r="E76" i="1"/>
  <c r="E80" i="1"/>
  <c r="E86" i="1"/>
  <c r="E92" i="1"/>
  <c r="L174" i="1"/>
  <c r="E213" i="1"/>
  <c r="E217" i="1"/>
  <c r="L125" i="1" l="1"/>
  <c r="L107" i="1"/>
  <c r="L112" i="1"/>
  <c r="L130" i="1"/>
  <c r="L113" i="1"/>
  <c r="K226" i="1"/>
  <c r="L23" i="1"/>
  <c r="L175" i="1"/>
  <c r="L62" i="1"/>
  <c r="L143" i="1"/>
  <c r="L101" i="1"/>
  <c r="L135" i="1"/>
  <c r="L204" i="1"/>
  <c r="L181" i="1"/>
  <c r="L117" i="1"/>
  <c r="L116" i="1"/>
  <c r="L134" i="1"/>
  <c r="L129" i="1"/>
  <c r="L131" i="1"/>
  <c r="L132" i="1"/>
  <c r="L123" i="1"/>
  <c r="E132" i="1"/>
  <c r="E129" i="1"/>
  <c r="E116" i="1"/>
  <c r="E113" i="1"/>
  <c r="E114" i="1"/>
  <c r="E124" i="1"/>
  <c r="E115" i="1"/>
  <c r="D205" i="1"/>
  <c r="E134" i="1"/>
  <c r="E105" i="1"/>
  <c r="E117" i="1"/>
  <c r="E112" i="1"/>
  <c r="E131" i="1"/>
  <c r="E130" i="1"/>
  <c r="E125" i="1"/>
  <c r="E122" i="1"/>
  <c r="E135" i="1" l="1"/>
  <c r="R205" i="1"/>
  <c r="E62" i="1"/>
  <c r="E175" i="1"/>
  <c r="D226" i="1"/>
  <c r="E101" i="1"/>
  <c r="E23" i="1"/>
  <c r="E204" i="1"/>
  <c r="E143" i="1"/>
  <c r="E181" i="1"/>
</calcChain>
</file>

<file path=xl/sharedStrings.xml><?xml version="1.0" encoding="utf-8"?>
<sst xmlns="http://schemas.openxmlformats.org/spreadsheetml/2006/main" count="470" uniqueCount="297">
  <si>
    <t>% Change (Current from Previous)</t>
  </si>
  <si>
    <t>Difference</t>
  </si>
  <si>
    <t>S/N</t>
  </si>
  <si>
    <t>FUND</t>
  </si>
  <si>
    <t>FUND MANAGER</t>
  </si>
  <si>
    <t>NAV (N)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</si>
  <si>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</si>
  <si>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</si>
  <si>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</si>
  <si>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</si>
  <si>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</si>
  <si>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</si>
  <si>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</si>
  <si>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</si>
  <si>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</si>
  <si>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</si>
  <si>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</si>
  <si>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</si>
  <si>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</si>
  <si>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</si>
  <si>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</si>
  <si>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</si>
  <si>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</si>
  <si>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</si>
  <si>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</si>
  <si>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</si>
  <si>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</si>
  <si>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</si>
  <si>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</si>
  <si>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</si>
  <si>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</si>
  <si>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</si>
  <si>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</si>
  <si>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</si>
  <si>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</si>
  <si>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</si>
  <si>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</si>
  <si>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</si>
  <si>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</si>
  <si>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</si>
  <si>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</si>
  <si>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</si>
  <si>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</si>
  <si>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</si>
  <si>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</si>
  <si>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</si>
  <si>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</si>
  <si>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</si>
  <si>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</si>
  <si>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</si>
  <si>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</si>
  <si>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</si>
  <si>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</si>
  <si>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</si>
  <si>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</si>
  <si>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</si>
  <si>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</si>
  <si>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</si>
  <si>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</si>
  <si>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</si>
  <si>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</si>
  <si>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</si>
  <si>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</si>
  <si>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</si>
  <si>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</si>
  <si>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</si>
  <si>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</si>
  <si>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</si>
  <si>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</si>
  <si>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</si>
  <si>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</si>
  <si>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</si>
  <si>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</si>
  <si>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</si>
  <si>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</si>
  <si>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</si>
  <si>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</si>
  <si>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</si>
  <si>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</si>
  <si>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</si>
  <si>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</si>
  <si>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</si>
  <si>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</si>
  <si>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</si>
  <si>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</si>
  <si>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</si>
  <si>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</si>
  <si>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</si>
  <si>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</si>
  <si>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</si>
  <si>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</si>
  <si>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</si>
  <si>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</si>
  <si>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</si>
  <si>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</si>
  <si>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</si>
  <si>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</si>
  <si>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</si>
  <si>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</si>
  <si>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</si>
  <si>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</si>
  <si>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</si>
  <si>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</si>
  <si>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</si>
  <si>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</si>
  <si>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</si>
  <si>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</si>
  <si>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</si>
  <si>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</si>
  <si>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</si>
  <si>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</si>
  <si>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</si>
  <si>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</si>
  <si>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</si>
  <si>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</si>
  <si>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</si>
  <si>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</si>
  <si>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</si>
  <si>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</si>
  <si>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</si>
  <si>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</si>
  <si>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</si>
  <si>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</si>
  <si>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</si>
  <si>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</si>
  <si>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</si>
  <si>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</si>
  <si>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</si>
  <si>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</si>
  <si>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</si>
  <si>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</si>
  <si>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</si>
  <si>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</si>
  <si>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</si>
  <si>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</si>
  <si>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</si>
  <si>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</si>
  <si>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</si>
  <si>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</si>
  <si>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</si>
  <si>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</si>
  <si>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</si>
  <si>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</si>
  <si>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</si>
  <si>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</si>
  <si>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</si>
  <si>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</si>
  <si>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</si>
  <si>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</si>
  <si>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</si>
  <si>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</si>
  <si>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</si>
  <si>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</si>
  <si>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</si>
  <si>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</si>
  <si>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</si>
  <si>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</si>
  <si>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</si>
  <si>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</si>
  <si>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</si>
  <si>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</si>
  <si>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</si>
  <si>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</si>
  <si>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</si>
  <si>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</si>
  <si>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</si>
  <si>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</si>
  <si>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</si>
  <si>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</si>
  <si>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</si>
  <si>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</si>
  <si>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</si>
  <si>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</si>
  <si>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</si>
  <si>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</si>
  <si>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</si>
  <si>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</si>
  <si>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</si>
  <si>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</si>
  <si>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</si>
  <si>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</si>
  <si>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</si>
  <si>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</si>
  <si>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</si>
  <si>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</si>
  <si>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</si>
  <si>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</si>
  <si>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</si>
  <si>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</si>
  <si>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</si>
  <si>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</si>
  <si>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</si>
  <si>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</si>
  <si>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</si>
  <si>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</si>
  <si>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</si>
  <si>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</si>
  <si>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</si>
  <si>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</si>
  <si>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</si>
  <si>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</si>
  <si>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</si>
  <si>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</si>
  <si>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</si>
  <si>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</si>
  <si>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</si>
  <si>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</si>
  <si>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</si>
  <si>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</si>
  <si>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</si>
  <si>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</si>
  <si>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</si>
  <si>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</si>
  <si>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</si>
  <si>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</si>
  <si>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</si>
  <si>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</si>
  <si>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</si>
  <si>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</si>
  <si>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</si>
  <si>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</si>
  <si>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</si>
  <si>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</si>
  <si>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</si>
  <si>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</si>
  <si>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</si>
  <si>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</si>
  <si>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</si>
  <si>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</si>
  <si>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</si>
  <si>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</si>
  <si>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</si>
  <si>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</si>
  <si>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</si>
  <si>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</si>
  <si>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</si>
  <si>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</si>
  <si>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</si>
  <si>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</si>
  <si>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</si>
  <si>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</si>
  <si>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</si>
  <si>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</si>
  <si>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</si>
  <si>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</si>
  <si>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</si>
  <si>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</si>
  <si>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</si>
  <si>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</si>
  <si>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</si>
  <si>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</si>
  <si>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</si>
  <si>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</si>
  <si>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</si>
  <si>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</si>
  <si>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</si>
  <si>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</si>
  <si>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Zedcrest Money Market Fund</t>
  </si>
  <si>
    <t>Zedcrest Investment Managers Limited</t>
  </si>
  <si>
    <t>Zedcrest Fixed Income Fund</t>
  </si>
  <si>
    <t>Zedcrest Dollar Fund</t>
  </si>
  <si>
    <t>EXCHANGE TRADED FUNDS (ETFs)</t>
  </si>
  <si>
    <t>ETFs AGGREGATE</t>
  </si>
  <si>
    <t>CardinalStone Equity Fund</t>
  </si>
  <si>
    <t>CardinalStone Dollar Fund</t>
  </si>
  <si>
    <t>AIICO Eurobond Fund</t>
  </si>
  <si>
    <t>Comercio Partners Asset Management Limited</t>
  </si>
  <si>
    <t>Comercio Partners Money Market Fund</t>
  </si>
  <si>
    <t>Comercio Partners Fixed Income Fund</t>
  </si>
  <si>
    <t>Comercio Partners Dollar Fund</t>
  </si>
  <si>
    <t>STL Asset Management Limited</t>
  </si>
  <si>
    <t>STL Money Market Fund</t>
  </si>
  <si>
    <t>STL Balanced Fund</t>
  </si>
  <si>
    <t>RT Briscoe Savings &amp; Investment Fund</t>
  </si>
  <si>
    <t>GTI Balanced Fund</t>
  </si>
  <si>
    <t>Guaranty Dollar Fund</t>
  </si>
  <si>
    <t>RMB Nigeria Asset Management Ltd.</t>
  </si>
  <si>
    <t>RMBN Money Market Fund</t>
  </si>
  <si>
    <t>RMBN Dollar Fixed Income Fund</t>
  </si>
  <si>
    <t>Emerging Africa Halal Fund</t>
  </si>
  <si>
    <t>United Capital Nigerian Eurobond Fund</t>
  </si>
  <si>
    <t>dayo</t>
  </si>
  <si>
    <t>BALANCED</t>
  </si>
  <si>
    <t>Lotus Waqf (Endowment) Fund</t>
  </si>
  <si>
    <t>GTI  Money Market Fund</t>
  </si>
  <si>
    <t>United Capital Stable Income Fund</t>
  </si>
  <si>
    <t>Hillcrest Balanced Fund</t>
  </si>
  <si>
    <t>Hillcrest Capital Management Limited</t>
  </si>
  <si>
    <t>% to Total</t>
  </si>
  <si>
    <t>NAV, Unit Price and Yield as at Week Ended September 20, 2024</t>
  </si>
  <si>
    <t>Week Ended September 20, 2024</t>
  </si>
  <si>
    <t>WEEKLY VALUATION REPORT OF COLLECTIVE INVESTMENT SCHEMES AS AT WEEK ENDED FRIDAY, SEPTEMBER 27, 2024</t>
  </si>
  <si>
    <t>NAV, Unit Price and Yield as at Week Ended September 27,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</si>
  <si>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27th September, 2024 = N1,586.263</t>
    </r>
  </si>
  <si>
    <t>7..09%</t>
  </si>
  <si>
    <t>Week Ended September 27, 2024</t>
  </si>
  <si>
    <t>The chart above shows that the Dollar Fund category (Eurobonds and Fixed Income) has the highest share of the Aggregate Net Asset Value (NAV) at 47.67%, followed by Money Market Fund with 39.56%, Bond/Fixed Income Fund at 6.11%, Real Estate Investment Trust at 2.77%.  Next is Shari'ah Compliant Fund at 1.47%, Balanced Fund at 1.45%, Equity Fund at 0.82% and Ethical Fund at 0.15%.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</si>
</sst>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b/>
      <sz val="11"/>
      <color theme="1"/>
      <name val="Aptos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7" borderId="13" applyNumberFormat="0" applyAlignment="0" applyProtection="0"/>
    <xf numFmtId="0" fontId="36" fillId="18" borderId="14" applyNumberFormat="0" applyAlignment="0" applyProtection="0"/>
    <xf numFmtId="0" fontId="37" fillId="18" borderId="13" applyNumberFormat="0" applyAlignment="0" applyProtection="0"/>
    <xf numFmtId="0" fontId="38" fillId="0" borderId="15" applyNumberFormat="0" applyFill="0" applyAlignment="0" applyProtection="0"/>
    <xf numFmtId="0" fontId="39" fillId="19" borderId="16" applyNumberFormat="0" applyAlignment="0" applyProtection="0"/>
    <xf numFmtId="0" fontId="40" fillId="0" borderId="0" applyNumberFormat="0" applyFill="0" applyBorder="0" applyAlignment="0" applyProtection="0"/>
    <xf numFmtId="0" fontId="1" fillId="20" borderId="17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4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188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4" fontId="0" fillId="0" borderId="0" xfId="0" applyNumberFormat="1"/>
    <xf numFmtId="0" fontId="45" fillId="0" borderId="0" xfId="0" applyFont="1" applyAlignment="1">
      <alignment horizontal="right"/>
    </xf>
    <xf numFmtId="166" fontId="0" fillId="0" borderId="0" xfId="0" applyNumberFormat="1"/>
    <xf numFmtId="4" fontId="46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7" fillId="3" borderId="5" xfId="0" applyFont="1" applyFill="1" applyBorder="1" applyAlignment="1">
      <alignment horizontal="center" wrapText="1"/>
    </xf>
    <xf numFmtId="0" fontId="45" fillId="0" borderId="5" xfId="0" applyFont="1" applyBorder="1" applyAlignment="1">
      <alignment horizontal="right"/>
    </xf>
    <xf numFmtId="164" fontId="21" fillId="0" borderId="0" xfId="1" applyFont="1"/>
    <xf numFmtId="164" fontId="12" fillId="0" borderId="0" xfId="1" applyFont="1"/>
    <xf numFmtId="4" fontId="12" fillId="3" borderId="5" xfId="0" applyNumberFormat="1" applyFont="1" applyFill="1" applyBorder="1"/>
    <xf numFmtId="4" fontId="12" fillId="3" borderId="5" xfId="0" applyNumberFormat="1" applyFont="1" applyFill="1" applyBorder="1" applyAlignment="1">
      <alignment horizontal="right"/>
    </xf>
    <xf numFmtId="0" fontId="42" fillId="0" borderId="0" xfId="0" applyFont="1"/>
    <xf numFmtId="0" fontId="47" fillId="3" borderId="0" xfId="0" applyFont="1" applyFill="1" applyAlignment="1">
      <alignment wrapText="1"/>
    </xf>
    <xf numFmtId="43" fontId="42" fillId="0" borderId="0" xfId="7" applyFont="1" applyBorder="1"/>
    <xf numFmtId="2" fontId="42" fillId="0" borderId="0" xfId="0" applyNumberFormat="1" applyFont="1"/>
    <xf numFmtId="10" fontId="42" fillId="0" borderId="0" xfId="2" applyNumberFormat="1" applyFont="1" applyBorder="1"/>
    <xf numFmtId="10" fontId="48" fillId="0" borderId="0" xfId="2" applyNumberFormat="1" applyFont="1" applyBorder="1"/>
    <xf numFmtId="0" fontId="6" fillId="7" borderId="19" xfId="0" applyFont="1" applyFill="1" applyBorder="1" applyAlignment="1">
      <alignment horizontal="right"/>
    </xf>
    <xf numFmtId="0" fontId="3" fillId="7" borderId="19" xfId="0" applyFont="1" applyFill="1" applyBorder="1" applyAlignment="1">
      <alignment horizontal="right"/>
    </xf>
    <xf numFmtId="0" fontId="4" fillId="3" borderId="5" xfId="0" applyFont="1" applyFill="1" applyBorder="1"/>
    <xf numFmtId="0" fontId="47" fillId="3" borderId="5" xfId="0" applyFont="1" applyFill="1" applyBorder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39" fillId="0" borderId="0" xfId="0" applyFont="1"/>
    <xf numFmtId="16" fontId="49" fillId="3" borderId="0" xfId="0" applyNumberFormat="1" applyFont="1" applyFill="1"/>
    <xf numFmtId="164" fontId="50" fillId="0" borderId="0" xfId="1" applyFont="1"/>
    <xf numFmtId="43" fontId="50" fillId="0" borderId="0" xfId="0" applyNumberFormat="1" applyFont="1"/>
    <xf numFmtId="4" fontId="50" fillId="0" borderId="0" xfId="0" applyNumberFormat="1" applyFont="1"/>
    <xf numFmtId="164" fontId="12" fillId="3" borderId="0" xfId="1" applyFont="1" applyFill="1" applyBorder="1" applyAlignment="1">
      <alignment horizontal="right" vertical="top" wrapText="1"/>
    </xf>
    <xf numFmtId="0" fontId="6" fillId="3" borderId="5" xfId="0" applyFont="1" applyFill="1" applyBorder="1" applyAlignment="1">
      <alignment horizontal="center" wrapText="1"/>
    </xf>
    <xf numFmtId="0" fontId="18" fillId="0" borderId="0" xfId="0" applyFont="1" applyBorder="1"/>
    <xf numFmtId="0" fontId="51" fillId="0" borderId="0" xfId="0" applyFont="1" applyBorder="1" applyAlignment="1">
      <alignment horizontal="right"/>
    </xf>
    <xf numFmtId="4" fontId="53" fillId="3" borderId="0" xfId="0" applyNumberFormat="1" applyFont="1" applyFill="1" applyBorder="1"/>
    <xf numFmtId="0" fontId="52" fillId="0" borderId="0" xfId="0" applyFont="1" applyBorder="1" applyAlignment="1">
      <alignment horizontal="right"/>
    </xf>
    <xf numFmtId="4" fontId="53" fillId="3" borderId="0" xfId="0" applyNumberFormat="1" applyFont="1" applyFill="1" applyBorder="1" applyAlignment="1">
      <alignment horizontal="right"/>
    </xf>
    <xf numFmtId="164" fontId="53" fillId="3" borderId="0" xfId="1" applyFont="1" applyFill="1" applyBorder="1" applyAlignment="1">
      <alignment horizontal="right" vertical="top" wrapText="1"/>
    </xf>
    <xf numFmtId="0" fontId="54" fillId="0" borderId="0" xfId="0" applyFont="1" applyBorder="1" applyAlignment="1">
      <alignment horizontal="right" wrapText="1"/>
    </xf>
    <xf numFmtId="164" fontId="55" fillId="0" borderId="0" xfId="1" applyFont="1" applyBorder="1"/>
    <xf numFmtId="4" fontId="55" fillId="3" borderId="0" xfId="0" applyNumberFormat="1" applyFont="1" applyFill="1" applyBorder="1"/>
    <xf numFmtId="0" fontId="54" fillId="0" borderId="0" xfId="0" applyFont="1" applyBorder="1" applyAlignment="1">
      <alignment horizontal="right"/>
    </xf>
    <xf numFmtId="4" fontId="55" fillId="3" borderId="0" xfId="0" applyNumberFormat="1" applyFont="1" applyFill="1" applyBorder="1" applyAlignment="1">
      <alignment horizontal="right"/>
    </xf>
    <xf numFmtId="164" fontId="55" fillId="3" borderId="0" xfId="1" applyFont="1" applyFill="1" applyBorder="1" applyAlignment="1">
      <alignment horizontal="right" vertical="top" wrapText="1"/>
    </xf>
    <xf numFmtId="16" fontId="52" fillId="3" borderId="0" xfId="0" applyNumberFormat="1" applyFont="1" applyFill="1" applyBorder="1"/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9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3" fillId="11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23" fillId="13" borderId="0" xfId="0" applyFont="1" applyFill="1" applyAlignment="1">
      <alignment horizontal="center" wrapText="1"/>
    </xf>
    <xf numFmtId="4" fontId="6" fillId="0" borderId="5" xfId="0" applyNumberFormat="1" applyFont="1" applyBorder="1" applyAlignment="1">
      <alignment wrapText="1"/>
    </xf>
    <xf numFmtId="0" fontId="45" fillId="0" borderId="0" xfId="0" applyFont="1" applyBorder="1" applyAlignment="1">
      <alignment horizontal="right"/>
    </xf>
    <xf numFmtId="0" fontId="56" fillId="0" borderId="0" xfId="0" applyFont="1" applyBorder="1" applyAlignment="1">
      <alignment horizontal="right"/>
    </xf>
    <xf numFmtId="16" fontId="56" fillId="3" borderId="0" xfId="0" applyNumberFormat="1" applyFont="1" applyFill="1" applyBorder="1" applyAlignment="1">
      <alignment horizontal="center" wrapText="1"/>
    </xf>
    <xf numFmtId="0" fontId="57" fillId="0" borderId="0" xfId="0" applyFont="1" applyBorder="1"/>
    <xf numFmtId="0" fontId="56" fillId="0" borderId="0" xfId="0" applyFont="1" applyBorder="1" applyAlignment="1">
      <alignment horizontal="right" wrapText="1"/>
    </xf>
    <xf numFmtId="4" fontId="58" fillId="3" borderId="0" xfId="0" applyNumberFormat="1" applyFont="1" applyFill="1" applyBorder="1"/>
    <xf numFmtId="4" fontId="58" fillId="3" borderId="0" xfId="0" applyNumberFormat="1" applyFont="1" applyFill="1" applyBorder="1" applyAlignment="1">
      <alignment horizontal="right"/>
    </xf>
    <xf numFmtId="164" fontId="58" fillId="3" borderId="0" xfId="1" applyFont="1" applyFill="1" applyBorder="1" applyAlignment="1">
      <alignment horizontal="right" vertical="top" wrapText="1"/>
    </xf>
    <xf numFmtId="164" fontId="21" fillId="0" borderId="0" xfId="1" applyFont="1" applyBorder="1"/>
  </cellXfs>
  <cellStyles count="61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/>
    <cellStyle name="60% - Accent2 2" xfId="49"/>
    <cellStyle name="60% - Accent3 2" xfId="50"/>
    <cellStyle name="60% - Accent4 2" xfId="51"/>
    <cellStyle name="60% - Accent5 2" xfId="52"/>
    <cellStyle name="60% - Accent6 2" xfId="53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" xfId="60"/>
    <cellStyle name="Comma 10 13" xfId="3"/>
    <cellStyle name="Comma 2" xfId="7"/>
    <cellStyle name="Comma 2 2" xfId="43"/>
    <cellStyle name="Comma 3" xfId="54"/>
    <cellStyle name="Comma 3 2" xfId="4"/>
    <cellStyle name="Comma 3 2 2" xfId="44"/>
    <cellStyle name="Comma 4" xfId="9"/>
    <cellStyle name="Comma 5" xfId="55"/>
    <cellStyle name="Comma 6" xfId="57"/>
    <cellStyle name="Comma 8" xfId="59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/>
    <cellStyle name="Normal" xfId="0" builtinId="0"/>
    <cellStyle name="Normal 2" xfId="8"/>
    <cellStyle name="Normal 2 2" xfId="45"/>
    <cellStyle name="Normal 27 2" xfId="6"/>
    <cellStyle name="Note" xfId="22" builtinId="10" customBuiltin="1"/>
    <cellStyle name="Output" xfId="17" builtinId="21" customBuiltin="1"/>
    <cellStyle name="Percent" xfId="2" builtinId="5"/>
    <cellStyle name="Percent 2 2" xfId="5"/>
    <cellStyle name="Percent 5" xfId="56"/>
    <cellStyle name="Percent 6" xfId="58"/>
    <cellStyle name="Title 2" xfId="46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September 20,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28.146858775669202</c:v>
                </c:pt>
                <c:pt idx="1">
                  <c:v>1367.4830099164885</c:v>
                </c:pt>
                <c:pt idx="2">
                  <c:v>215.54277371089728</c:v>
                </c:pt>
                <c:pt idx="3">
                  <c:v>1643.5874943518052</c:v>
                </c:pt>
                <c:pt idx="4">
                  <c:v>97.288036533859156</c:v>
                </c:pt>
                <c:pt idx="5" formatCode="_-* #,##0.00_-;\-* #,##0.00_-;_-* &quot;-&quot;??_-;_-@_-">
                  <c:v>51.10812879319549</c:v>
                </c:pt>
                <c:pt idx="6">
                  <c:v>5.36665439161</c:v>
                </c:pt>
                <c:pt idx="7">
                  <c:v>51.462714778755114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September 27,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28.730451829155498</c:v>
                </c:pt>
                <c:pt idx="1">
                  <c:v>1391.8427059920152</c:v>
                </c:pt>
                <c:pt idx="2">
                  <c:v>215.01607890225301</c:v>
                </c:pt>
                <c:pt idx="3">
                  <c:v>1677.1837162520171</c:v>
                </c:pt>
                <c:pt idx="4">
                  <c:v>97.41650449563835</c:v>
                </c:pt>
                <c:pt idx="5" formatCode="_-* #,##0.00_-;\-* #,##0.00_-;_-* &quot;-&quot;??_-;_-@_-">
                  <c:v>51.16209507151288</c:v>
                </c:pt>
                <c:pt idx="6">
                  <c:v>5.37254770926</c:v>
                </c:pt>
                <c:pt idx="7">
                  <c:v>51.613303503931355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27TH SEPTEMBER,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6"/>
          <c:y val="3.1719518867076704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52536576715378"/>
          <c:y val="0.14742728847951844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27-Sep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2.6526971099187786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1.8232066883237173E-2"/>
                  <c:y val="3.1761457967088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5372547709.2600002</c:v>
                </c:pt>
                <c:pt idx="1">
                  <c:v>28730451829.155499</c:v>
                </c:pt>
                <c:pt idx="2" formatCode="_-* #,##0.00_-;\-* #,##0.00_-;_-* &quot;-&quot;??_-;_-@_-">
                  <c:v>51162095071.512878</c:v>
                </c:pt>
                <c:pt idx="3">
                  <c:v>51613303503.931358</c:v>
                </c:pt>
                <c:pt idx="4">
                  <c:v>97416504495.638351</c:v>
                </c:pt>
                <c:pt idx="5">
                  <c:v>215016078902.25302</c:v>
                </c:pt>
                <c:pt idx="6">
                  <c:v>1391842705992.0151</c:v>
                </c:pt>
                <c:pt idx="7">
                  <c:v>1677183716252.0171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45513</c:v>
                </c:pt>
                <c:pt idx="1">
                  <c:v>45520</c:v>
                </c:pt>
                <c:pt idx="2">
                  <c:v>45527</c:v>
                </c:pt>
                <c:pt idx="3">
                  <c:v>45534</c:v>
                </c:pt>
                <c:pt idx="4">
                  <c:v>45541</c:v>
                </c:pt>
                <c:pt idx="5">
                  <c:v>45548</c:v>
                </c:pt>
                <c:pt idx="6">
                  <c:v>45555</c:v>
                </c:pt>
                <c:pt idx="7">
                  <c:v>45562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3244.6913921078954</c:v>
                </c:pt>
                <c:pt idx="1">
                  <c:v>3279.8332952209639</c:v>
                </c:pt>
                <c:pt idx="2">
                  <c:v>3320.1554533474555</c:v>
                </c:pt>
                <c:pt idx="3">
                  <c:v>3346.0742802577015</c:v>
                </c:pt>
                <c:pt idx="4">
                  <c:v>3400.7528613225991</c:v>
                </c:pt>
                <c:pt idx="5">
                  <c:v>3452.8102334622345</c:v>
                </c:pt>
                <c:pt idx="6">
                  <c:v>3459.9856712522796</c:v>
                </c:pt>
                <c:pt idx="7">
                  <c:v>3518.3374037557824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45513</c:v>
                </c:pt>
                <c:pt idx="1">
                  <c:v>45520</c:v>
                </c:pt>
                <c:pt idx="2">
                  <c:v>45527</c:v>
                </c:pt>
                <c:pt idx="3">
                  <c:v>45534</c:v>
                </c:pt>
                <c:pt idx="4">
                  <c:v>45541</c:v>
                </c:pt>
                <c:pt idx="5">
                  <c:v>45548</c:v>
                </c:pt>
                <c:pt idx="6">
                  <c:v>45555</c:v>
                </c:pt>
                <c:pt idx="7">
                  <c:v>45562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12.203531382445654</c:v>
                </c:pt>
                <c:pt idx="1">
                  <c:v>12.119077784973646</c:v>
                </c:pt>
                <c:pt idx="2">
                  <c:v>12.021932386157646</c:v>
                </c:pt>
                <c:pt idx="3">
                  <c:v>12.190662825377647</c:v>
                </c:pt>
                <c:pt idx="4">
                  <c:v>12.168273401887646</c:v>
                </c:pt>
                <c:pt idx="5">
                  <c:v>12.348780151517646</c:v>
                </c:pt>
                <c:pt idx="6">
                  <c:v>12.596631014149999</c:v>
                </c:pt>
                <c:pt idx="7">
                  <c:v>12.728824087970001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B11-8A27-E544860A68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472440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18</xdr:row>
      <xdr:rowOff>181841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845486-119B-33F4-4827-DA39EBDC8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33"/>
  <sheetViews>
    <sheetView tabSelected="1" zoomScaleNormal="100" workbookViewId="0">
      <pane ySplit="3" topLeftCell="A4" activePane="bottomLeft" state="frozen"/>
      <selection activeCell="H6" sqref="H6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62" t="s">
        <v>291</v>
      </c>
      <c r="B1" s="163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5"/>
    </row>
    <row r="2" spans="1:25" ht="15" customHeight="1">
      <c r="A2" s="1"/>
      <c r="B2" s="1"/>
      <c r="C2" s="1"/>
      <c r="D2" s="169" t="s">
        <v>289</v>
      </c>
      <c r="E2" s="170"/>
      <c r="F2" s="170"/>
      <c r="G2" s="170"/>
      <c r="H2" s="170"/>
      <c r="I2" s="170"/>
      <c r="J2" s="171"/>
      <c r="K2" s="169" t="s">
        <v>292</v>
      </c>
      <c r="L2" s="170"/>
      <c r="M2" s="170"/>
      <c r="N2" s="170"/>
      <c r="O2" s="170"/>
      <c r="P2" s="170"/>
      <c r="Q2" s="171"/>
      <c r="R2" s="169" t="s">
        <v>0</v>
      </c>
      <c r="S2" s="170"/>
      <c r="T2" s="171"/>
      <c r="U2" s="166" t="s">
        <v>1</v>
      </c>
      <c r="V2" s="166"/>
    </row>
    <row r="3" spans="1:25" ht="25.5">
      <c r="A3" s="78" t="s">
        <v>2</v>
      </c>
      <c r="B3" s="78" t="s">
        <v>3</v>
      </c>
      <c r="C3" s="72" t="s">
        <v>4</v>
      </c>
      <c r="D3" s="73" t="s">
        <v>5</v>
      </c>
      <c r="E3" s="74" t="s">
        <v>288</v>
      </c>
      <c r="F3" s="74" t="s">
        <v>6</v>
      </c>
      <c r="G3" s="74" t="s">
        <v>7</v>
      </c>
      <c r="H3" s="74" t="s">
        <v>226</v>
      </c>
      <c r="I3" s="74" t="s">
        <v>8</v>
      </c>
      <c r="J3" s="74" t="s">
        <v>9</v>
      </c>
      <c r="K3" s="75" t="s">
        <v>5</v>
      </c>
      <c r="L3" s="74" t="s">
        <v>288</v>
      </c>
      <c r="M3" s="74" t="s">
        <v>6</v>
      </c>
      <c r="N3" s="74" t="s">
        <v>7</v>
      </c>
      <c r="O3" s="74" t="s">
        <v>226</v>
      </c>
      <c r="P3" s="74" t="s">
        <v>8</v>
      </c>
      <c r="Q3" s="74" t="s">
        <v>9</v>
      </c>
      <c r="R3" s="73" t="s">
        <v>10</v>
      </c>
      <c r="S3" s="74" t="s">
        <v>11</v>
      </c>
      <c r="T3" s="74" t="s">
        <v>232</v>
      </c>
      <c r="U3" s="74" t="s">
        <v>12</v>
      </c>
      <c r="V3" s="74" t="s">
        <v>13</v>
      </c>
    </row>
    <row r="4" spans="1:25" ht="7.5" customHeight="1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</row>
    <row r="5" spans="1:25" ht="15" customHeight="1">
      <c r="A5" s="168" t="s">
        <v>14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</row>
    <row r="6" spans="1:25">
      <c r="A6" s="155">
        <v>1</v>
      </c>
      <c r="B6" s="131" t="s">
        <v>15</v>
      </c>
      <c r="C6" s="132" t="s">
        <v>16</v>
      </c>
      <c r="D6" s="2">
        <v>1075472915.1500001</v>
      </c>
      <c r="E6" s="3">
        <f t="shared" ref="E6:E22" si="0">(D6/$D$23)</f>
        <v>3.8209340648685954E-2</v>
      </c>
      <c r="F6" s="8">
        <v>344.72890000000001</v>
      </c>
      <c r="G6" s="8">
        <v>344.72890000000001</v>
      </c>
      <c r="H6" s="58">
        <v>1743</v>
      </c>
      <c r="I6" s="5">
        <v>3.4500000000000003E-2</v>
      </c>
      <c r="J6" s="5">
        <v>0.14829999999999999</v>
      </c>
      <c r="K6" s="2">
        <v>1090996269.6400001</v>
      </c>
      <c r="L6" s="3">
        <f>(K6/$K$23)</f>
        <v>3.7973515910141843E-2</v>
      </c>
      <c r="M6" s="8">
        <v>349.0582</v>
      </c>
      <c r="N6" s="8">
        <v>349.0582</v>
      </c>
      <c r="O6" s="58">
        <v>1812</v>
      </c>
      <c r="P6" s="5">
        <v>4.7399999999999998E-2</v>
      </c>
      <c r="Q6" s="5">
        <v>0.1623</v>
      </c>
      <c r="R6" s="76">
        <f>((K6-D6)/D6)</f>
        <v>1.4433979946240591E-2</v>
      </c>
      <c r="S6" s="76">
        <f>((N6-G6)/G6)</f>
        <v>1.2558564135469899E-2</v>
      </c>
      <c r="T6" s="76">
        <f>((O6-H6)/H6)</f>
        <v>3.9586919104991396E-2</v>
      </c>
      <c r="U6" s="77">
        <f>P6-I6</f>
        <v>1.2899999999999995E-2</v>
      </c>
      <c r="V6" s="79">
        <f>Q6-J6</f>
        <v>1.4000000000000012E-2</v>
      </c>
    </row>
    <row r="7" spans="1:25">
      <c r="A7" s="156">
        <v>2</v>
      </c>
      <c r="B7" s="131" t="s">
        <v>17</v>
      </c>
      <c r="C7" s="132" t="s">
        <v>18</v>
      </c>
      <c r="D7" s="4">
        <v>598450839.88</v>
      </c>
      <c r="E7" s="3">
        <f t="shared" si="0"/>
        <v>2.1261727450642372E-2</v>
      </c>
      <c r="F7" s="4">
        <v>223.8631</v>
      </c>
      <c r="G7" s="4">
        <v>226.42850000000001</v>
      </c>
      <c r="H7" s="58">
        <v>451</v>
      </c>
      <c r="I7" s="5">
        <v>3.5460000000000001E-3</v>
      </c>
      <c r="J7" s="5">
        <v>0.15720000000000001</v>
      </c>
      <c r="K7" s="4">
        <v>610725368.03999996</v>
      </c>
      <c r="L7" s="3">
        <f t="shared" ref="L7:L22" si="1">(K7/$K$23)</f>
        <v>2.1257074955578641E-2</v>
      </c>
      <c r="M7" s="4">
        <v>227.20359999999999</v>
      </c>
      <c r="N7" s="4">
        <v>229.81960000000001</v>
      </c>
      <c r="O7" s="58">
        <v>451</v>
      </c>
      <c r="P7" s="5">
        <v>5.8399999999999999E-4</v>
      </c>
      <c r="Q7" s="5">
        <v>0.17449999999999999</v>
      </c>
      <c r="R7" s="76">
        <f t="shared" ref="R7:R23" si="2">((K7-D7)/D7)</f>
        <v>2.0510503690597589E-2</v>
      </c>
      <c r="S7" s="76">
        <f t="shared" ref="S7:S23" si="3">((N7-G7)/G7)</f>
        <v>1.4976471601410574E-2</v>
      </c>
      <c r="T7" s="76">
        <f t="shared" ref="T7:T23" si="4">((O7-H7)/H7)</f>
        <v>0</v>
      </c>
      <c r="U7" s="77">
        <f t="shared" ref="U7:U23" si="5">P7-I7</f>
        <v>-2.9620000000000002E-3</v>
      </c>
      <c r="V7" s="79">
        <f t="shared" ref="V7:V23" si="6">Q7-J7</f>
        <v>1.7299999999999982E-2</v>
      </c>
    </row>
    <row r="8" spans="1:25">
      <c r="A8" s="159">
        <v>3</v>
      </c>
      <c r="B8" s="131" t="s">
        <v>19</v>
      </c>
      <c r="C8" s="132" t="s">
        <v>20</v>
      </c>
      <c r="D8" s="4">
        <v>3691169515.6500001</v>
      </c>
      <c r="E8" s="3">
        <f t="shared" si="0"/>
        <v>0.13113966091451501</v>
      </c>
      <c r="F8" s="4">
        <v>33.368099999999998</v>
      </c>
      <c r="G8" s="4">
        <v>34.374200000000002</v>
      </c>
      <c r="H8" s="60">
        <v>6590</v>
      </c>
      <c r="I8" s="6">
        <v>0.53120000000000001</v>
      </c>
      <c r="J8" s="6">
        <v>0.13139999999999999</v>
      </c>
      <c r="K8" s="4">
        <v>3723961105.1799998</v>
      </c>
      <c r="L8" s="3">
        <f t="shared" si="1"/>
        <v>0.1296172133777912</v>
      </c>
      <c r="M8" s="4">
        <v>33.661999999999999</v>
      </c>
      <c r="N8" s="4">
        <v>34.677</v>
      </c>
      <c r="O8" s="60">
        <v>6597</v>
      </c>
      <c r="P8" s="6">
        <v>0.50039999999999996</v>
      </c>
      <c r="Q8" s="6">
        <v>0.1376</v>
      </c>
      <c r="R8" s="76">
        <f t="shared" si="2"/>
        <v>8.8837939820884289E-3</v>
      </c>
      <c r="S8" s="76">
        <f t="shared" si="3"/>
        <v>8.8089322806057368E-3</v>
      </c>
      <c r="T8" s="76">
        <f t="shared" si="4"/>
        <v>1.0622154779969652E-3</v>
      </c>
      <c r="U8" s="77">
        <f t="shared" si="5"/>
        <v>-3.080000000000005E-2</v>
      </c>
      <c r="V8" s="79">
        <f t="shared" si="6"/>
        <v>6.2000000000000111E-3</v>
      </c>
      <c r="X8" s="98"/>
      <c r="Y8" s="98"/>
    </row>
    <row r="9" spans="1:25">
      <c r="A9" s="154">
        <v>4</v>
      </c>
      <c r="B9" s="131" t="s">
        <v>21</v>
      </c>
      <c r="C9" s="132" t="s">
        <v>22</v>
      </c>
      <c r="D9" s="4">
        <v>540367012.71000004</v>
      </c>
      <c r="E9" s="3">
        <f t="shared" si="0"/>
        <v>1.9198128537778639E-2</v>
      </c>
      <c r="F9" s="4">
        <v>199.6429</v>
      </c>
      <c r="G9" s="4">
        <v>199.6429</v>
      </c>
      <c r="H9" s="58">
        <v>1778</v>
      </c>
      <c r="I9" s="5">
        <v>-2.5000000000000001E-3</v>
      </c>
      <c r="J9" s="5">
        <v>0.1583</v>
      </c>
      <c r="K9" s="4">
        <v>558550494.72000003</v>
      </c>
      <c r="L9" s="3">
        <f t="shared" si="1"/>
        <v>1.9441061979860206E-2</v>
      </c>
      <c r="M9" s="4">
        <v>205.0806</v>
      </c>
      <c r="N9" s="4">
        <v>205.0806</v>
      </c>
      <c r="O9" s="58">
        <v>1778</v>
      </c>
      <c r="P9" s="5">
        <v>2.7199999999999998E-2</v>
      </c>
      <c r="Q9" s="5">
        <v>0.185</v>
      </c>
      <c r="R9" s="76">
        <f t="shared" si="2"/>
        <v>3.3650244338209741E-2</v>
      </c>
      <c r="S9" s="76">
        <f t="shared" si="3"/>
        <v>2.7237131899005708E-2</v>
      </c>
      <c r="T9" s="76">
        <f t="shared" si="4"/>
        <v>0</v>
      </c>
      <c r="U9" s="77">
        <f t="shared" si="5"/>
        <v>2.9699999999999997E-2</v>
      </c>
      <c r="V9" s="79">
        <f t="shared" si="6"/>
        <v>2.6700000000000002E-2</v>
      </c>
    </row>
    <row r="10" spans="1:25">
      <c r="A10" s="158">
        <v>5</v>
      </c>
      <c r="B10" s="131" t="s">
        <v>263</v>
      </c>
      <c r="C10" s="132" t="s">
        <v>98</v>
      </c>
      <c r="D10" s="4">
        <v>657070940.80999994</v>
      </c>
      <c r="E10" s="3">
        <f t="shared" si="0"/>
        <v>2.3344379067194075E-2</v>
      </c>
      <c r="F10" s="4">
        <v>0.84379999999999999</v>
      </c>
      <c r="G10" s="4">
        <v>0.85099999999999998</v>
      </c>
      <c r="H10" s="58">
        <v>523</v>
      </c>
      <c r="I10" s="5">
        <v>0.1333</v>
      </c>
      <c r="J10" s="5">
        <v>0.1</v>
      </c>
      <c r="K10" s="4">
        <v>894615667.41999996</v>
      </c>
      <c r="L10" s="3">
        <f t="shared" si="1"/>
        <v>3.1138238714093214E-2</v>
      </c>
      <c r="M10" s="4">
        <v>1.0896999999999999</v>
      </c>
      <c r="N10" s="4">
        <v>1.1003000000000001</v>
      </c>
      <c r="O10" s="58">
        <v>516</v>
      </c>
      <c r="P10" s="5">
        <v>0.38450000000000001</v>
      </c>
      <c r="Q10" s="5">
        <v>0.1009</v>
      </c>
      <c r="R10" s="76">
        <f>((K10-D10)/D10)</f>
        <v>0.36152066977299024</v>
      </c>
      <c r="S10" s="76">
        <f>((N10-G10)/G10)</f>
        <v>0.29294947121034087</v>
      </c>
      <c r="T10" s="76">
        <f>((O10-H10)/H10)</f>
        <v>-1.338432122370937E-2</v>
      </c>
      <c r="U10" s="77">
        <f>P10-I10</f>
        <v>0.25119999999999998</v>
      </c>
      <c r="V10" s="79">
        <f>Q10-J10</f>
        <v>8.9999999999999802E-4</v>
      </c>
    </row>
    <row r="11" spans="1:25">
      <c r="A11" s="154">
        <v>6</v>
      </c>
      <c r="B11" s="131" t="s">
        <v>23</v>
      </c>
      <c r="C11" s="132" t="s">
        <v>24</v>
      </c>
      <c r="D11" s="7">
        <v>90291314.060000002</v>
      </c>
      <c r="E11" s="3">
        <f t="shared" si="0"/>
        <v>3.2078646778890265E-3</v>
      </c>
      <c r="F11" s="4">
        <v>159.20070000000001</v>
      </c>
      <c r="G11" s="4">
        <v>160.82040000000001</v>
      </c>
      <c r="H11" s="60">
        <v>96</v>
      </c>
      <c r="I11" s="6">
        <v>2.653E-3</v>
      </c>
      <c r="J11" s="6">
        <v>0.18029999999999999</v>
      </c>
      <c r="K11" s="7">
        <v>91247923.150000006</v>
      </c>
      <c r="L11" s="3">
        <f t="shared" si="1"/>
        <v>3.1760002833440349E-3</v>
      </c>
      <c r="M11" s="4">
        <v>159.22370000000001</v>
      </c>
      <c r="N11" s="4">
        <v>160.8501</v>
      </c>
      <c r="O11" s="60">
        <v>97</v>
      </c>
      <c r="P11" s="6">
        <v>2.6559999999999999E-3</v>
      </c>
      <c r="Q11" s="6">
        <v>0.18049999999999999</v>
      </c>
      <c r="R11" s="76">
        <f t="shared" si="2"/>
        <v>1.0594696732005936E-2</v>
      </c>
      <c r="S11" s="76">
        <f t="shared" si="3"/>
        <v>1.846780632307293E-4</v>
      </c>
      <c r="T11" s="76">
        <f t="shared" si="4"/>
        <v>1.0416666666666666E-2</v>
      </c>
      <c r="U11" s="77">
        <f t="shared" si="5"/>
        <v>2.9999999999999645E-6</v>
      </c>
      <c r="V11" s="79">
        <f t="shared" si="6"/>
        <v>2.0000000000000573E-4</v>
      </c>
    </row>
    <row r="12" spans="1:25">
      <c r="A12" s="155">
        <v>7</v>
      </c>
      <c r="B12" s="131" t="s">
        <v>25</v>
      </c>
      <c r="C12" s="132" t="s">
        <v>26</v>
      </c>
      <c r="D12" s="4">
        <v>1119147561.96</v>
      </c>
      <c r="E12" s="3">
        <f t="shared" si="0"/>
        <v>3.976101102007934E-2</v>
      </c>
      <c r="F12" s="4">
        <v>318.88</v>
      </c>
      <c r="G12" s="4">
        <v>323.39</v>
      </c>
      <c r="H12" s="60">
        <v>1619</v>
      </c>
      <c r="I12" s="6">
        <v>4.3E-3</v>
      </c>
      <c r="J12" s="6">
        <v>0.2823</v>
      </c>
      <c r="K12" s="4">
        <v>1134194163.48</v>
      </c>
      <c r="L12" s="3">
        <f t="shared" si="1"/>
        <v>3.9477073671672171E-2</v>
      </c>
      <c r="M12" s="4">
        <v>321.3</v>
      </c>
      <c r="N12" s="4">
        <v>325.81</v>
      </c>
      <c r="O12" s="60">
        <v>1623</v>
      </c>
      <c r="P12" s="6">
        <v>7.4999999999999997E-3</v>
      </c>
      <c r="Q12" s="6">
        <v>0.29199999999999998</v>
      </c>
      <c r="R12" s="76">
        <f t="shared" si="2"/>
        <v>1.344469847537207E-2</v>
      </c>
      <c r="S12" s="76">
        <f t="shared" si="3"/>
        <v>7.4832245895049814E-3</v>
      </c>
      <c r="T12" s="76">
        <f t="shared" si="4"/>
        <v>2.4706609017912293E-3</v>
      </c>
      <c r="U12" s="77">
        <f t="shared" si="5"/>
        <v>3.1999999999999997E-3</v>
      </c>
      <c r="V12" s="79">
        <f t="shared" si="6"/>
        <v>9.6999999999999864E-3</v>
      </c>
    </row>
    <row r="13" spans="1:25">
      <c r="A13" s="159">
        <v>8</v>
      </c>
      <c r="B13" s="131" t="s">
        <v>27</v>
      </c>
      <c r="C13" s="132" t="s">
        <v>28</v>
      </c>
      <c r="D13" s="2">
        <v>374135622.00999999</v>
      </c>
      <c r="E13" s="3">
        <f t="shared" si="0"/>
        <v>1.3292269129989437E-2</v>
      </c>
      <c r="F13" s="4">
        <v>188.05</v>
      </c>
      <c r="G13" s="4">
        <v>194.35</v>
      </c>
      <c r="H13" s="58">
        <v>2465</v>
      </c>
      <c r="I13" s="5">
        <v>2.5600000000000001E-2</v>
      </c>
      <c r="J13" s="5">
        <v>0.1207</v>
      </c>
      <c r="K13" s="2">
        <v>379047270.56999999</v>
      </c>
      <c r="L13" s="3">
        <f t="shared" si="1"/>
        <v>1.3193223441942009E-2</v>
      </c>
      <c r="M13" s="4">
        <v>190.52</v>
      </c>
      <c r="N13" s="4">
        <v>198.31</v>
      </c>
      <c r="O13" s="58">
        <v>2465</v>
      </c>
      <c r="P13" s="5">
        <v>2.5600000000000001E-2</v>
      </c>
      <c r="Q13" s="5">
        <v>0.1207</v>
      </c>
      <c r="R13" s="76">
        <f t="shared" si="2"/>
        <v>1.3127989614067604E-2</v>
      </c>
      <c r="S13" s="76">
        <f t="shared" si="3"/>
        <v>2.0375611011062559E-2</v>
      </c>
      <c r="T13" s="76">
        <f t="shared" si="4"/>
        <v>0</v>
      </c>
      <c r="U13" s="77">
        <f t="shared" si="5"/>
        <v>0</v>
      </c>
      <c r="V13" s="79">
        <f t="shared" si="6"/>
        <v>0</v>
      </c>
    </row>
    <row r="14" spans="1:25">
      <c r="A14" s="158">
        <v>9</v>
      </c>
      <c r="B14" s="131" t="s">
        <v>29</v>
      </c>
      <c r="C14" s="132" t="s">
        <v>30</v>
      </c>
      <c r="D14" s="7">
        <v>55456155.549199998</v>
      </c>
      <c r="E14" s="3">
        <f t="shared" si="0"/>
        <v>1.9702431447567994E-3</v>
      </c>
      <c r="F14" s="4">
        <v>201.73868880000001</v>
      </c>
      <c r="G14" s="4">
        <v>197.68</v>
      </c>
      <c r="H14" s="58">
        <v>15</v>
      </c>
      <c r="I14" s="5">
        <v>1.3299999999999999E-2</v>
      </c>
      <c r="J14" s="5">
        <v>9.6600000000000005E-2</v>
      </c>
      <c r="K14" s="7">
        <v>55685242.715499997</v>
      </c>
      <c r="L14" s="3">
        <f t="shared" si="1"/>
        <v>1.9381958573652131E-3</v>
      </c>
      <c r="M14" s="4">
        <v>198.49888770000001</v>
      </c>
      <c r="N14" s="4">
        <v>201.73868880000001</v>
      </c>
      <c r="O14" s="58">
        <v>15</v>
      </c>
      <c r="P14" s="5">
        <v>4.1000000000000003E-3</v>
      </c>
      <c r="Q14" s="5">
        <v>0.1011</v>
      </c>
      <c r="R14" s="76">
        <f t="shared" si="2"/>
        <v>4.1309601076972517E-3</v>
      </c>
      <c r="S14" s="76">
        <f t="shared" si="3"/>
        <v>2.0531610683933624E-2</v>
      </c>
      <c r="T14" s="76">
        <f t="shared" si="4"/>
        <v>0</v>
      </c>
      <c r="U14" s="77">
        <f t="shared" si="5"/>
        <v>-9.1999999999999998E-3</v>
      </c>
      <c r="V14" s="79">
        <f t="shared" si="6"/>
        <v>4.4999999999999901E-3</v>
      </c>
    </row>
    <row r="15" spans="1:25" ht="14.25" customHeight="1">
      <c r="A15" s="155">
        <v>10</v>
      </c>
      <c r="B15" s="131" t="s">
        <v>235</v>
      </c>
      <c r="C15" s="132" t="s">
        <v>31</v>
      </c>
      <c r="D15" s="2">
        <v>575944988.99000001</v>
      </c>
      <c r="E15" s="3">
        <f t="shared" si="0"/>
        <v>2.0462140858427166E-2</v>
      </c>
      <c r="F15" s="4">
        <v>1.9571210000000001</v>
      </c>
      <c r="G15" s="4">
        <v>1.979975</v>
      </c>
      <c r="H15" s="58">
        <v>458</v>
      </c>
      <c r="I15" s="5">
        <v>-8.9277078477234539E-3</v>
      </c>
      <c r="J15" s="5">
        <v>0.15484805570307425</v>
      </c>
      <c r="K15" s="2">
        <v>581845923.46000004</v>
      </c>
      <c r="L15" s="3">
        <f t="shared" si="1"/>
        <v>2.0251889072957292E-2</v>
      </c>
      <c r="M15" s="4">
        <v>1.977063</v>
      </c>
      <c r="N15" s="4">
        <v>2.0009749999999999</v>
      </c>
      <c r="O15" s="58">
        <v>458</v>
      </c>
      <c r="P15" s="5">
        <v>1.0189456860357549E-2</v>
      </c>
      <c r="Q15" s="5">
        <v>0.16661533014692864</v>
      </c>
      <c r="R15" s="76">
        <f t="shared" si="2"/>
        <v>1.0245656413033719E-2</v>
      </c>
      <c r="S15" s="76">
        <f t="shared" si="3"/>
        <v>1.0606194522658067E-2</v>
      </c>
      <c r="T15" s="76">
        <f t="shared" si="4"/>
        <v>0</v>
      </c>
      <c r="U15" s="77">
        <f t="shared" si="5"/>
        <v>1.9117164708081003E-2</v>
      </c>
      <c r="V15" s="79">
        <f t="shared" si="6"/>
        <v>1.1767274443854392E-2</v>
      </c>
    </row>
    <row r="16" spans="1:25">
      <c r="A16" s="155">
        <v>11</v>
      </c>
      <c r="B16" s="131" t="s">
        <v>32</v>
      </c>
      <c r="C16" s="132" t="s">
        <v>33</v>
      </c>
      <c r="D16" s="2">
        <v>1632888441.79</v>
      </c>
      <c r="E16" s="3">
        <f t="shared" si="0"/>
        <v>5.8013167821110705E-2</v>
      </c>
      <c r="F16" s="4">
        <v>3.33</v>
      </c>
      <c r="G16" s="4">
        <v>3.39</v>
      </c>
      <c r="H16" s="58">
        <v>3663</v>
      </c>
      <c r="I16" s="5">
        <v>-3.7000000000000002E-3</v>
      </c>
      <c r="J16" s="5">
        <v>0.19980000000000001</v>
      </c>
      <c r="K16" s="2">
        <v>1636773483.1600001</v>
      </c>
      <c r="L16" s="3">
        <f t="shared" si="1"/>
        <v>5.6969987555121275E-2</v>
      </c>
      <c r="M16" s="4">
        <v>3.33</v>
      </c>
      <c r="N16" s="4">
        <v>3.4</v>
      </c>
      <c r="O16" s="58">
        <v>3663</v>
      </c>
      <c r="P16" s="5">
        <v>-7.0000000000000001E-3</v>
      </c>
      <c r="Q16" s="5">
        <v>0.2024</v>
      </c>
      <c r="R16" s="76">
        <f t="shared" si="2"/>
        <v>2.3792448219801688E-3</v>
      </c>
      <c r="S16" s="76">
        <f t="shared" si="3"/>
        <v>2.9498525073745683E-3</v>
      </c>
      <c r="T16" s="76">
        <f t="shared" si="4"/>
        <v>0</v>
      </c>
      <c r="U16" s="77">
        <f t="shared" si="5"/>
        <v>-3.3E-3</v>
      </c>
      <c r="V16" s="79">
        <f t="shared" si="6"/>
        <v>2.5999999999999912E-3</v>
      </c>
    </row>
    <row r="17" spans="1:22">
      <c r="A17" s="155">
        <v>12</v>
      </c>
      <c r="B17" s="131" t="s">
        <v>34</v>
      </c>
      <c r="C17" s="132" t="s">
        <v>35</v>
      </c>
      <c r="D17" s="4">
        <v>601022548.95000005</v>
      </c>
      <c r="E17" s="3">
        <f t="shared" si="0"/>
        <v>2.1353094984422841E-2</v>
      </c>
      <c r="F17" s="4">
        <v>20.71</v>
      </c>
      <c r="G17" s="4">
        <v>20.84</v>
      </c>
      <c r="H17" s="58">
        <v>325</v>
      </c>
      <c r="I17" s="5">
        <v>2.3256865570094432E-2</v>
      </c>
      <c r="J17" s="5">
        <v>0.18222199152349194</v>
      </c>
      <c r="K17" s="4">
        <v>622742746.62</v>
      </c>
      <c r="L17" s="3">
        <f t="shared" si="1"/>
        <v>2.1675355136184953E-2</v>
      </c>
      <c r="M17" s="4">
        <v>21.123813999999999</v>
      </c>
      <c r="N17" s="4">
        <v>21.261552999999999</v>
      </c>
      <c r="O17" s="58">
        <v>326</v>
      </c>
      <c r="P17" s="5">
        <v>0.11607743148440708</v>
      </c>
      <c r="Q17" s="5">
        <v>0.20502080564245029</v>
      </c>
      <c r="R17" s="76">
        <f t="shared" si="2"/>
        <v>3.6138740065486119E-2</v>
      </c>
      <c r="S17" s="76">
        <f t="shared" si="3"/>
        <v>2.0228071017274443E-2</v>
      </c>
      <c r="T17" s="76">
        <f t="shared" si="4"/>
        <v>3.0769230769230769E-3</v>
      </c>
      <c r="U17" s="77">
        <f t="shared" si="5"/>
        <v>9.2820565914312647E-2</v>
      </c>
      <c r="V17" s="79">
        <f t="shared" si="6"/>
        <v>2.2798814118958344E-2</v>
      </c>
    </row>
    <row r="18" spans="1:22">
      <c r="A18" s="139">
        <v>13</v>
      </c>
      <c r="B18" s="131" t="s">
        <v>36</v>
      </c>
      <c r="C18" s="132" t="s">
        <v>37</v>
      </c>
      <c r="D18" s="4">
        <v>208262026.97999999</v>
      </c>
      <c r="E18" s="3">
        <f t="shared" si="0"/>
        <v>7.3991214664432302E-3</v>
      </c>
      <c r="F18" s="4">
        <v>2.2808809999999999</v>
      </c>
      <c r="G18" s="4">
        <v>2.3435679999999999</v>
      </c>
      <c r="H18" s="58">
        <v>21</v>
      </c>
      <c r="I18" s="5">
        <v>-8.5500000000000007E-2</v>
      </c>
      <c r="J18" s="5">
        <v>6.5199999999999994E-2</v>
      </c>
      <c r="K18" s="4">
        <v>124937623.98999999</v>
      </c>
      <c r="L18" s="3">
        <f t="shared" si="1"/>
        <v>4.3486132669592762E-3</v>
      </c>
      <c r="M18" s="4">
        <v>1.368314</v>
      </c>
      <c r="N18" s="4">
        <v>1.431773</v>
      </c>
      <c r="O18" s="58">
        <v>21</v>
      </c>
      <c r="P18" s="5">
        <v>-0.41789999999999999</v>
      </c>
      <c r="Q18" s="5">
        <v>-0.35499999999999998</v>
      </c>
      <c r="R18" s="76">
        <f t="shared" si="2"/>
        <v>-0.40009407474941111</v>
      </c>
      <c r="S18" s="76">
        <f t="shared" si="3"/>
        <v>-0.38906274535238572</v>
      </c>
      <c r="T18" s="76">
        <f t="shared" si="4"/>
        <v>0</v>
      </c>
      <c r="U18" s="77">
        <f t="shared" si="5"/>
        <v>-0.33239999999999997</v>
      </c>
      <c r="V18" s="79">
        <f t="shared" si="6"/>
        <v>-0.42019999999999996</v>
      </c>
    </row>
    <row r="19" spans="1:22">
      <c r="A19" s="158">
        <v>14</v>
      </c>
      <c r="B19" s="131" t="s">
        <v>38</v>
      </c>
      <c r="C19" s="132" t="s">
        <v>39</v>
      </c>
      <c r="D19" s="2">
        <v>1495001447.25</v>
      </c>
      <c r="E19" s="3">
        <f t="shared" si="0"/>
        <v>5.3114326510293006E-2</v>
      </c>
      <c r="F19" s="4">
        <v>26.67</v>
      </c>
      <c r="G19" s="4">
        <v>27.21</v>
      </c>
      <c r="H19" s="58">
        <v>8834</v>
      </c>
      <c r="I19" s="5">
        <v>1.2500000000000001E-2</v>
      </c>
      <c r="J19" s="5">
        <v>5.9499999999999997E-2</v>
      </c>
      <c r="K19" s="2">
        <v>1506549326.74</v>
      </c>
      <c r="L19" s="3">
        <f t="shared" si="1"/>
        <v>5.2437369787939163E-2</v>
      </c>
      <c r="M19" s="4">
        <v>26.87</v>
      </c>
      <c r="N19" s="4">
        <v>27.42</v>
      </c>
      <c r="O19" s="58">
        <v>8834</v>
      </c>
      <c r="P19" s="5">
        <v>9.1999999999999998E-3</v>
      </c>
      <c r="Q19" s="5">
        <v>6.7799999999999999E-2</v>
      </c>
      <c r="R19" s="76">
        <f t="shared" si="2"/>
        <v>7.7243266294102306E-3</v>
      </c>
      <c r="S19" s="76">
        <f t="shared" si="3"/>
        <v>7.7177508269019052E-3</v>
      </c>
      <c r="T19" s="76">
        <f t="shared" si="4"/>
        <v>0</v>
      </c>
      <c r="U19" s="77">
        <f t="shared" si="5"/>
        <v>-3.3000000000000008E-3</v>
      </c>
      <c r="V19" s="79">
        <f t="shared" si="6"/>
        <v>8.3000000000000018E-3</v>
      </c>
    </row>
    <row r="20" spans="1:22" ht="12.75" customHeight="1">
      <c r="A20" s="159">
        <v>15</v>
      </c>
      <c r="B20" s="131" t="s">
        <v>40</v>
      </c>
      <c r="C20" s="132" t="s">
        <v>41</v>
      </c>
      <c r="D20" s="4">
        <v>640087296.62</v>
      </c>
      <c r="E20" s="3">
        <f t="shared" si="0"/>
        <v>2.2740985120986445E-2</v>
      </c>
      <c r="F20" s="4">
        <v>6857.79</v>
      </c>
      <c r="G20" s="4">
        <v>6958.43</v>
      </c>
      <c r="H20" s="58">
        <v>19</v>
      </c>
      <c r="I20" s="5">
        <v>1.4200000000000001E-2</v>
      </c>
      <c r="J20" s="5">
        <v>0.27729999999999999</v>
      </c>
      <c r="K20" s="4">
        <v>657897999.38</v>
      </c>
      <c r="L20" s="3">
        <f t="shared" si="1"/>
        <v>2.2898978522585184E-2</v>
      </c>
      <c r="M20" s="4">
        <v>7048.02</v>
      </c>
      <c r="N20" s="4">
        <v>7152.46</v>
      </c>
      <c r="O20" s="58">
        <v>19</v>
      </c>
      <c r="P20" s="5">
        <v>2.7900000000000001E-2</v>
      </c>
      <c r="Q20" s="5">
        <v>0.31290000000000001</v>
      </c>
      <c r="R20" s="76">
        <f t="shared" si="2"/>
        <v>2.7825427647213023E-2</v>
      </c>
      <c r="S20" s="76">
        <f t="shared" si="3"/>
        <v>2.7884163525392903E-2</v>
      </c>
      <c r="T20" s="76">
        <f t="shared" si="4"/>
        <v>0</v>
      </c>
      <c r="U20" s="77">
        <f t="shared" si="5"/>
        <v>1.37E-2</v>
      </c>
      <c r="V20" s="79">
        <f t="shared" si="6"/>
        <v>3.5600000000000021E-2</v>
      </c>
    </row>
    <row r="21" spans="1:22">
      <c r="A21" s="159">
        <v>16</v>
      </c>
      <c r="B21" s="131" t="s">
        <v>42</v>
      </c>
      <c r="C21" s="132" t="s">
        <v>41</v>
      </c>
      <c r="D21" s="4">
        <v>11476217702.379999</v>
      </c>
      <c r="E21" s="3">
        <f t="shared" si="0"/>
        <v>0.40772641074606553</v>
      </c>
      <c r="F21" s="4">
        <v>22786.9</v>
      </c>
      <c r="G21" s="4">
        <v>23127.84</v>
      </c>
      <c r="H21" s="58">
        <v>17414</v>
      </c>
      <c r="I21" s="5">
        <v>1.9099999999999999E-2</v>
      </c>
      <c r="J21" s="5">
        <v>0.25950000000000001</v>
      </c>
      <c r="K21" s="4">
        <v>11652710596.73</v>
      </c>
      <c r="L21" s="3">
        <f t="shared" si="1"/>
        <v>0.40558744658881052</v>
      </c>
      <c r="M21" s="4">
        <v>23116.65</v>
      </c>
      <c r="N21" s="4">
        <v>23467.37</v>
      </c>
      <c r="O21" s="58">
        <v>17421</v>
      </c>
      <c r="P21" s="5">
        <v>1.47E-2</v>
      </c>
      <c r="Q21" s="5">
        <v>0.27800000000000002</v>
      </c>
      <c r="R21" s="76">
        <f t="shared" si="2"/>
        <v>1.53790123999999E-2</v>
      </c>
      <c r="S21" s="76">
        <f t="shared" si="3"/>
        <v>1.4680575445004758E-2</v>
      </c>
      <c r="T21" s="76">
        <f t="shared" si="4"/>
        <v>4.019754220741932E-4</v>
      </c>
      <c r="U21" s="77">
        <f t="shared" si="5"/>
        <v>-4.3999999999999994E-3</v>
      </c>
      <c r="V21" s="79">
        <f t="shared" si="6"/>
        <v>1.8500000000000016E-2</v>
      </c>
    </row>
    <row r="22" spans="1:22">
      <c r="A22" s="156">
        <v>17</v>
      </c>
      <c r="B22" s="132" t="s">
        <v>43</v>
      </c>
      <c r="C22" s="132" t="s">
        <v>44</v>
      </c>
      <c r="D22" s="4">
        <v>3315872444.9299998</v>
      </c>
      <c r="E22" s="3">
        <f t="shared" si="0"/>
        <v>0.11780612790072038</v>
      </c>
      <c r="F22" s="4">
        <v>1.3496999999999999</v>
      </c>
      <c r="G22" s="8">
        <v>1.3628</v>
      </c>
      <c r="H22" s="58">
        <v>4067</v>
      </c>
      <c r="I22" s="5">
        <v>2.4299999999999999E-2</v>
      </c>
      <c r="J22" s="5">
        <v>0.21329999999999999</v>
      </c>
      <c r="K22" s="4">
        <v>3407970624.1599998</v>
      </c>
      <c r="L22" s="3">
        <f t="shared" si="1"/>
        <v>0.11861876187765383</v>
      </c>
      <c r="M22" s="4">
        <v>1.3829</v>
      </c>
      <c r="N22" s="8">
        <v>1.3964000000000001</v>
      </c>
      <c r="O22" s="58">
        <v>4002</v>
      </c>
      <c r="P22" s="5">
        <v>2.4500000000000001E-2</v>
      </c>
      <c r="Q22" s="5">
        <v>0.23769999999999999</v>
      </c>
      <c r="R22" s="76">
        <f t="shared" si="2"/>
        <v>2.7774946340538221E-2</v>
      </c>
      <c r="S22" s="76">
        <f t="shared" si="3"/>
        <v>2.4655121808042319E-2</v>
      </c>
      <c r="T22" s="76">
        <f t="shared" si="4"/>
        <v>-1.598229653307106E-2</v>
      </c>
      <c r="U22" s="77">
        <f t="shared" si="5"/>
        <v>2.0000000000000226E-4</v>
      </c>
      <c r="V22" s="79">
        <f t="shared" si="6"/>
        <v>2.4400000000000005E-2</v>
      </c>
    </row>
    <row r="23" spans="1:22">
      <c r="A23" s="71"/>
      <c r="B23" s="129"/>
      <c r="C23" s="68" t="s">
        <v>45</v>
      </c>
      <c r="D23" s="56">
        <f>SUM(D6:D22)</f>
        <v>28146858775.669201</v>
      </c>
      <c r="E23" s="96">
        <f>(D23/$D$205)</f>
        <v>8.1349639709582811E-3</v>
      </c>
      <c r="F23" s="30"/>
      <c r="G23" s="31"/>
      <c r="H23" s="63">
        <f>SUM(H6:H22)</f>
        <v>50081</v>
      </c>
      <c r="I23" s="28"/>
      <c r="J23" s="58">
        <v>0</v>
      </c>
      <c r="K23" s="56">
        <f>SUM(K6:K22)</f>
        <v>28730451829.155499</v>
      </c>
      <c r="L23" s="96">
        <f>(K23/$K$205)</f>
        <v>8.1659171739714587E-3</v>
      </c>
      <c r="M23" s="30"/>
      <c r="N23" s="31"/>
      <c r="O23" s="63">
        <f>SUM(O6:O22)</f>
        <v>50098</v>
      </c>
      <c r="P23" s="28"/>
      <c r="Q23" s="63"/>
      <c r="R23" s="76">
        <f t="shared" si="2"/>
        <v>2.0733860859484931E-2</v>
      </c>
      <c r="S23" s="76" t="e">
        <f t="shared" si="3"/>
        <v>#DIV/0!</v>
      </c>
      <c r="T23" s="76">
        <f t="shared" si="4"/>
        <v>3.3945009085281842E-4</v>
      </c>
      <c r="U23" s="77">
        <f t="shared" si="5"/>
        <v>0</v>
      </c>
      <c r="V23" s="79">
        <f t="shared" si="6"/>
        <v>0</v>
      </c>
    </row>
    <row r="24" spans="1:22" ht="9" customHeight="1">
      <c r="A24" s="161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</row>
    <row r="25" spans="1:22" ht="15" customHeight="1">
      <c r="A25" s="168" t="s">
        <v>46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</row>
    <row r="26" spans="1:22">
      <c r="A26" s="155">
        <v>18</v>
      </c>
      <c r="B26" s="131" t="s">
        <v>47</v>
      </c>
      <c r="C26" s="132" t="s">
        <v>16</v>
      </c>
      <c r="D26" s="9">
        <v>1187195069.23</v>
      </c>
      <c r="E26" s="3">
        <f>(D26/$K$62)</f>
        <v>8.5296640498169253E-4</v>
      </c>
      <c r="F26" s="8">
        <v>100</v>
      </c>
      <c r="G26" s="8">
        <v>100</v>
      </c>
      <c r="H26" s="58">
        <v>841</v>
      </c>
      <c r="I26" s="5">
        <v>0.19739999999999999</v>
      </c>
      <c r="J26" s="5">
        <v>0.19739999999999999</v>
      </c>
      <c r="K26" s="9">
        <v>1186547210.8599999</v>
      </c>
      <c r="L26" s="3">
        <f t="shared" ref="L26:L61" si="7">(K26/$K$62)</f>
        <v>8.5250093688877442E-4</v>
      </c>
      <c r="M26" s="8">
        <v>100</v>
      </c>
      <c r="N26" s="8">
        <v>100</v>
      </c>
      <c r="O26" s="58">
        <v>1071</v>
      </c>
      <c r="P26" s="5">
        <v>0.1993</v>
      </c>
      <c r="Q26" s="5">
        <v>0.1993</v>
      </c>
      <c r="R26" s="76">
        <f>((K26-D26)/D26)</f>
        <v>-5.457050713833548E-4</v>
      </c>
      <c r="S26" s="76">
        <f>((N26-G26)/G26)</f>
        <v>0</v>
      </c>
      <c r="T26" s="76">
        <f>((O26-H26)/H26)</f>
        <v>0.27348394768133177</v>
      </c>
      <c r="U26" s="77">
        <f>P26-I26</f>
        <v>1.9000000000000128E-3</v>
      </c>
      <c r="V26" s="79">
        <f>Q26-J26</f>
        <v>1.9000000000000128E-3</v>
      </c>
    </row>
    <row r="27" spans="1:22">
      <c r="A27" s="154">
        <v>19</v>
      </c>
      <c r="B27" s="131" t="s">
        <v>48</v>
      </c>
      <c r="C27" s="132" t="s">
        <v>49</v>
      </c>
      <c r="D27" s="9">
        <v>8434581426.3299999</v>
      </c>
      <c r="E27" s="3">
        <f t="shared" ref="E27:E61" si="8">(D27/$K$62)</f>
        <v>6.0600105098214943E-3</v>
      </c>
      <c r="F27" s="8">
        <v>100</v>
      </c>
      <c r="G27" s="8">
        <v>100</v>
      </c>
      <c r="H27" s="58">
        <v>1677</v>
      </c>
      <c r="I27" s="5">
        <v>0.22426199999999999</v>
      </c>
      <c r="J27" s="5">
        <v>0.22426199999999999</v>
      </c>
      <c r="K27" s="9">
        <v>8466325430.3999996</v>
      </c>
      <c r="L27" s="3">
        <f t="shared" si="7"/>
        <v>6.0828176876249482E-3</v>
      </c>
      <c r="M27" s="8">
        <v>100</v>
      </c>
      <c r="N27" s="8">
        <v>100</v>
      </c>
      <c r="O27" s="58">
        <v>1689</v>
      </c>
      <c r="P27" s="5">
        <v>-2.0119999999999999E-3</v>
      </c>
      <c r="Q27" s="5">
        <v>9.6143999999999993E-2</v>
      </c>
      <c r="R27" s="76">
        <f t="shared" ref="R27:R62" si="9">((K27-D27)/D27)</f>
        <v>3.7635541665298664E-3</v>
      </c>
      <c r="S27" s="76">
        <f t="shared" ref="S27:S62" si="10">((N27-G27)/G27)</f>
        <v>0</v>
      </c>
      <c r="T27" s="76">
        <f t="shared" ref="T27:T62" si="11">((O27-H27)/H27)</f>
        <v>7.1556350626118068E-3</v>
      </c>
      <c r="U27" s="77">
        <f t="shared" ref="U27:U62" si="12">P27-I27</f>
        <v>-0.22627399999999998</v>
      </c>
      <c r="V27" s="79">
        <f t="shared" ref="V27:V62" si="13">Q27-J27</f>
        <v>-0.12811800000000001</v>
      </c>
    </row>
    <row r="28" spans="1:22">
      <c r="A28" s="156">
        <v>20</v>
      </c>
      <c r="B28" s="131" t="s">
        <v>50</v>
      </c>
      <c r="C28" s="132" t="s">
        <v>18</v>
      </c>
      <c r="D28" s="9">
        <v>718827227.07000005</v>
      </c>
      <c r="E28" s="3">
        <f t="shared" si="8"/>
        <v>5.1645722894934928E-4</v>
      </c>
      <c r="F28" s="8">
        <v>100</v>
      </c>
      <c r="G28" s="8">
        <v>100</v>
      </c>
      <c r="H28" s="58">
        <v>1711</v>
      </c>
      <c r="I28" s="5">
        <v>0.19270000000000001</v>
      </c>
      <c r="J28" s="5">
        <v>0.19270000000000001</v>
      </c>
      <c r="K28" s="9">
        <v>733625238.52999997</v>
      </c>
      <c r="L28" s="3">
        <f t="shared" si="7"/>
        <v>5.2708918570444315E-4</v>
      </c>
      <c r="M28" s="8">
        <v>100</v>
      </c>
      <c r="N28" s="8">
        <v>100</v>
      </c>
      <c r="O28" s="58">
        <v>1720</v>
      </c>
      <c r="P28" s="5">
        <v>0.19270000000000001</v>
      </c>
      <c r="Q28" s="5">
        <v>0.19270000000000001</v>
      </c>
      <c r="R28" s="76">
        <f t="shared" si="9"/>
        <v>2.0586325757745504E-2</v>
      </c>
      <c r="S28" s="76">
        <f t="shared" si="10"/>
        <v>0</v>
      </c>
      <c r="T28" s="76">
        <f t="shared" si="11"/>
        <v>5.2600818234950324E-3</v>
      </c>
      <c r="U28" s="77">
        <f t="shared" si="12"/>
        <v>0</v>
      </c>
      <c r="V28" s="79">
        <f t="shared" si="13"/>
        <v>0</v>
      </c>
    </row>
    <row r="29" spans="1:22">
      <c r="A29" s="159">
        <v>21</v>
      </c>
      <c r="B29" s="131" t="s">
        <v>51</v>
      </c>
      <c r="C29" s="132" t="s">
        <v>20</v>
      </c>
      <c r="D29" s="9">
        <v>103075950378.17999</v>
      </c>
      <c r="E29" s="3">
        <f t="shared" si="8"/>
        <v>7.405718328258519E-2</v>
      </c>
      <c r="F29" s="8">
        <v>1</v>
      </c>
      <c r="G29" s="8">
        <v>1</v>
      </c>
      <c r="H29" s="58">
        <v>61066</v>
      </c>
      <c r="I29" s="5">
        <v>0.2059</v>
      </c>
      <c r="J29" s="5">
        <v>0.2059</v>
      </c>
      <c r="K29" s="9">
        <v>105095178096.7</v>
      </c>
      <c r="L29" s="3">
        <f t="shared" si="7"/>
        <v>7.5507941841599827E-2</v>
      </c>
      <c r="M29" s="8">
        <v>1</v>
      </c>
      <c r="N29" s="8">
        <v>1</v>
      </c>
      <c r="O29" s="58">
        <v>61508</v>
      </c>
      <c r="P29" s="5">
        <v>0.20830000000000001</v>
      </c>
      <c r="Q29" s="5">
        <v>0.20830000000000001</v>
      </c>
      <c r="R29" s="76">
        <f t="shared" si="9"/>
        <v>1.9589707503171874E-2</v>
      </c>
      <c r="S29" s="76">
        <f t="shared" si="10"/>
        <v>0</v>
      </c>
      <c r="T29" s="76">
        <f t="shared" si="11"/>
        <v>7.2380702846100943E-3</v>
      </c>
      <c r="U29" s="77">
        <f t="shared" si="12"/>
        <v>2.4000000000000132E-3</v>
      </c>
      <c r="V29" s="79">
        <f t="shared" si="13"/>
        <v>2.4000000000000132E-3</v>
      </c>
    </row>
    <row r="30" spans="1:22">
      <c r="A30" s="154">
        <v>22</v>
      </c>
      <c r="B30" s="131" t="s">
        <v>52</v>
      </c>
      <c r="C30" s="132" t="s">
        <v>22</v>
      </c>
      <c r="D30" s="9">
        <v>70210813032.080002</v>
      </c>
      <c r="E30" s="3">
        <f t="shared" si="8"/>
        <v>5.0444502622182648E-2</v>
      </c>
      <c r="F30" s="8">
        <v>1</v>
      </c>
      <c r="G30" s="8">
        <v>1</v>
      </c>
      <c r="H30" s="58">
        <v>29289</v>
      </c>
      <c r="I30" s="5">
        <v>0.20569999999999999</v>
      </c>
      <c r="J30" s="5">
        <v>0.20569999999999999</v>
      </c>
      <c r="K30" s="9">
        <v>70049571014.130005</v>
      </c>
      <c r="L30" s="3">
        <f t="shared" si="7"/>
        <v>5.0328654748528656E-2</v>
      </c>
      <c r="M30" s="8">
        <v>1</v>
      </c>
      <c r="N30" s="8">
        <v>1</v>
      </c>
      <c r="O30" s="58">
        <v>29382</v>
      </c>
      <c r="P30" s="5">
        <v>0.20799999999999999</v>
      </c>
      <c r="Q30" s="5">
        <v>0.1658</v>
      </c>
      <c r="R30" s="76">
        <f t="shared" si="9"/>
        <v>-2.2965411022419567E-3</v>
      </c>
      <c r="S30" s="76">
        <f t="shared" si="10"/>
        <v>0</v>
      </c>
      <c r="T30" s="76">
        <f t="shared" si="11"/>
        <v>3.1752535081429889E-3</v>
      </c>
      <c r="U30" s="77">
        <f t="shared" si="12"/>
        <v>2.2999999999999965E-3</v>
      </c>
      <c r="V30" s="79">
        <f t="shared" si="13"/>
        <v>-3.9899999999999991E-2</v>
      </c>
    </row>
    <row r="31" spans="1:22" ht="15" customHeight="1">
      <c r="A31" s="158">
        <v>23</v>
      </c>
      <c r="B31" s="131" t="s">
        <v>53</v>
      </c>
      <c r="C31" s="132" t="s">
        <v>39</v>
      </c>
      <c r="D31" s="9">
        <v>9534646148</v>
      </c>
      <c r="E31" s="3">
        <f t="shared" si="8"/>
        <v>6.8503762005235518E-3</v>
      </c>
      <c r="F31" s="8">
        <v>100</v>
      </c>
      <c r="G31" s="8">
        <v>100</v>
      </c>
      <c r="H31" s="58">
        <v>2891</v>
      </c>
      <c r="I31" s="5">
        <v>0.22</v>
      </c>
      <c r="J31" s="5">
        <v>0.22</v>
      </c>
      <c r="K31" s="9">
        <v>9790540289</v>
      </c>
      <c r="L31" s="3">
        <f t="shared" si="7"/>
        <v>7.0342289734686208E-3</v>
      </c>
      <c r="M31" s="8">
        <v>100</v>
      </c>
      <c r="N31" s="8">
        <v>100</v>
      </c>
      <c r="O31" s="58">
        <v>2891</v>
      </c>
      <c r="P31" s="5">
        <v>0.221</v>
      </c>
      <c r="Q31" s="5">
        <v>0.221</v>
      </c>
      <c r="R31" s="76">
        <f t="shared" si="9"/>
        <v>2.6838346911665589E-2</v>
      </c>
      <c r="S31" s="76">
        <f t="shared" si="10"/>
        <v>0</v>
      </c>
      <c r="T31" s="76">
        <f t="shared" si="11"/>
        <v>0</v>
      </c>
      <c r="U31" s="77">
        <f t="shared" si="12"/>
        <v>1.0000000000000009E-3</v>
      </c>
      <c r="V31" s="79">
        <f t="shared" si="13"/>
        <v>1.0000000000000009E-3</v>
      </c>
    </row>
    <row r="32" spans="1:22" ht="15" customHeight="1">
      <c r="A32" s="159">
        <v>24</v>
      </c>
      <c r="B32" s="131" t="s">
        <v>267</v>
      </c>
      <c r="C32" s="132" t="s">
        <v>266</v>
      </c>
      <c r="D32" s="9">
        <v>304781367.52999997</v>
      </c>
      <c r="E32" s="3">
        <f t="shared" si="8"/>
        <v>2.1897687591987744E-4</v>
      </c>
      <c r="F32" s="8">
        <v>1</v>
      </c>
      <c r="G32" s="8">
        <v>1</v>
      </c>
      <c r="H32" s="58">
        <v>215</v>
      </c>
      <c r="I32" s="5">
        <v>0.189</v>
      </c>
      <c r="J32" s="5">
        <v>0.189</v>
      </c>
      <c r="K32" s="9">
        <v>310345353.62</v>
      </c>
      <c r="L32" s="3">
        <f t="shared" si="7"/>
        <v>2.2297444408332477E-4</v>
      </c>
      <c r="M32" s="8">
        <v>1</v>
      </c>
      <c r="N32" s="8">
        <v>1</v>
      </c>
      <c r="O32" s="58">
        <v>221</v>
      </c>
      <c r="P32" s="5">
        <v>0.189</v>
      </c>
      <c r="Q32" s="5">
        <v>0.189</v>
      </c>
      <c r="R32" s="76">
        <f t="shared" si="9"/>
        <v>1.8255663510835726E-2</v>
      </c>
      <c r="S32" s="76">
        <f t="shared" si="10"/>
        <v>0</v>
      </c>
      <c r="T32" s="76">
        <f t="shared" si="11"/>
        <v>2.7906976744186046E-2</v>
      </c>
      <c r="U32" s="77">
        <f t="shared" si="12"/>
        <v>0</v>
      </c>
      <c r="V32" s="79">
        <f t="shared" si="13"/>
        <v>0</v>
      </c>
    </row>
    <row r="33" spans="1:22">
      <c r="A33" s="156">
        <v>25</v>
      </c>
      <c r="B33" s="131" t="s">
        <v>54</v>
      </c>
      <c r="C33" s="132" t="s">
        <v>55</v>
      </c>
      <c r="D33" s="9">
        <v>28409948847.359997</v>
      </c>
      <c r="E33" s="3">
        <f t="shared" si="8"/>
        <v>2.0411752509857949E-2</v>
      </c>
      <c r="F33" s="8">
        <v>100</v>
      </c>
      <c r="G33" s="8">
        <v>100</v>
      </c>
      <c r="H33" s="58">
        <v>2958</v>
      </c>
      <c r="I33" s="5">
        <v>0.23612520908808701</v>
      </c>
      <c r="J33" s="5">
        <v>0.23612520908808701</v>
      </c>
      <c r="K33" s="9">
        <v>28229637246.859997</v>
      </c>
      <c r="L33" s="3">
        <f t="shared" si="7"/>
        <v>2.0282203675263538E-2</v>
      </c>
      <c r="M33" s="8">
        <v>100</v>
      </c>
      <c r="N33" s="8">
        <v>100</v>
      </c>
      <c r="O33" s="58">
        <v>2987</v>
      </c>
      <c r="P33" s="5">
        <v>0.225024286923898</v>
      </c>
      <c r="Q33" s="5">
        <v>0.225024286923898</v>
      </c>
      <c r="R33" s="76">
        <f t="shared" si="9"/>
        <v>-6.3467766685808558E-3</v>
      </c>
      <c r="S33" s="76">
        <f t="shared" si="10"/>
        <v>0</v>
      </c>
      <c r="T33" s="76">
        <f t="shared" si="11"/>
        <v>9.8039215686274508E-3</v>
      </c>
      <c r="U33" s="77">
        <f t="shared" si="12"/>
        <v>-1.1100922164189009E-2</v>
      </c>
      <c r="V33" s="79">
        <f t="shared" si="13"/>
        <v>-1.1100922164189009E-2</v>
      </c>
    </row>
    <row r="34" spans="1:22">
      <c r="A34" s="156">
        <v>26</v>
      </c>
      <c r="B34" s="131" t="s">
        <v>56</v>
      </c>
      <c r="C34" s="132" t="s">
        <v>57</v>
      </c>
      <c r="D34" s="9">
        <v>9962748406.8500004</v>
      </c>
      <c r="E34" s="3">
        <f t="shared" si="8"/>
        <v>7.1579556827502284E-3</v>
      </c>
      <c r="F34" s="8">
        <v>100</v>
      </c>
      <c r="G34" s="8">
        <v>100</v>
      </c>
      <c r="H34" s="58">
        <v>6263</v>
      </c>
      <c r="I34" s="5">
        <v>0.22539999999999999</v>
      </c>
      <c r="J34" s="5">
        <v>0.22539999999999999</v>
      </c>
      <c r="K34" s="9">
        <v>9963616865.7299995</v>
      </c>
      <c r="L34" s="3">
        <f t="shared" si="7"/>
        <v>7.15857964613076E-3</v>
      </c>
      <c r="M34" s="8">
        <v>100</v>
      </c>
      <c r="N34" s="8">
        <v>100</v>
      </c>
      <c r="O34" s="58">
        <v>6279</v>
      </c>
      <c r="P34" s="5">
        <v>0.23580000000000001</v>
      </c>
      <c r="Q34" s="5">
        <v>0.23580000000000001</v>
      </c>
      <c r="R34" s="76">
        <f t="shared" si="9"/>
        <v>8.7170612418762086E-5</v>
      </c>
      <c r="S34" s="76">
        <f t="shared" si="10"/>
        <v>0</v>
      </c>
      <c r="T34" s="76">
        <f t="shared" si="11"/>
        <v>2.5546862525946032E-3</v>
      </c>
      <c r="U34" s="77">
        <f t="shared" si="12"/>
        <v>1.040000000000002E-2</v>
      </c>
      <c r="V34" s="79">
        <f t="shared" si="13"/>
        <v>1.040000000000002E-2</v>
      </c>
    </row>
    <row r="35" spans="1:22">
      <c r="A35" s="159">
        <v>27</v>
      </c>
      <c r="B35" s="131" t="s">
        <v>58</v>
      </c>
      <c r="C35" s="132" t="s">
        <v>59</v>
      </c>
      <c r="D35" s="9">
        <v>44514190.369999997</v>
      </c>
      <c r="E35" s="3">
        <f t="shared" si="8"/>
        <v>3.1982198978636146E-5</v>
      </c>
      <c r="F35" s="8">
        <v>100</v>
      </c>
      <c r="G35" s="8">
        <v>100</v>
      </c>
      <c r="H35" s="58">
        <v>0</v>
      </c>
      <c r="I35" s="5">
        <v>0</v>
      </c>
      <c r="J35" s="5">
        <v>0</v>
      </c>
      <c r="K35" s="9">
        <v>44514190.369999997</v>
      </c>
      <c r="L35" s="3">
        <f t="shared" si="7"/>
        <v>3.1982198978636146E-5</v>
      </c>
      <c r="M35" s="8">
        <v>100</v>
      </c>
      <c r="N35" s="8">
        <v>100</v>
      </c>
      <c r="O35" s="58">
        <v>0</v>
      </c>
      <c r="P35" s="5">
        <v>0</v>
      </c>
      <c r="Q35" s="5">
        <v>0</v>
      </c>
      <c r="R35" s="76">
        <f t="shared" si="9"/>
        <v>0</v>
      </c>
      <c r="S35" s="76">
        <f t="shared" si="10"/>
        <v>0</v>
      </c>
      <c r="T35" s="76" t="e">
        <f t="shared" si="11"/>
        <v>#DIV/0!</v>
      </c>
      <c r="U35" s="77">
        <f t="shared" si="12"/>
        <v>0</v>
      </c>
      <c r="V35" s="79">
        <f t="shared" si="13"/>
        <v>0</v>
      </c>
    </row>
    <row r="36" spans="1:22">
      <c r="A36" s="155">
        <v>28</v>
      </c>
      <c r="B36" s="131" t="s">
        <v>60</v>
      </c>
      <c r="C36" s="132" t="s">
        <v>61</v>
      </c>
      <c r="D36" s="9">
        <v>6278378329.1199999</v>
      </c>
      <c r="E36" s="3">
        <f t="shared" si="8"/>
        <v>4.5108389777745606E-3</v>
      </c>
      <c r="F36" s="8">
        <v>1</v>
      </c>
      <c r="G36" s="8">
        <v>1</v>
      </c>
      <c r="H36" s="58">
        <v>2669</v>
      </c>
      <c r="I36" s="5">
        <v>0.21079999999999999</v>
      </c>
      <c r="J36" s="5">
        <v>0.21079999999999999</v>
      </c>
      <c r="K36" s="9">
        <v>6184931753.7399998</v>
      </c>
      <c r="L36" s="3">
        <f t="shared" si="7"/>
        <v>4.4437002307180836E-3</v>
      </c>
      <c r="M36" s="8">
        <v>1</v>
      </c>
      <c r="N36" s="8">
        <v>1</v>
      </c>
      <c r="O36" s="58">
        <v>2753</v>
      </c>
      <c r="P36" s="5">
        <v>0.20949999999999999</v>
      </c>
      <c r="Q36" s="5">
        <v>0.20949999999999999</v>
      </c>
      <c r="R36" s="76">
        <f t="shared" si="9"/>
        <v>-1.4883871356809096E-2</v>
      </c>
      <c r="S36" s="76">
        <f t="shared" si="10"/>
        <v>0</v>
      </c>
      <c r="T36" s="76">
        <f t="shared" si="11"/>
        <v>3.147246159610341E-2</v>
      </c>
      <c r="U36" s="77">
        <f t="shared" si="12"/>
        <v>-1.2999999999999956E-3</v>
      </c>
      <c r="V36" s="79">
        <f t="shared" si="13"/>
        <v>-1.2999999999999956E-3</v>
      </c>
    </row>
    <row r="37" spans="1:22">
      <c r="A37" s="159">
        <v>29</v>
      </c>
      <c r="B37" s="131" t="s">
        <v>62</v>
      </c>
      <c r="C37" s="132" t="s">
        <v>63</v>
      </c>
      <c r="D37" s="9">
        <v>16236879100.84</v>
      </c>
      <c r="E37" s="3">
        <f t="shared" si="8"/>
        <v>1.1665742853656302E-2</v>
      </c>
      <c r="F37" s="11">
        <v>100</v>
      </c>
      <c r="G37" s="11">
        <v>100</v>
      </c>
      <c r="H37" s="58">
        <v>2947</v>
      </c>
      <c r="I37" s="5">
        <v>0.20169999999999999</v>
      </c>
      <c r="J37" s="5">
        <v>0.20169999999999999</v>
      </c>
      <c r="K37" s="9">
        <v>16751643167.969999</v>
      </c>
      <c r="L37" s="3">
        <f t="shared" si="7"/>
        <v>1.2035586417813294E-2</v>
      </c>
      <c r="M37" s="11">
        <v>100</v>
      </c>
      <c r="N37" s="11">
        <v>100</v>
      </c>
      <c r="O37" s="58">
        <v>2983</v>
      </c>
      <c r="P37" s="5">
        <v>0.2</v>
      </c>
      <c r="Q37" s="5">
        <v>0.2</v>
      </c>
      <c r="R37" s="76">
        <f t="shared" si="9"/>
        <v>3.1703387327886697E-2</v>
      </c>
      <c r="S37" s="76">
        <f t="shared" si="10"/>
        <v>0</v>
      </c>
      <c r="T37" s="76">
        <f t="shared" si="11"/>
        <v>1.2215812690872073E-2</v>
      </c>
      <c r="U37" s="77">
        <f t="shared" si="12"/>
        <v>-1.6999999999999793E-3</v>
      </c>
      <c r="V37" s="79">
        <f t="shared" si="13"/>
        <v>-1.6999999999999793E-3</v>
      </c>
    </row>
    <row r="38" spans="1:22">
      <c r="A38" s="159">
        <v>30</v>
      </c>
      <c r="B38" s="131" t="s">
        <v>64</v>
      </c>
      <c r="C38" s="132" t="s">
        <v>63</v>
      </c>
      <c r="D38" s="9">
        <v>442645246.97000003</v>
      </c>
      <c r="E38" s="3">
        <f t="shared" si="8"/>
        <v>3.1802821185495327E-4</v>
      </c>
      <c r="F38" s="11">
        <v>1000000</v>
      </c>
      <c r="G38" s="11">
        <v>1000000</v>
      </c>
      <c r="H38" s="58">
        <v>3</v>
      </c>
      <c r="I38" s="5">
        <v>0.19839999999999999</v>
      </c>
      <c r="J38" s="5">
        <v>0.19839999999999999</v>
      </c>
      <c r="K38" s="9">
        <v>447707621.35000002</v>
      </c>
      <c r="L38" s="3">
        <f t="shared" si="7"/>
        <v>3.2166538605445582E-4</v>
      </c>
      <c r="M38" s="11">
        <v>1000000</v>
      </c>
      <c r="N38" s="11">
        <v>1000000</v>
      </c>
      <c r="O38" s="58">
        <v>3</v>
      </c>
      <c r="P38" s="5">
        <v>0.1991</v>
      </c>
      <c r="Q38" s="5">
        <v>0.1991</v>
      </c>
      <c r="R38" s="76">
        <f t="shared" si="9"/>
        <v>1.143664009644973E-2</v>
      </c>
      <c r="S38" s="76">
        <f t="shared" si="10"/>
        <v>0</v>
      </c>
      <c r="T38" s="76">
        <f t="shared" si="11"/>
        <v>0</v>
      </c>
      <c r="U38" s="77">
        <f t="shared" si="12"/>
        <v>7.0000000000000617E-4</v>
      </c>
      <c r="V38" s="79">
        <f t="shared" si="13"/>
        <v>7.0000000000000617E-4</v>
      </c>
    </row>
    <row r="39" spans="1:22">
      <c r="A39" s="159">
        <v>31</v>
      </c>
      <c r="B39" s="131" t="s">
        <v>65</v>
      </c>
      <c r="C39" s="132" t="s">
        <v>66</v>
      </c>
      <c r="D39" s="9">
        <v>3757430242.1399999</v>
      </c>
      <c r="E39" s="3">
        <f t="shared" si="8"/>
        <v>2.699608386755131E-3</v>
      </c>
      <c r="F39" s="8">
        <v>1</v>
      </c>
      <c r="G39" s="8">
        <v>1</v>
      </c>
      <c r="H39" s="58">
        <v>624</v>
      </c>
      <c r="I39" s="5">
        <v>0.21859999999999999</v>
      </c>
      <c r="J39" s="5">
        <v>0.21859999999999999</v>
      </c>
      <c r="K39" s="9">
        <v>3884964646.6599998</v>
      </c>
      <c r="L39" s="3">
        <f t="shared" si="7"/>
        <v>2.7912382842794361E-3</v>
      </c>
      <c r="M39" s="8">
        <v>1</v>
      </c>
      <c r="N39" s="8">
        <v>1</v>
      </c>
      <c r="O39" s="58">
        <v>625</v>
      </c>
      <c r="P39" s="5">
        <v>0.217</v>
      </c>
      <c r="Q39" s="5">
        <v>0.217</v>
      </c>
      <c r="R39" s="76">
        <f t="shared" si="9"/>
        <v>3.3941922085388945E-2</v>
      </c>
      <c r="S39" s="76">
        <f t="shared" si="10"/>
        <v>0</v>
      </c>
      <c r="T39" s="76">
        <f t="shared" si="11"/>
        <v>1.6025641025641025E-3</v>
      </c>
      <c r="U39" s="77">
        <f t="shared" si="12"/>
        <v>-1.5999999999999903E-3</v>
      </c>
      <c r="V39" s="79">
        <f t="shared" si="13"/>
        <v>-1.5999999999999903E-3</v>
      </c>
    </row>
    <row r="40" spans="1:22">
      <c r="A40" s="155">
        <v>32</v>
      </c>
      <c r="B40" s="131" t="s">
        <v>67</v>
      </c>
      <c r="C40" s="132" t="s">
        <v>26</v>
      </c>
      <c r="D40" s="9">
        <v>305737738099.45001</v>
      </c>
      <c r="E40" s="3">
        <f t="shared" si="8"/>
        <v>0.21966400138695269</v>
      </c>
      <c r="F40" s="8">
        <v>100</v>
      </c>
      <c r="G40" s="8">
        <v>100</v>
      </c>
      <c r="H40" s="58">
        <v>15914</v>
      </c>
      <c r="I40" s="5">
        <v>-6.1000000000000004E-3</v>
      </c>
      <c r="J40" s="5">
        <v>0.22950000000000001</v>
      </c>
      <c r="K40" s="9">
        <v>309537621514.45001</v>
      </c>
      <c r="L40" s="3">
        <f t="shared" si="7"/>
        <v>0.22239411118933278</v>
      </c>
      <c r="M40" s="8">
        <v>100</v>
      </c>
      <c r="N40" s="8">
        <v>100</v>
      </c>
      <c r="O40" s="58">
        <v>16018</v>
      </c>
      <c r="P40" s="5">
        <v>0.22839999999999999</v>
      </c>
      <c r="Q40" s="5">
        <v>0.22839999999999999</v>
      </c>
      <c r="R40" s="76">
        <f t="shared" si="9"/>
        <v>1.2428571751139136E-2</v>
      </c>
      <c r="S40" s="76">
        <f t="shared" si="10"/>
        <v>0</v>
      </c>
      <c r="T40" s="76">
        <f t="shared" si="11"/>
        <v>6.5351263038833729E-3</v>
      </c>
      <c r="U40" s="77">
        <f t="shared" si="12"/>
        <v>0.23449999999999999</v>
      </c>
      <c r="V40" s="79">
        <f t="shared" si="13"/>
        <v>-1.1000000000000176E-3</v>
      </c>
    </row>
    <row r="41" spans="1:22">
      <c r="A41" s="159">
        <v>33</v>
      </c>
      <c r="B41" s="131" t="s">
        <v>68</v>
      </c>
      <c r="C41" s="132" t="s">
        <v>69</v>
      </c>
      <c r="D41" s="9">
        <v>609690058.88999999</v>
      </c>
      <c r="E41" s="3">
        <f t="shared" si="8"/>
        <v>4.3804523044538464E-4</v>
      </c>
      <c r="F41" s="8">
        <v>1</v>
      </c>
      <c r="G41" s="8">
        <v>1</v>
      </c>
      <c r="H41" s="59">
        <v>689</v>
      </c>
      <c r="I41" s="12">
        <v>0.2084</v>
      </c>
      <c r="J41" s="12">
        <v>0.2084</v>
      </c>
      <c r="K41" s="9">
        <v>557515914.38999999</v>
      </c>
      <c r="L41" s="3">
        <f t="shared" si="7"/>
        <v>4.0055956897273019E-4</v>
      </c>
      <c r="M41" s="8">
        <v>1</v>
      </c>
      <c r="N41" s="8">
        <v>1</v>
      </c>
      <c r="O41" s="59">
        <v>699</v>
      </c>
      <c r="P41" s="12">
        <v>0.21160000000000001</v>
      </c>
      <c r="Q41" s="12">
        <v>0.21160000000000001</v>
      </c>
      <c r="R41" s="76">
        <f t="shared" si="9"/>
        <v>-8.5574865030583078E-2</v>
      </c>
      <c r="S41" s="76">
        <f t="shared" si="10"/>
        <v>0</v>
      </c>
      <c r="T41" s="76">
        <f t="shared" si="11"/>
        <v>1.4513788098693759E-2</v>
      </c>
      <c r="U41" s="77">
        <f t="shared" si="12"/>
        <v>3.2000000000000084E-3</v>
      </c>
      <c r="V41" s="79">
        <f t="shared" si="13"/>
        <v>3.2000000000000084E-3</v>
      </c>
    </row>
    <row r="42" spans="1:22">
      <c r="A42" s="156">
        <v>34</v>
      </c>
      <c r="B42" s="131" t="s">
        <v>70</v>
      </c>
      <c r="C42" s="132" t="s">
        <v>71</v>
      </c>
      <c r="D42" s="9">
        <v>809896256.26999998</v>
      </c>
      <c r="E42" s="3">
        <f t="shared" si="8"/>
        <v>5.8188777566841395E-4</v>
      </c>
      <c r="F42" s="8">
        <v>10</v>
      </c>
      <c r="G42" s="8">
        <v>10</v>
      </c>
      <c r="H42" s="58">
        <v>382</v>
      </c>
      <c r="I42" s="5">
        <v>0.16470000000000001</v>
      </c>
      <c r="J42" s="5">
        <v>0.16470000000000001</v>
      </c>
      <c r="K42" s="9">
        <v>816195773.63</v>
      </c>
      <c r="L42" s="3">
        <f t="shared" si="7"/>
        <v>5.8641380244779065E-4</v>
      </c>
      <c r="M42" s="8">
        <v>10</v>
      </c>
      <c r="N42" s="8">
        <v>10</v>
      </c>
      <c r="O42" s="58">
        <v>386</v>
      </c>
      <c r="P42" s="5">
        <v>0.16170000000000001</v>
      </c>
      <c r="Q42" s="5">
        <v>0.16170000000000001</v>
      </c>
      <c r="R42" s="76">
        <f t="shared" si="9"/>
        <v>7.7781781447078405E-3</v>
      </c>
      <c r="S42" s="76">
        <f t="shared" si="10"/>
        <v>0</v>
      </c>
      <c r="T42" s="76">
        <f t="shared" si="11"/>
        <v>1.0471204188481676E-2</v>
      </c>
      <c r="U42" s="77">
        <f t="shared" si="12"/>
        <v>-3.0000000000000027E-3</v>
      </c>
      <c r="V42" s="79">
        <f t="shared" si="13"/>
        <v>-3.0000000000000027E-3</v>
      </c>
    </row>
    <row r="43" spans="1:22">
      <c r="A43" s="156">
        <v>35</v>
      </c>
      <c r="B43" s="131" t="s">
        <v>72</v>
      </c>
      <c r="C43" s="132" t="s">
        <v>73</v>
      </c>
      <c r="D43" s="9">
        <v>4138919723.4200001</v>
      </c>
      <c r="E43" s="3">
        <f t="shared" si="8"/>
        <v>2.9736978938795003E-3</v>
      </c>
      <c r="F43" s="8">
        <v>100</v>
      </c>
      <c r="G43" s="8">
        <v>100</v>
      </c>
      <c r="H43" s="58">
        <v>682</v>
      </c>
      <c r="I43" s="5">
        <v>0.20349999999999999</v>
      </c>
      <c r="J43" s="5">
        <v>0.20349999999999999</v>
      </c>
      <c r="K43" s="9">
        <v>4300535128.9866657</v>
      </c>
      <c r="L43" s="3">
        <f t="shared" si="7"/>
        <v>3.0898140360778219E-3</v>
      </c>
      <c r="M43" s="8">
        <v>100</v>
      </c>
      <c r="N43" s="8">
        <v>100</v>
      </c>
      <c r="O43" s="58">
        <v>682</v>
      </c>
      <c r="P43" s="5">
        <v>0.20599999999999999</v>
      </c>
      <c r="Q43" s="5">
        <v>0.20599999999999999</v>
      </c>
      <c r="R43" s="76">
        <f t="shared" si="9"/>
        <v>3.9047726548588971E-2</v>
      </c>
      <c r="S43" s="76">
        <f t="shared" si="10"/>
        <v>0</v>
      </c>
      <c r="T43" s="76">
        <f t="shared" si="11"/>
        <v>0</v>
      </c>
      <c r="U43" s="77">
        <f t="shared" si="12"/>
        <v>2.5000000000000022E-3</v>
      </c>
      <c r="V43" s="79">
        <f t="shared" si="13"/>
        <v>2.5000000000000022E-3</v>
      </c>
    </row>
    <row r="44" spans="1:22">
      <c r="A44" s="155">
        <v>36</v>
      </c>
      <c r="B44" s="131" t="s">
        <v>284</v>
      </c>
      <c r="C44" s="131" t="s">
        <v>254</v>
      </c>
      <c r="D44" s="4">
        <v>53538831.609999999</v>
      </c>
      <c r="E44" s="3">
        <f t="shared" ref="E44" si="14">(D44/$D$175)</f>
        <v>1.0475600041363309E-3</v>
      </c>
      <c r="F44" s="4">
        <v>1</v>
      </c>
      <c r="G44" s="4">
        <v>1</v>
      </c>
      <c r="H44" s="58">
        <v>18</v>
      </c>
      <c r="I44" s="5">
        <v>3.5000000000000003E-2</v>
      </c>
      <c r="J44" s="5">
        <v>0.1537</v>
      </c>
      <c r="K44" s="4">
        <v>53916551.130000003</v>
      </c>
      <c r="L44" s="16">
        <f t="shared" ref="L44" si="15">(K44/$K$175)</f>
        <v>1.0538378276854579E-3</v>
      </c>
      <c r="M44" s="4">
        <v>1</v>
      </c>
      <c r="N44" s="4">
        <v>1</v>
      </c>
      <c r="O44" s="58">
        <v>22</v>
      </c>
      <c r="P44" s="5">
        <v>2.01E-2</v>
      </c>
      <c r="Q44" s="5">
        <v>0.15679999999999999</v>
      </c>
      <c r="R44" s="77">
        <f t="shared" si="9"/>
        <v>7.055057210651805E-3</v>
      </c>
      <c r="S44" s="77">
        <f t="shared" si="10"/>
        <v>0</v>
      </c>
      <c r="T44" s="77">
        <f t="shared" si="11"/>
        <v>0.22222222222222221</v>
      </c>
      <c r="U44" s="77">
        <f t="shared" si="12"/>
        <v>-1.4900000000000004E-2</v>
      </c>
      <c r="V44" s="79">
        <f t="shared" si="13"/>
        <v>3.0999999999999917E-3</v>
      </c>
    </row>
    <row r="45" spans="1:22">
      <c r="A45" s="155">
        <v>37</v>
      </c>
      <c r="B45" s="131" t="s">
        <v>236</v>
      </c>
      <c r="C45" s="132" t="s">
        <v>31</v>
      </c>
      <c r="D45" s="9">
        <v>35947525209.389999</v>
      </c>
      <c r="E45" s="3">
        <f t="shared" si="8"/>
        <v>2.58272900052804E-2</v>
      </c>
      <c r="F45" s="8">
        <v>100</v>
      </c>
      <c r="G45" s="8">
        <v>100</v>
      </c>
      <c r="H45" s="58">
        <v>12302</v>
      </c>
      <c r="I45" s="5">
        <v>0.18961442000000001</v>
      </c>
      <c r="J45" s="5">
        <v>0.18961442000000001</v>
      </c>
      <c r="K45" s="9">
        <v>36571431611.419998</v>
      </c>
      <c r="L45" s="3">
        <f t="shared" si="7"/>
        <v>2.6275549280084961E-2</v>
      </c>
      <c r="M45" s="8">
        <v>100</v>
      </c>
      <c r="N45" s="8">
        <v>100</v>
      </c>
      <c r="O45" s="58">
        <v>12360</v>
      </c>
      <c r="P45" s="5">
        <v>0.18559999999999999</v>
      </c>
      <c r="Q45" s="5">
        <v>0.18559999999999999</v>
      </c>
      <c r="R45" s="76">
        <f t="shared" si="9"/>
        <v>1.7356032116142048E-2</v>
      </c>
      <c r="S45" s="76">
        <f t="shared" si="10"/>
        <v>0</v>
      </c>
      <c r="T45" s="76">
        <f t="shared" si="11"/>
        <v>4.7146805397496345E-3</v>
      </c>
      <c r="U45" s="77">
        <f t="shared" si="12"/>
        <v>-4.0144200000000185E-3</v>
      </c>
      <c r="V45" s="79">
        <f t="shared" si="13"/>
        <v>-4.0144200000000185E-3</v>
      </c>
    </row>
    <row r="46" spans="1:22">
      <c r="A46" s="155">
        <v>38</v>
      </c>
      <c r="B46" s="131" t="s">
        <v>74</v>
      </c>
      <c r="C46" s="132" t="s">
        <v>33</v>
      </c>
      <c r="D46" s="9">
        <v>5819079734</v>
      </c>
      <c r="E46" s="3">
        <f t="shared" si="8"/>
        <v>4.1808458017190513E-3</v>
      </c>
      <c r="F46" s="8">
        <v>1</v>
      </c>
      <c r="G46" s="8">
        <v>1</v>
      </c>
      <c r="H46" s="58">
        <v>1067</v>
      </c>
      <c r="I46" s="5">
        <v>0.1918</v>
      </c>
      <c r="J46" s="5">
        <v>0.15190000000000001</v>
      </c>
      <c r="K46" s="9">
        <v>5681744478</v>
      </c>
      <c r="L46" s="3">
        <f t="shared" si="7"/>
        <v>4.0821742669193513E-3</v>
      </c>
      <c r="M46" s="8">
        <v>1</v>
      </c>
      <c r="N46" s="8">
        <v>1</v>
      </c>
      <c r="O46" s="58">
        <v>1075</v>
      </c>
      <c r="P46" s="5">
        <v>0.19400000000000001</v>
      </c>
      <c r="Q46" s="5">
        <v>0.19400000000000001</v>
      </c>
      <c r="R46" s="76">
        <f t="shared" si="9"/>
        <v>-2.3600854822038428E-2</v>
      </c>
      <c r="S46" s="76">
        <f t="shared" si="10"/>
        <v>0</v>
      </c>
      <c r="T46" s="76">
        <f t="shared" si="11"/>
        <v>7.4976569821930648E-3</v>
      </c>
      <c r="U46" s="77">
        <f t="shared" si="12"/>
        <v>2.2000000000000075E-3</v>
      </c>
      <c r="V46" s="79">
        <f t="shared" si="13"/>
        <v>4.2099999999999999E-2</v>
      </c>
    </row>
    <row r="47" spans="1:22">
      <c r="A47" s="155">
        <v>39</v>
      </c>
      <c r="B47" s="131" t="s">
        <v>75</v>
      </c>
      <c r="C47" s="132" t="s">
        <v>35</v>
      </c>
      <c r="D47" s="13">
        <v>10945427908.6</v>
      </c>
      <c r="E47" s="3">
        <f t="shared" si="8"/>
        <v>7.8639833807936012E-3</v>
      </c>
      <c r="F47" s="8">
        <v>10</v>
      </c>
      <c r="G47" s="8">
        <v>10</v>
      </c>
      <c r="H47" s="58">
        <v>2591</v>
      </c>
      <c r="I47" s="5">
        <v>0.22339999999999999</v>
      </c>
      <c r="J47" s="5">
        <v>0.22339999999999999</v>
      </c>
      <c r="K47" s="13">
        <v>11587907574.219999</v>
      </c>
      <c r="L47" s="3">
        <f t="shared" si="7"/>
        <v>8.3255870252672629E-3</v>
      </c>
      <c r="M47" s="8">
        <v>10</v>
      </c>
      <c r="N47" s="8">
        <v>10</v>
      </c>
      <c r="O47" s="58">
        <v>2639</v>
      </c>
      <c r="P47" s="5">
        <v>0.21820000000000001</v>
      </c>
      <c r="Q47" s="5">
        <v>0.21820000000000001</v>
      </c>
      <c r="R47" s="76">
        <f t="shared" si="9"/>
        <v>5.8698451169295285E-2</v>
      </c>
      <c r="S47" s="76">
        <f t="shared" si="10"/>
        <v>0</v>
      </c>
      <c r="T47" s="76">
        <f t="shared" si="11"/>
        <v>1.8525665766113468E-2</v>
      </c>
      <c r="U47" s="77">
        <f t="shared" si="12"/>
        <v>-5.1999999999999824E-3</v>
      </c>
      <c r="V47" s="79">
        <f t="shared" si="13"/>
        <v>-5.1999999999999824E-3</v>
      </c>
    </row>
    <row r="48" spans="1:22">
      <c r="A48" s="155">
        <v>40</v>
      </c>
      <c r="B48" s="131" t="s">
        <v>76</v>
      </c>
      <c r="C48" s="132" t="s">
        <v>77</v>
      </c>
      <c r="D48" s="9">
        <v>8371491326.8900003</v>
      </c>
      <c r="E48" s="3">
        <f t="shared" si="8"/>
        <v>6.0146820404704746E-3</v>
      </c>
      <c r="F48" s="8">
        <v>100</v>
      </c>
      <c r="G48" s="8">
        <v>100</v>
      </c>
      <c r="H48" s="58">
        <v>2785</v>
      </c>
      <c r="I48" s="5">
        <v>0.2142</v>
      </c>
      <c r="J48" s="5">
        <v>0.2142</v>
      </c>
      <c r="K48" s="9">
        <v>8579536876.8900003</v>
      </c>
      <c r="L48" s="3">
        <f t="shared" si="7"/>
        <v>6.1641569409777979E-3</v>
      </c>
      <c r="M48" s="8">
        <v>100</v>
      </c>
      <c r="N48" s="8">
        <v>100</v>
      </c>
      <c r="O48" s="58">
        <v>2813</v>
      </c>
      <c r="P48" s="5">
        <v>0.20669999999999999</v>
      </c>
      <c r="Q48" s="5">
        <v>0.20669999999999999</v>
      </c>
      <c r="R48" s="76">
        <f t="shared" si="9"/>
        <v>2.485167121080787E-2</v>
      </c>
      <c r="S48" s="76">
        <f t="shared" si="10"/>
        <v>0</v>
      </c>
      <c r="T48" s="76">
        <f t="shared" si="11"/>
        <v>1.0053859964093357E-2</v>
      </c>
      <c r="U48" s="77">
        <f t="shared" si="12"/>
        <v>-7.5000000000000067E-3</v>
      </c>
      <c r="V48" s="79">
        <f t="shared" si="13"/>
        <v>-7.5000000000000067E-3</v>
      </c>
    </row>
    <row r="49" spans="1:22">
      <c r="A49" s="156">
        <v>41</v>
      </c>
      <c r="B49" s="131" t="s">
        <v>78</v>
      </c>
      <c r="C49" s="132" t="s">
        <v>79</v>
      </c>
      <c r="D49" s="9">
        <v>175149326.09</v>
      </c>
      <c r="E49" s="3">
        <f t="shared" si="8"/>
        <v>1.2583988502146506E-4</v>
      </c>
      <c r="F49" s="8">
        <v>1</v>
      </c>
      <c r="G49" s="8">
        <v>1</v>
      </c>
      <c r="H49" s="58">
        <v>82</v>
      </c>
      <c r="I49" s="5">
        <v>0.1782</v>
      </c>
      <c r="J49" s="5">
        <v>0.1782</v>
      </c>
      <c r="K49" s="9">
        <v>181204326.13</v>
      </c>
      <c r="L49" s="3">
        <f t="shared" si="7"/>
        <v>1.3019023295513074E-4</v>
      </c>
      <c r="M49" s="8">
        <v>1</v>
      </c>
      <c r="N49" s="8">
        <v>1</v>
      </c>
      <c r="O49" s="58">
        <v>83</v>
      </c>
      <c r="P49" s="5">
        <v>0.17860000000000001</v>
      </c>
      <c r="Q49" s="5">
        <v>0.17860000000000001</v>
      </c>
      <c r="R49" s="76">
        <f t="shared" si="9"/>
        <v>3.457050149818245E-2</v>
      </c>
      <c r="S49" s="76">
        <f t="shared" si="10"/>
        <v>0</v>
      </c>
      <c r="T49" s="76">
        <f t="shared" si="11"/>
        <v>1.2195121951219513E-2</v>
      </c>
      <c r="U49" s="77">
        <f t="shared" si="12"/>
        <v>4.0000000000001146E-4</v>
      </c>
      <c r="V49" s="79">
        <f t="shared" si="13"/>
        <v>4.0000000000001146E-4</v>
      </c>
    </row>
    <row r="50" spans="1:22">
      <c r="A50" s="139">
        <v>42</v>
      </c>
      <c r="B50" s="131" t="s">
        <v>80</v>
      </c>
      <c r="C50" s="132" t="s">
        <v>37</v>
      </c>
      <c r="D50" s="13">
        <v>713057307.02999997</v>
      </c>
      <c r="E50" s="3">
        <f t="shared" si="8"/>
        <v>5.123117030108507E-4</v>
      </c>
      <c r="F50" s="8">
        <v>10</v>
      </c>
      <c r="G50" s="8">
        <v>10</v>
      </c>
      <c r="H50" s="58">
        <v>719</v>
      </c>
      <c r="I50" s="5">
        <v>0.16400000000000001</v>
      </c>
      <c r="J50" s="5">
        <v>0.16400000000000001</v>
      </c>
      <c r="K50" s="13">
        <v>750821003.20000005</v>
      </c>
      <c r="L50" s="3">
        <f t="shared" si="7"/>
        <v>5.3944386098202354E-4</v>
      </c>
      <c r="M50" s="8">
        <v>10</v>
      </c>
      <c r="N50" s="8">
        <v>10</v>
      </c>
      <c r="O50" s="58">
        <v>720</v>
      </c>
      <c r="P50" s="5">
        <v>0.16400000000000001</v>
      </c>
      <c r="Q50" s="5">
        <v>0.16400000000000001</v>
      </c>
      <c r="R50" s="76">
        <f t="shared" si="9"/>
        <v>5.2960254102565801E-2</v>
      </c>
      <c r="S50" s="76">
        <f t="shared" si="10"/>
        <v>0</v>
      </c>
      <c r="T50" s="76">
        <f t="shared" si="11"/>
        <v>1.3908205841446453E-3</v>
      </c>
      <c r="U50" s="77">
        <f t="shared" si="12"/>
        <v>0</v>
      </c>
      <c r="V50" s="79">
        <f t="shared" si="13"/>
        <v>0</v>
      </c>
    </row>
    <row r="51" spans="1:22">
      <c r="A51" s="159">
        <v>43</v>
      </c>
      <c r="B51" s="131" t="s">
        <v>244</v>
      </c>
      <c r="C51" s="132" t="s">
        <v>245</v>
      </c>
      <c r="D51" s="13">
        <v>684181065.78999996</v>
      </c>
      <c r="E51" s="3">
        <f t="shared" si="8"/>
        <v>4.9156493247730902E-4</v>
      </c>
      <c r="F51" s="8">
        <v>1</v>
      </c>
      <c r="G51" s="8">
        <v>1</v>
      </c>
      <c r="H51" s="58">
        <v>55</v>
      </c>
      <c r="I51" s="5">
        <v>0.22</v>
      </c>
      <c r="J51" s="5">
        <v>0.22</v>
      </c>
      <c r="K51" s="13">
        <v>684895264.11000001</v>
      </c>
      <c r="L51" s="3">
        <f t="shared" si="7"/>
        <v>4.9207806396618008E-4</v>
      </c>
      <c r="M51" s="8">
        <v>1</v>
      </c>
      <c r="N51" s="8">
        <v>1</v>
      </c>
      <c r="O51" s="58">
        <v>58</v>
      </c>
      <c r="P51" s="5">
        <v>0.215</v>
      </c>
      <c r="Q51" s="5">
        <v>0.215</v>
      </c>
      <c r="R51" s="76">
        <f t="shared" si="9"/>
        <v>1.0438732606190915E-3</v>
      </c>
      <c r="S51" s="76">
        <f t="shared" si="10"/>
        <v>0</v>
      </c>
      <c r="T51" s="76">
        <f t="shared" si="11"/>
        <v>5.4545454545454543E-2</v>
      </c>
      <c r="U51" s="77">
        <f t="shared" si="12"/>
        <v>-5.0000000000000044E-3</v>
      </c>
      <c r="V51" s="79">
        <f t="shared" si="13"/>
        <v>-5.0000000000000044E-3</v>
      </c>
    </row>
    <row r="52" spans="1:22">
      <c r="A52" s="154">
        <v>44</v>
      </c>
      <c r="B52" s="131" t="s">
        <v>277</v>
      </c>
      <c r="C52" s="132" t="s">
        <v>276</v>
      </c>
      <c r="D52" s="13">
        <v>3530468441.4986</v>
      </c>
      <c r="E52" s="3">
        <f t="shared" si="8"/>
        <v>2.5365426899890322E-3</v>
      </c>
      <c r="F52" s="8">
        <v>100</v>
      </c>
      <c r="G52" s="8">
        <v>100</v>
      </c>
      <c r="H52" s="58">
        <v>64</v>
      </c>
      <c r="I52" s="5">
        <v>0.22620000000000001</v>
      </c>
      <c r="J52" s="5">
        <v>0.22620000000000001</v>
      </c>
      <c r="K52" s="13">
        <v>3912009652.1186004</v>
      </c>
      <c r="L52" s="3">
        <f t="shared" si="7"/>
        <v>2.8106693631952998E-3</v>
      </c>
      <c r="M52" s="8">
        <v>100</v>
      </c>
      <c r="N52" s="8">
        <v>100</v>
      </c>
      <c r="O52" s="58">
        <v>66</v>
      </c>
      <c r="P52" s="5">
        <v>0.216</v>
      </c>
      <c r="Q52" s="5">
        <v>0.216</v>
      </c>
      <c r="R52" s="76">
        <f t="shared" si="9"/>
        <v>0.10807098744608666</v>
      </c>
      <c r="S52" s="76">
        <f t="shared" si="10"/>
        <v>0</v>
      </c>
      <c r="T52" s="76">
        <f t="shared" si="11"/>
        <v>3.125E-2</v>
      </c>
      <c r="U52" s="77">
        <f t="shared" si="12"/>
        <v>-1.0200000000000015E-2</v>
      </c>
      <c r="V52" s="79">
        <f t="shared" si="13"/>
        <v>-1.0200000000000015E-2</v>
      </c>
    </row>
    <row r="53" spans="1:22">
      <c r="A53" s="155">
        <v>45</v>
      </c>
      <c r="B53" s="131" t="s">
        <v>273</v>
      </c>
      <c r="C53" s="132" t="s">
        <v>107</v>
      </c>
      <c r="D53" s="13">
        <v>55265383.049999997</v>
      </c>
      <c r="E53" s="3">
        <f t="shared" si="8"/>
        <v>3.9706629788033711E-5</v>
      </c>
      <c r="F53" s="8">
        <v>1000</v>
      </c>
      <c r="G53" s="8">
        <v>1000</v>
      </c>
      <c r="H53" s="58">
        <v>16</v>
      </c>
      <c r="I53" s="5">
        <v>2.3199999999999998E-2</v>
      </c>
      <c r="J53" s="5">
        <v>2.3199999999999998E-2</v>
      </c>
      <c r="K53" s="13">
        <v>55480148.479999997</v>
      </c>
      <c r="L53" s="3">
        <f t="shared" si="7"/>
        <v>3.9860932734103273E-5</v>
      </c>
      <c r="M53" s="8">
        <v>1000</v>
      </c>
      <c r="N53" s="8">
        <v>1000</v>
      </c>
      <c r="O53" s="58">
        <v>17</v>
      </c>
      <c r="P53" s="5">
        <v>2.23E-2</v>
      </c>
      <c r="Q53" s="5">
        <v>2.23E-2</v>
      </c>
      <c r="R53" s="76">
        <f t="shared" si="9"/>
        <v>3.8860751187718349E-3</v>
      </c>
      <c r="S53" s="76">
        <f t="shared" si="10"/>
        <v>0</v>
      </c>
      <c r="T53" s="76">
        <f t="shared" si="11"/>
        <v>6.25E-2</v>
      </c>
      <c r="U53" s="77">
        <f t="shared" si="12"/>
        <v>-8.9999999999999802E-4</v>
      </c>
      <c r="V53" s="79">
        <f t="shared" si="13"/>
        <v>-8.9999999999999802E-4</v>
      </c>
    </row>
    <row r="54" spans="1:22">
      <c r="A54" s="159">
        <v>46</v>
      </c>
      <c r="B54" s="131" t="s">
        <v>81</v>
      </c>
      <c r="C54" s="132" t="s">
        <v>41</v>
      </c>
      <c r="D54" s="9">
        <v>622815514227.81995</v>
      </c>
      <c r="E54" s="3">
        <f t="shared" si="8"/>
        <v>0.44747550247347634</v>
      </c>
      <c r="F54" s="8">
        <v>100</v>
      </c>
      <c r="G54" s="8">
        <v>100</v>
      </c>
      <c r="H54" s="58">
        <v>134957</v>
      </c>
      <c r="I54" s="5">
        <v>0.21060000000000001</v>
      </c>
      <c r="J54" s="5">
        <v>0.21060000000000001</v>
      </c>
      <c r="K54" s="9">
        <v>637154941870.14001</v>
      </c>
      <c r="L54" s="3">
        <f t="shared" si="7"/>
        <v>0.45777797960008515</v>
      </c>
      <c r="M54" s="8">
        <v>100</v>
      </c>
      <c r="N54" s="8">
        <v>100</v>
      </c>
      <c r="O54" s="58">
        <v>135859</v>
      </c>
      <c r="P54" s="5">
        <v>0.2084</v>
      </c>
      <c r="Q54" s="5">
        <v>0.2084</v>
      </c>
      <c r="R54" s="76">
        <f t="shared" si="9"/>
        <v>2.3023555635248424E-2</v>
      </c>
      <c r="S54" s="76">
        <f t="shared" si="10"/>
        <v>0</v>
      </c>
      <c r="T54" s="76">
        <f t="shared" si="11"/>
        <v>6.6836103351437864E-3</v>
      </c>
      <c r="U54" s="77">
        <f t="shared" si="12"/>
        <v>-2.2000000000000075E-3</v>
      </c>
      <c r="V54" s="79">
        <f t="shared" si="13"/>
        <v>-2.2000000000000075E-3</v>
      </c>
    </row>
    <row r="55" spans="1:22">
      <c r="A55" s="159">
        <v>47</v>
      </c>
      <c r="B55" s="131" t="s">
        <v>271</v>
      </c>
      <c r="C55" s="131" t="s">
        <v>270</v>
      </c>
      <c r="D55" s="9">
        <v>1323480770.99</v>
      </c>
      <c r="E55" s="3">
        <f t="shared" si="8"/>
        <v>9.5088386445701771E-4</v>
      </c>
      <c r="F55" s="8">
        <v>100</v>
      </c>
      <c r="G55" s="8">
        <v>100</v>
      </c>
      <c r="H55" s="58">
        <v>205</v>
      </c>
      <c r="I55" s="5">
        <v>0.21479999999999999</v>
      </c>
      <c r="J55" s="5">
        <v>0.21479999999999999</v>
      </c>
      <c r="K55" s="9">
        <v>1493998439.02</v>
      </c>
      <c r="L55" s="3">
        <f t="shared" si="7"/>
        <v>1.0733960328909256E-3</v>
      </c>
      <c r="M55" s="8">
        <v>100</v>
      </c>
      <c r="N55" s="8">
        <v>100</v>
      </c>
      <c r="O55" s="58">
        <v>218</v>
      </c>
      <c r="P55" s="5">
        <v>0.2155</v>
      </c>
      <c r="Q55" s="5">
        <v>0.2155</v>
      </c>
      <c r="R55" s="76">
        <f t="shared" si="9"/>
        <v>0.12884030638574981</v>
      </c>
      <c r="S55" s="76">
        <f t="shared" si="10"/>
        <v>0</v>
      </c>
      <c r="T55" s="76">
        <f t="shared" si="11"/>
        <v>6.3414634146341464E-2</v>
      </c>
      <c r="U55" s="77">
        <f t="shared" si="12"/>
        <v>7.0000000000000617E-4</v>
      </c>
      <c r="V55" s="79">
        <f t="shared" si="13"/>
        <v>7.0000000000000617E-4</v>
      </c>
    </row>
    <row r="56" spans="1:22">
      <c r="A56" s="155">
        <v>48</v>
      </c>
      <c r="B56" s="131" t="s">
        <v>82</v>
      </c>
      <c r="C56" s="132" t="s">
        <v>83</v>
      </c>
      <c r="D56" s="9">
        <v>4028953051.48</v>
      </c>
      <c r="E56" s="3">
        <f t="shared" si="8"/>
        <v>2.8946899201576256E-3</v>
      </c>
      <c r="F56" s="8">
        <v>1</v>
      </c>
      <c r="G56" s="8">
        <v>1</v>
      </c>
      <c r="H56" s="58">
        <v>383</v>
      </c>
      <c r="I56" s="5">
        <v>0.18589782639999999</v>
      </c>
      <c r="J56" s="5">
        <v>0.18589782639999999</v>
      </c>
      <c r="K56" s="9">
        <v>4141606743.2600002</v>
      </c>
      <c r="L56" s="3">
        <f t="shared" si="7"/>
        <v>2.975628442373545E-3</v>
      </c>
      <c r="M56" s="8">
        <v>1</v>
      </c>
      <c r="N56" s="8">
        <v>1</v>
      </c>
      <c r="O56" s="58">
        <v>389</v>
      </c>
      <c r="P56" s="5">
        <v>0.19330372910000002</v>
      </c>
      <c r="Q56" s="5">
        <v>0.19330372910000002</v>
      </c>
      <c r="R56" s="76">
        <f t="shared" si="9"/>
        <v>2.7961033633444272E-2</v>
      </c>
      <c r="S56" s="76">
        <f t="shared" si="10"/>
        <v>0</v>
      </c>
      <c r="T56" s="76">
        <f t="shared" si="11"/>
        <v>1.5665796344647518E-2</v>
      </c>
      <c r="U56" s="77">
        <f t="shared" si="12"/>
        <v>7.4059027000000222E-3</v>
      </c>
      <c r="V56" s="79">
        <f t="shared" si="13"/>
        <v>7.4059027000000222E-3</v>
      </c>
    </row>
    <row r="57" spans="1:22">
      <c r="A57" s="156">
        <v>49</v>
      </c>
      <c r="B57" s="131" t="s">
        <v>84</v>
      </c>
      <c r="C57" s="132" t="s">
        <v>44</v>
      </c>
      <c r="D57" s="9">
        <v>56673277692.440002</v>
      </c>
      <c r="E57" s="3">
        <f t="shared" si="8"/>
        <v>4.0718162654771371E-2</v>
      </c>
      <c r="F57" s="8">
        <v>1</v>
      </c>
      <c r="G57" s="8">
        <v>1</v>
      </c>
      <c r="H57" s="58">
        <v>32788</v>
      </c>
      <c r="I57" s="5">
        <v>0.22339999999999999</v>
      </c>
      <c r="J57" s="5">
        <v>0.22339999999999999</v>
      </c>
      <c r="K57" s="9">
        <v>57647899275.660004</v>
      </c>
      <c r="L57" s="3">
        <f t="shared" si="7"/>
        <v>4.1418400964045948E-2</v>
      </c>
      <c r="M57" s="8">
        <v>1</v>
      </c>
      <c r="N57" s="8">
        <v>1</v>
      </c>
      <c r="O57" s="58">
        <v>33293</v>
      </c>
      <c r="P57" s="5">
        <v>0.2155</v>
      </c>
      <c r="Q57" s="5">
        <v>0.2155</v>
      </c>
      <c r="R57" s="76">
        <f t="shared" si="9"/>
        <v>1.7197198095885179E-2</v>
      </c>
      <c r="S57" s="76">
        <f t="shared" si="10"/>
        <v>0</v>
      </c>
      <c r="T57" s="76">
        <f t="shared" si="11"/>
        <v>1.5401976332804684E-2</v>
      </c>
      <c r="U57" s="77">
        <f t="shared" si="12"/>
        <v>-7.8999999999999904E-3</v>
      </c>
      <c r="V57" s="79">
        <f t="shared" si="13"/>
        <v>-7.8999999999999904E-3</v>
      </c>
    </row>
    <row r="58" spans="1:22">
      <c r="A58" s="155">
        <v>50</v>
      </c>
      <c r="B58" s="131" t="s">
        <v>85</v>
      </c>
      <c r="C58" s="132" t="s">
        <v>86</v>
      </c>
      <c r="D58" s="9">
        <v>1268735347.4200001</v>
      </c>
      <c r="E58" s="3">
        <f t="shared" si="8"/>
        <v>9.115508109917693E-4</v>
      </c>
      <c r="F58" s="8">
        <v>1</v>
      </c>
      <c r="G58" s="8">
        <v>1</v>
      </c>
      <c r="H58" s="58">
        <v>115</v>
      </c>
      <c r="I58" s="5">
        <v>0.21990000000000001</v>
      </c>
      <c r="J58" s="5">
        <v>0.21990000000000001</v>
      </c>
      <c r="K58" s="9">
        <v>1294252707.72</v>
      </c>
      <c r="L58" s="3">
        <f t="shared" si="7"/>
        <v>9.2988431964913785E-4</v>
      </c>
      <c r="M58" s="8">
        <v>1</v>
      </c>
      <c r="N58" s="8">
        <v>1</v>
      </c>
      <c r="O58" s="58">
        <v>120</v>
      </c>
      <c r="P58" s="5">
        <v>0.21640000000000001</v>
      </c>
      <c r="Q58" s="5">
        <v>0.21640000000000001</v>
      </c>
      <c r="R58" s="76">
        <f t="shared" si="9"/>
        <v>2.0112437437713106E-2</v>
      </c>
      <c r="S58" s="76">
        <f t="shared" si="10"/>
        <v>0</v>
      </c>
      <c r="T58" s="76">
        <f t="shared" si="11"/>
        <v>4.3478260869565216E-2</v>
      </c>
      <c r="U58" s="77">
        <f t="shared" si="12"/>
        <v>-3.5000000000000031E-3</v>
      </c>
      <c r="V58" s="79">
        <f t="shared" si="13"/>
        <v>-3.5000000000000031E-3</v>
      </c>
    </row>
    <row r="59" spans="1:22">
      <c r="A59" s="155">
        <v>51</v>
      </c>
      <c r="B59" s="131" t="s">
        <v>87</v>
      </c>
      <c r="C59" s="132" t="s">
        <v>88</v>
      </c>
      <c r="D59" s="9">
        <v>2253460106.98</v>
      </c>
      <c r="E59" s="3">
        <f t="shared" si="8"/>
        <v>1.6190479694858048E-3</v>
      </c>
      <c r="F59" s="8">
        <v>1</v>
      </c>
      <c r="G59" s="8">
        <v>1</v>
      </c>
      <c r="H59" s="58">
        <v>313</v>
      </c>
      <c r="I59" s="5">
        <v>0.19539999999999999</v>
      </c>
      <c r="J59" s="5">
        <v>0.19539999999999999</v>
      </c>
      <c r="K59" s="9">
        <v>2578233589.9400001</v>
      </c>
      <c r="L59" s="3">
        <f t="shared" si="7"/>
        <v>1.852388620381067E-3</v>
      </c>
      <c r="M59" s="8">
        <v>1</v>
      </c>
      <c r="N59" s="8">
        <v>1</v>
      </c>
      <c r="O59" s="58">
        <v>316</v>
      </c>
      <c r="P59" s="5">
        <v>0.20119999999999999</v>
      </c>
      <c r="Q59" s="5">
        <v>0.20119999999999999</v>
      </c>
      <c r="R59" s="76">
        <f t="shared" si="9"/>
        <v>0.14412213553460632</v>
      </c>
      <c r="S59" s="76">
        <f t="shared" si="10"/>
        <v>0</v>
      </c>
      <c r="T59" s="76">
        <f t="shared" si="11"/>
        <v>9.5846645367412137E-3</v>
      </c>
      <c r="U59" s="77">
        <f t="shared" si="12"/>
        <v>5.7999999999999996E-3</v>
      </c>
      <c r="V59" s="79">
        <f t="shared" si="13"/>
        <v>5.7999999999999996E-3</v>
      </c>
    </row>
    <row r="60" spans="1:22">
      <c r="A60" s="155">
        <v>52</v>
      </c>
      <c r="B60" s="131" t="s">
        <v>257</v>
      </c>
      <c r="C60" s="132" t="s">
        <v>258</v>
      </c>
      <c r="D60" s="9">
        <v>1966110371.99</v>
      </c>
      <c r="E60" s="3">
        <f t="shared" si="8"/>
        <v>1.4125952333016569E-3</v>
      </c>
      <c r="F60" s="8">
        <v>1</v>
      </c>
      <c r="G60" s="8">
        <v>1</v>
      </c>
      <c r="H60" s="58">
        <v>1237</v>
      </c>
      <c r="I60" s="5">
        <v>0.22770000000000001</v>
      </c>
      <c r="J60" s="5">
        <v>0.22770000000000001</v>
      </c>
      <c r="K60" s="9">
        <v>2342767213.8899999</v>
      </c>
      <c r="L60" s="3">
        <f t="shared" si="7"/>
        <v>1.6832126243893539E-3</v>
      </c>
      <c r="M60" s="8">
        <v>1</v>
      </c>
      <c r="N60" s="8">
        <v>1</v>
      </c>
      <c r="O60" s="58">
        <v>1281</v>
      </c>
      <c r="P60" s="5">
        <v>0.2288</v>
      </c>
      <c r="Q60" s="5">
        <v>0.2288</v>
      </c>
      <c r="R60" s="76">
        <f t="shared" si="9"/>
        <v>0.19157461720664562</v>
      </c>
      <c r="S60" s="76">
        <f t="shared" si="10"/>
        <v>0</v>
      </c>
      <c r="T60" s="76">
        <f t="shared" si="11"/>
        <v>3.5569927243330642E-2</v>
      </c>
      <c r="U60" s="77">
        <f t="shared" si="12"/>
        <v>1.0999999999999899E-3</v>
      </c>
      <c r="V60" s="79">
        <f t="shared" si="13"/>
        <v>1.0999999999999899E-3</v>
      </c>
    </row>
    <row r="61" spans="1:22">
      <c r="A61" s="158">
        <v>53</v>
      </c>
      <c r="B61" s="131" t="s">
        <v>89</v>
      </c>
      <c r="C61" s="132" t="s">
        <v>90</v>
      </c>
      <c r="D61" s="9">
        <v>40962710663.32</v>
      </c>
      <c r="E61" s="3">
        <f t="shared" si="8"/>
        <v>2.9430560283120813E-2</v>
      </c>
      <c r="F61" s="8">
        <v>1</v>
      </c>
      <c r="G61" s="8">
        <v>1</v>
      </c>
      <c r="H61" s="58">
        <v>3921</v>
      </c>
      <c r="I61" s="5">
        <v>0.21540000000000001</v>
      </c>
      <c r="J61" s="5">
        <v>0.21540000000000001</v>
      </c>
      <c r="K61" s="9">
        <v>40779042209.309998</v>
      </c>
      <c r="L61" s="3">
        <f t="shared" si="7"/>
        <v>2.9298599643301892E-2</v>
      </c>
      <c r="M61" s="8">
        <v>1</v>
      </c>
      <c r="N61" s="8">
        <v>1</v>
      </c>
      <c r="O61" s="58">
        <v>3945</v>
      </c>
      <c r="P61" s="5">
        <v>0.21920000000000001</v>
      </c>
      <c r="Q61" s="5">
        <v>0.21920000000000001</v>
      </c>
      <c r="R61" s="76">
        <f t="shared" si="9"/>
        <v>-4.4837963854395943E-3</v>
      </c>
      <c r="S61" s="76">
        <f t="shared" si="10"/>
        <v>0</v>
      </c>
      <c r="T61" s="76">
        <f t="shared" si="11"/>
        <v>6.1208875286916601E-3</v>
      </c>
      <c r="U61" s="77">
        <f t="shared" si="12"/>
        <v>3.7999999999999978E-3</v>
      </c>
      <c r="V61" s="79">
        <f t="shared" si="13"/>
        <v>3.7999999999999978E-3</v>
      </c>
    </row>
    <row r="62" spans="1:22">
      <c r="A62" s="71"/>
      <c r="B62" s="129"/>
      <c r="C62" s="68" t="s">
        <v>45</v>
      </c>
      <c r="D62" s="57">
        <f>SUM(D26:D61)</f>
        <v>1367483009916.4885</v>
      </c>
      <c r="E62" s="96">
        <f>(D62/$D$205)</f>
        <v>0.3952279401843744</v>
      </c>
      <c r="F62" s="30"/>
      <c r="G62" s="11"/>
      <c r="H62" s="63">
        <f>SUM(H26:H61)</f>
        <v>324439</v>
      </c>
      <c r="I62" s="32"/>
      <c r="J62" s="32"/>
      <c r="K62" s="57">
        <f>SUM(K26:K61)</f>
        <v>1391842705992.0151</v>
      </c>
      <c r="L62" s="96">
        <f>(K62/$K$205)</f>
        <v>0.3955967112495351</v>
      </c>
      <c r="M62" s="30"/>
      <c r="N62" s="11"/>
      <c r="O62" s="63">
        <f>SUM(O26:O61)</f>
        <v>327171</v>
      </c>
      <c r="P62" s="32"/>
      <c r="Q62" s="32"/>
      <c r="R62" s="76">
        <f t="shared" si="9"/>
        <v>1.7813527406833556E-2</v>
      </c>
      <c r="S62" s="76" t="e">
        <f t="shared" si="10"/>
        <v>#DIV/0!</v>
      </c>
      <c r="T62" s="76">
        <f t="shared" si="11"/>
        <v>8.4206892512922304E-3</v>
      </c>
      <c r="U62" s="77">
        <f t="shared" si="12"/>
        <v>0</v>
      </c>
      <c r="V62" s="79">
        <f t="shared" si="13"/>
        <v>0</v>
      </c>
    </row>
    <row r="63" spans="1:22" ht="9" customHeight="1">
      <c r="A63" s="161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</row>
    <row r="64" spans="1:22" ht="15" customHeight="1">
      <c r="A64" s="168" t="s">
        <v>91</v>
      </c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</row>
    <row r="65" spans="1:22">
      <c r="A65" s="156">
        <v>54</v>
      </c>
      <c r="B65" s="131" t="s">
        <v>92</v>
      </c>
      <c r="C65" s="132" t="s">
        <v>18</v>
      </c>
      <c r="D65" s="2">
        <v>483258637.76999998</v>
      </c>
      <c r="E65" s="3">
        <f>(D65/$D$101)</f>
        <v>2.2420544630189459E-3</v>
      </c>
      <c r="F65" s="14">
        <v>1.2999000000000001</v>
      </c>
      <c r="G65" s="14">
        <v>1.2999000000000001</v>
      </c>
      <c r="H65" s="58">
        <v>460</v>
      </c>
      <c r="I65" s="5">
        <v>-5.4320000000000002E-3</v>
      </c>
      <c r="J65" s="5">
        <v>1.55E-2</v>
      </c>
      <c r="K65" s="2">
        <v>496573336.56</v>
      </c>
      <c r="L65" s="3">
        <f t="shared" ref="L65:L86" si="16">(K65/$K$101)</f>
        <v>2.3094707107264465E-3</v>
      </c>
      <c r="M65" s="14">
        <v>1.2951999999999999</v>
      </c>
      <c r="N65" s="14">
        <v>1.2951999999999999</v>
      </c>
      <c r="O65" s="58">
        <v>460</v>
      </c>
      <c r="P65" s="5">
        <v>-1.619E-3</v>
      </c>
      <c r="Q65" s="5">
        <v>1.18E-2</v>
      </c>
      <c r="R65" s="76">
        <f>((K65-D65)/D65)</f>
        <v>2.7551910611346302E-2</v>
      </c>
      <c r="S65" s="76">
        <f>((N65-G65)/G65)</f>
        <v>-3.6156627432880595E-3</v>
      </c>
      <c r="T65" s="76">
        <f>((O65-H65)/H65)</f>
        <v>0</v>
      </c>
      <c r="U65" s="77">
        <f>P65-I65</f>
        <v>3.8130000000000004E-3</v>
      </c>
      <c r="V65" s="79">
        <f>Q65-J65</f>
        <v>-3.7000000000000002E-3</v>
      </c>
    </row>
    <row r="66" spans="1:22">
      <c r="A66" s="159">
        <v>55</v>
      </c>
      <c r="B66" s="131" t="s">
        <v>93</v>
      </c>
      <c r="C66" s="132" t="s">
        <v>20</v>
      </c>
      <c r="D66" s="2">
        <v>1415049796.48</v>
      </c>
      <c r="E66" s="3">
        <f>(D66/$D$101)</f>
        <v>6.565053293681628E-3</v>
      </c>
      <c r="F66" s="14">
        <v>1.1862999999999999</v>
      </c>
      <c r="G66" s="14">
        <v>1.1862999999999999</v>
      </c>
      <c r="H66" s="58">
        <v>727</v>
      </c>
      <c r="I66" s="5">
        <v>0.12809999999999999</v>
      </c>
      <c r="J66" s="5">
        <v>3.2000000000000001E-2</v>
      </c>
      <c r="K66" s="2">
        <v>1424672263.54</v>
      </c>
      <c r="L66" s="3">
        <f t="shared" si="16"/>
        <v>6.6258871002277944E-3</v>
      </c>
      <c r="M66" s="14">
        <v>1.1974</v>
      </c>
      <c r="N66" s="14">
        <v>1.1974</v>
      </c>
      <c r="O66" s="58">
        <v>739</v>
      </c>
      <c r="P66" s="5">
        <v>0.1182</v>
      </c>
      <c r="Q66" s="5">
        <v>4.3299999999999998E-2</v>
      </c>
      <c r="R66" s="76">
        <f t="shared" ref="R66:R101" si="17">((K66-D66)/D66)</f>
        <v>6.8000907699052445E-3</v>
      </c>
      <c r="S66" s="76">
        <f t="shared" ref="S66:S101" si="18">((N66-G66)/G66)</f>
        <v>9.3568237376718457E-3</v>
      </c>
      <c r="T66" s="76">
        <f t="shared" ref="T66:T101" si="19">((O66-H66)/H66)</f>
        <v>1.6506189821182942E-2</v>
      </c>
      <c r="U66" s="77">
        <f t="shared" ref="U66:U101" si="20">P66-I66</f>
        <v>-9.8999999999999921E-3</v>
      </c>
      <c r="V66" s="79">
        <f t="shared" ref="V66:V101" si="21">Q66-J66</f>
        <v>1.1299999999999998E-2</v>
      </c>
    </row>
    <row r="67" spans="1:22">
      <c r="A67" s="159">
        <v>56</v>
      </c>
      <c r="B67" s="131" t="s">
        <v>94</v>
      </c>
      <c r="C67" s="132" t="s">
        <v>20</v>
      </c>
      <c r="D67" s="2">
        <v>853031169.08000004</v>
      </c>
      <c r="E67" s="3">
        <f>(D67/$D$101)</f>
        <v>3.9575957680870882E-3</v>
      </c>
      <c r="F67" s="14">
        <v>1.0801000000000001</v>
      </c>
      <c r="G67" s="14">
        <v>1.0801000000000001</v>
      </c>
      <c r="H67" s="58">
        <v>183</v>
      </c>
      <c r="I67" s="5">
        <v>0.1116</v>
      </c>
      <c r="J67" s="5">
        <v>1.32E-2</v>
      </c>
      <c r="K67" s="2">
        <v>832050645.75</v>
      </c>
      <c r="L67" s="3">
        <f t="shared" si="16"/>
        <v>3.8697136046660623E-3</v>
      </c>
      <c r="M67" s="14">
        <v>1.0847</v>
      </c>
      <c r="N67" s="14">
        <v>1.0847</v>
      </c>
      <c r="O67" s="58">
        <v>185</v>
      </c>
      <c r="P67" s="5">
        <v>0.1111</v>
      </c>
      <c r="Q67" s="5">
        <v>1.83E-2</v>
      </c>
      <c r="R67" s="76">
        <f t="shared" si="17"/>
        <v>-2.4595259927755842E-2</v>
      </c>
      <c r="S67" s="76">
        <f t="shared" si="18"/>
        <v>4.2588649199147644E-3</v>
      </c>
      <c r="T67" s="76">
        <f t="shared" si="19"/>
        <v>1.092896174863388E-2</v>
      </c>
      <c r="U67" s="77">
        <f t="shared" si="20"/>
        <v>-5.0000000000000044E-4</v>
      </c>
      <c r="V67" s="79">
        <f t="shared" si="21"/>
        <v>5.1000000000000004E-3</v>
      </c>
    </row>
    <row r="68" spans="1:22">
      <c r="A68" s="159">
        <v>57</v>
      </c>
      <c r="B68" s="131" t="s">
        <v>95</v>
      </c>
      <c r="C68" s="132" t="s">
        <v>96</v>
      </c>
      <c r="D68" s="2">
        <v>269695203.33999997</v>
      </c>
      <c r="E68" s="3">
        <f>(D68/$D$101)</f>
        <v>1.2512375093666379E-3</v>
      </c>
      <c r="F68" s="7">
        <v>1083.3699999999999</v>
      </c>
      <c r="G68" s="7">
        <v>1083.3699999999999</v>
      </c>
      <c r="H68" s="58">
        <v>110</v>
      </c>
      <c r="I68" s="5">
        <v>2.313E-3</v>
      </c>
      <c r="J68" s="5">
        <v>4.8379999999999999E-2</v>
      </c>
      <c r="K68" s="2">
        <v>269840642.75999999</v>
      </c>
      <c r="L68" s="3">
        <f t="shared" si="16"/>
        <v>1.2549789026832286E-3</v>
      </c>
      <c r="M68" s="7">
        <v>1089.08</v>
      </c>
      <c r="N68" s="7">
        <v>1089.08</v>
      </c>
      <c r="O68" s="58">
        <v>110</v>
      </c>
      <c r="P68" s="5">
        <v>5.2709999999999996E-3</v>
      </c>
      <c r="Q68" s="5">
        <v>5.3490999999999997E-2</v>
      </c>
      <c r="R68" s="76">
        <f t="shared" si="17"/>
        <v>5.3927329147439003E-4</v>
      </c>
      <c r="S68" s="76">
        <f t="shared" si="18"/>
        <v>5.2705908415407818E-3</v>
      </c>
      <c r="T68" s="76">
        <f t="shared" si="19"/>
        <v>0</v>
      </c>
      <c r="U68" s="77">
        <f t="shared" si="20"/>
        <v>2.9579999999999997E-3</v>
      </c>
      <c r="V68" s="79">
        <f t="shared" si="21"/>
        <v>5.1109999999999975E-3</v>
      </c>
    </row>
    <row r="69" spans="1:22" ht="15" customHeight="1">
      <c r="A69" s="158">
        <v>58</v>
      </c>
      <c r="B69" s="131" t="s">
        <v>97</v>
      </c>
      <c r="C69" s="132" t="s">
        <v>98</v>
      </c>
      <c r="D69" s="2">
        <v>1618158841.01</v>
      </c>
      <c r="E69" s="3">
        <f>(D69/$K$101)</f>
        <v>7.5257573725247776E-3</v>
      </c>
      <c r="F69" s="7">
        <v>1.0582</v>
      </c>
      <c r="G69" s="7">
        <v>1.0582</v>
      </c>
      <c r="H69" s="58">
        <v>884</v>
      </c>
      <c r="I69" s="5">
        <v>8.9999999999999993E-3</v>
      </c>
      <c r="J69" s="5">
        <v>8.1600000000000006E-2</v>
      </c>
      <c r="K69" s="2">
        <v>1606491623.5899999</v>
      </c>
      <c r="L69" s="3">
        <f t="shared" si="16"/>
        <v>7.4714953030108784E-3</v>
      </c>
      <c r="M69" s="7">
        <v>1.0613999999999999</v>
      </c>
      <c r="N69" s="7">
        <v>1.0613999999999999</v>
      </c>
      <c r="O69" s="58">
        <v>887</v>
      </c>
      <c r="P69" s="5">
        <v>3.0000000000000001E-3</v>
      </c>
      <c r="Q69" s="5">
        <v>8.4699999999999998E-2</v>
      </c>
      <c r="R69" s="76">
        <f t="shared" si="17"/>
        <v>-7.2101805609626028E-3</v>
      </c>
      <c r="S69" s="76">
        <f t="shared" si="18"/>
        <v>3.0240030240029007E-3</v>
      </c>
      <c r="T69" s="76">
        <f t="shared" si="19"/>
        <v>3.3936651583710408E-3</v>
      </c>
      <c r="U69" s="77">
        <f t="shared" si="20"/>
        <v>-5.9999999999999993E-3</v>
      </c>
      <c r="V69" s="79">
        <v>7.87</v>
      </c>
    </row>
    <row r="70" spans="1:22">
      <c r="A70" s="159">
        <v>59</v>
      </c>
      <c r="B70" s="131" t="s">
        <v>99</v>
      </c>
      <c r="C70" s="132" t="s">
        <v>100</v>
      </c>
      <c r="D70" s="2">
        <v>426101662.68951708</v>
      </c>
      <c r="E70" s="3">
        <f t="shared" ref="E70:E86" si="22">(D70/$D$101)</f>
        <v>1.9768775141635587E-3</v>
      </c>
      <c r="F70" s="7">
        <v>2.4335</v>
      </c>
      <c r="G70" s="7">
        <v>2.4335</v>
      </c>
      <c r="H70" s="58">
        <v>1392</v>
      </c>
      <c r="I70" s="5">
        <v>0.11840000000000001</v>
      </c>
      <c r="J70" s="5">
        <v>0.1217</v>
      </c>
      <c r="K70" s="2">
        <v>427154768.77487314</v>
      </c>
      <c r="L70" s="3">
        <f t="shared" si="16"/>
        <v>1.9866177960070558E-3</v>
      </c>
      <c r="M70" s="7">
        <v>2.4394999999999998</v>
      </c>
      <c r="N70" s="7">
        <v>2.4394999999999998</v>
      </c>
      <c r="O70" s="58">
        <v>1392</v>
      </c>
      <c r="P70" s="5">
        <v>0.12889999999999999</v>
      </c>
      <c r="Q70" s="5">
        <v>0.1222</v>
      </c>
      <c r="R70" s="76">
        <f t="shared" si="17"/>
        <v>2.4714902042600388E-3</v>
      </c>
      <c r="S70" s="76">
        <f t="shared" si="18"/>
        <v>2.4655845490034038E-3</v>
      </c>
      <c r="T70" s="76">
        <f t="shared" si="19"/>
        <v>0</v>
      </c>
      <c r="U70" s="77">
        <f t="shared" si="20"/>
        <v>1.0499999999999982E-2</v>
      </c>
      <c r="V70" s="79">
        <f t="shared" si="21"/>
        <v>5.0000000000000044E-4</v>
      </c>
    </row>
    <row r="71" spans="1:22">
      <c r="A71" s="159">
        <v>60</v>
      </c>
      <c r="B71" s="131" t="s">
        <v>268</v>
      </c>
      <c r="C71" s="132" t="s">
        <v>266</v>
      </c>
      <c r="D71" s="2">
        <v>136585825.78</v>
      </c>
      <c r="E71" s="3">
        <f t="shared" si="22"/>
        <v>6.3368315916357057E-4</v>
      </c>
      <c r="F71" s="7">
        <v>10.96</v>
      </c>
      <c r="G71" s="7">
        <v>10.99</v>
      </c>
      <c r="H71" s="58">
        <v>29</v>
      </c>
      <c r="I71" s="5">
        <v>-0.16900000000000001</v>
      </c>
      <c r="J71" s="5">
        <v>6.2E-2</v>
      </c>
      <c r="K71" s="2">
        <v>137285312.38</v>
      </c>
      <c r="L71" s="3">
        <f t="shared" si="16"/>
        <v>6.3848858690428601E-4</v>
      </c>
      <c r="M71" s="7">
        <v>11.02</v>
      </c>
      <c r="N71" s="7">
        <v>11.06</v>
      </c>
      <c r="O71" s="58">
        <v>29</v>
      </c>
      <c r="P71" s="5">
        <v>0.60499999999999998</v>
      </c>
      <c r="Q71" s="5">
        <v>7.0000000000000007E-2</v>
      </c>
      <c r="R71" s="76">
        <f>((K71-D71)/D71)</f>
        <v>5.1212239337825819E-3</v>
      </c>
      <c r="S71" s="76">
        <f>((N71-G71)/G71)</f>
        <v>6.3694267515923822E-3</v>
      </c>
      <c r="T71" s="76">
        <f>((O71-H71)/H71)</f>
        <v>0</v>
      </c>
      <c r="U71" s="77">
        <f>P71-I71</f>
        <v>0.77400000000000002</v>
      </c>
      <c r="V71" s="79">
        <f>Q71-J71</f>
        <v>8.0000000000000071E-3</v>
      </c>
    </row>
    <row r="72" spans="1:22">
      <c r="A72" s="156">
        <v>61</v>
      </c>
      <c r="B72" s="131" t="s">
        <v>101</v>
      </c>
      <c r="C72" s="132" t="s">
        <v>55</v>
      </c>
      <c r="D72" s="2">
        <v>2304383642.0714002</v>
      </c>
      <c r="E72" s="3">
        <f t="shared" si="22"/>
        <v>1.0691073527532027E-2</v>
      </c>
      <c r="F72" s="2">
        <v>4280.4163498989801</v>
      </c>
      <c r="G72" s="2">
        <v>4280.4163498989801</v>
      </c>
      <c r="H72" s="58">
        <v>1038</v>
      </c>
      <c r="I72" s="5">
        <v>8.1297564201990177E-2</v>
      </c>
      <c r="J72" s="5">
        <v>9.7678045478774164E-2</v>
      </c>
      <c r="K72" s="2">
        <v>2114210198.6217599</v>
      </c>
      <c r="L72" s="3">
        <f t="shared" si="16"/>
        <v>9.8328004557412026E-3</v>
      </c>
      <c r="M72" s="2">
        <v>4288.0139492890303</v>
      </c>
      <c r="N72" s="2">
        <v>4288.0139492890303</v>
      </c>
      <c r="O72" s="58">
        <v>1038</v>
      </c>
      <c r="P72" s="5">
        <v>9.2805437250246745E-2</v>
      </c>
      <c r="Q72" s="5">
        <v>9.7721081764074763E-2</v>
      </c>
      <c r="R72" s="76">
        <f t="shared" si="17"/>
        <v>-8.2526815404180803E-2</v>
      </c>
      <c r="S72" s="76">
        <f t="shared" si="18"/>
        <v>1.7749673791030796E-3</v>
      </c>
      <c r="T72" s="76">
        <f t="shared" si="19"/>
        <v>0</v>
      </c>
      <c r="U72" s="77">
        <f t="shared" si="20"/>
        <v>1.1507873048256567E-2</v>
      </c>
      <c r="V72" s="79">
        <f t="shared" si="21"/>
        <v>4.3036285300598887E-5</v>
      </c>
    </row>
    <row r="73" spans="1:22">
      <c r="A73" s="156">
        <v>62</v>
      </c>
      <c r="B73" s="131" t="s">
        <v>102</v>
      </c>
      <c r="C73" s="132" t="s">
        <v>57</v>
      </c>
      <c r="D73" s="2">
        <v>351176987.49000001</v>
      </c>
      <c r="E73" s="3">
        <f t="shared" si="22"/>
        <v>1.6292682025194028E-3</v>
      </c>
      <c r="F73" s="14">
        <v>111.24</v>
      </c>
      <c r="G73" s="14">
        <v>111.24</v>
      </c>
      <c r="H73" s="58">
        <v>131</v>
      </c>
      <c r="I73" s="5">
        <v>2.8999999999999998E-3</v>
      </c>
      <c r="J73" s="5">
        <v>0.1162</v>
      </c>
      <c r="K73" s="2">
        <v>352572052.52999997</v>
      </c>
      <c r="L73" s="3">
        <f t="shared" si="16"/>
        <v>1.6397473822889325E-3</v>
      </c>
      <c r="M73" s="14">
        <v>111.5</v>
      </c>
      <c r="N73" s="14">
        <v>111.5</v>
      </c>
      <c r="O73" s="58">
        <v>131</v>
      </c>
      <c r="P73" s="5">
        <v>2.3E-3</v>
      </c>
      <c r="Q73" s="5">
        <v>0.1226</v>
      </c>
      <c r="R73" s="76">
        <f t="shared" si="17"/>
        <v>3.9725411678340318E-3</v>
      </c>
      <c r="S73" s="76">
        <f t="shared" si="18"/>
        <v>2.3372887450557813E-3</v>
      </c>
      <c r="T73" s="76">
        <f t="shared" si="19"/>
        <v>0</v>
      </c>
      <c r="U73" s="77">
        <f t="shared" si="20"/>
        <v>-5.9999999999999984E-4</v>
      </c>
      <c r="V73" s="79">
        <f t="shared" si="21"/>
        <v>6.4000000000000029E-3</v>
      </c>
    </row>
    <row r="74" spans="1:22" ht="13.5" customHeight="1">
      <c r="A74" s="155">
        <v>63</v>
      </c>
      <c r="B74" s="131" t="s">
        <v>103</v>
      </c>
      <c r="C74" s="132" t="s">
        <v>104</v>
      </c>
      <c r="D74" s="2">
        <v>336821932.10000002</v>
      </c>
      <c r="E74" s="3">
        <f t="shared" si="22"/>
        <v>1.5626686355617366E-3</v>
      </c>
      <c r="F74" s="14">
        <v>1.3532999999999999</v>
      </c>
      <c r="G74" s="14">
        <v>1.3532999999999999</v>
      </c>
      <c r="H74" s="58">
        <v>352</v>
      </c>
      <c r="I74" s="5">
        <v>1.0528673835125346E-2</v>
      </c>
      <c r="J74" s="5">
        <v>3.2427128028482577E-2</v>
      </c>
      <c r="K74" s="2">
        <v>344855342</v>
      </c>
      <c r="L74" s="3">
        <f t="shared" si="16"/>
        <v>1.603858389384788E-3</v>
      </c>
      <c r="M74" s="14">
        <v>1.3754</v>
      </c>
      <c r="N74" s="14">
        <v>1.3754</v>
      </c>
      <c r="O74" s="58">
        <v>353</v>
      </c>
      <c r="P74" s="5">
        <v>1.6330451488952846E-2</v>
      </c>
      <c r="Q74" s="5">
        <v>4.8564404406722939E-2</v>
      </c>
      <c r="R74" s="76">
        <f t="shared" si="17"/>
        <v>2.3850614031912014E-2</v>
      </c>
      <c r="S74" s="76">
        <f t="shared" si="18"/>
        <v>1.6330451488952936E-2</v>
      </c>
      <c r="T74" s="76">
        <f t="shared" si="19"/>
        <v>2.840909090909091E-3</v>
      </c>
      <c r="U74" s="77">
        <f t="shared" si="20"/>
        <v>5.8017776538275001E-3</v>
      </c>
      <c r="V74" s="79">
        <f t="shared" si="21"/>
        <v>1.6137276378240362E-2</v>
      </c>
    </row>
    <row r="75" spans="1:22">
      <c r="A75" s="154">
        <v>64</v>
      </c>
      <c r="B75" s="131" t="s">
        <v>105</v>
      </c>
      <c r="C75" s="132" t="s">
        <v>24</v>
      </c>
      <c r="D75" s="2">
        <v>117346765.98</v>
      </c>
      <c r="E75" s="3">
        <f t="shared" si="22"/>
        <v>5.4442449616703276E-4</v>
      </c>
      <c r="F75" s="14">
        <v>124.6812</v>
      </c>
      <c r="G75" s="14">
        <v>124.6812</v>
      </c>
      <c r="H75" s="58">
        <v>164</v>
      </c>
      <c r="I75" s="5">
        <v>4.3800000000000002E-4</v>
      </c>
      <c r="J75" s="5">
        <v>0.12039999999999999</v>
      </c>
      <c r="K75" s="2">
        <v>119975603.05</v>
      </c>
      <c r="L75" s="3">
        <f t="shared" si="16"/>
        <v>5.5798433150918575E-4</v>
      </c>
      <c r="M75" s="14">
        <v>125.52460000000001</v>
      </c>
      <c r="N75" s="14">
        <v>125.52460000000001</v>
      </c>
      <c r="O75" s="58">
        <v>168</v>
      </c>
      <c r="P75" s="5">
        <v>4.4799999999999999E-4</v>
      </c>
      <c r="Q75" s="5">
        <v>0.1205</v>
      </c>
      <c r="R75" s="76">
        <f t="shared" si="17"/>
        <v>2.2402296714747458E-2</v>
      </c>
      <c r="S75" s="76">
        <f t="shared" si="18"/>
        <v>6.7644520585300955E-3</v>
      </c>
      <c r="T75" s="76">
        <f t="shared" si="19"/>
        <v>2.4390243902439025E-2</v>
      </c>
      <c r="U75" s="77">
        <f t="shared" si="20"/>
        <v>9.999999999999972E-6</v>
      </c>
      <c r="V75" s="79">
        <f t="shared" si="21"/>
        <v>1.0000000000000286E-4</v>
      </c>
    </row>
    <row r="76" spans="1:22">
      <c r="A76" s="155">
        <v>65</v>
      </c>
      <c r="B76" s="131" t="s">
        <v>106</v>
      </c>
      <c r="C76" s="132" t="s">
        <v>107</v>
      </c>
      <c r="D76" s="2">
        <v>1527149000.0000002</v>
      </c>
      <c r="E76" s="3">
        <f t="shared" si="22"/>
        <v>7.0851319842822995E-3</v>
      </c>
      <c r="F76" s="7">
        <v>1000</v>
      </c>
      <c r="G76" s="7">
        <v>1000</v>
      </c>
      <c r="H76" s="58">
        <v>338</v>
      </c>
      <c r="I76" s="5">
        <v>0.185</v>
      </c>
      <c r="J76" s="5">
        <v>9.9000000000000008E-3</v>
      </c>
      <c r="K76" s="2">
        <v>1522520762.3600001</v>
      </c>
      <c r="L76" s="3">
        <f t="shared" si="16"/>
        <v>7.0809623639920567E-3</v>
      </c>
      <c r="M76" s="7">
        <v>1000</v>
      </c>
      <c r="N76" s="7">
        <v>1000</v>
      </c>
      <c r="O76" s="58">
        <v>340</v>
      </c>
      <c r="P76" s="5">
        <v>8.3000000000000001E-3</v>
      </c>
      <c r="Q76" s="5">
        <v>0.18360000000000001</v>
      </c>
      <c r="R76" s="76">
        <f t="shared" si="17"/>
        <v>-3.0306392107123169E-3</v>
      </c>
      <c r="S76" s="76">
        <f t="shared" si="18"/>
        <v>0</v>
      </c>
      <c r="T76" s="76">
        <f t="shared" si="19"/>
        <v>5.9171597633136093E-3</v>
      </c>
      <c r="U76" s="77">
        <f t="shared" si="20"/>
        <v>-0.1767</v>
      </c>
      <c r="V76" s="79">
        <f t="shared" si="21"/>
        <v>0.17370000000000002</v>
      </c>
    </row>
    <row r="77" spans="1:22">
      <c r="A77" s="159">
        <v>66</v>
      </c>
      <c r="B77" s="131" t="s">
        <v>108</v>
      </c>
      <c r="C77" s="132" t="s">
        <v>63</v>
      </c>
      <c r="D77" s="2">
        <v>224248163.77000001</v>
      </c>
      <c r="E77" s="3">
        <f t="shared" si="22"/>
        <v>1.0403882250804616E-3</v>
      </c>
      <c r="F77" s="7">
        <v>1053.98</v>
      </c>
      <c r="G77" s="7">
        <v>1061.02</v>
      </c>
      <c r="H77" s="58">
        <v>75</v>
      </c>
      <c r="I77" s="5">
        <v>0</v>
      </c>
      <c r="J77" s="5">
        <v>5.11E-2</v>
      </c>
      <c r="K77" s="2">
        <v>222583771.91999999</v>
      </c>
      <c r="L77" s="3">
        <f t="shared" si="16"/>
        <v>1.0351959400263608E-3</v>
      </c>
      <c r="M77" s="7">
        <v>1056.5</v>
      </c>
      <c r="N77" s="7">
        <v>1064.22</v>
      </c>
      <c r="O77" s="58">
        <v>75</v>
      </c>
      <c r="P77" s="5">
        <v>5.3E-3</v>
      </c>
      <c r="Q77" s="5">
        <v>5.6399999999999999E-2</v>
      </c>
      <c r="R77" s="76">
        <f t="shared" si="17"/>
        <v>-7.4220980097170668E-3</v>
      </c>
      <c r="S77" s="76">
        <f t="shared" si="18"/>
        <v>3.0159657687885673E-3</v>
      </c>
      <c r="T77" s="76">
        <f t="shared" si="19"/>
        <v>0</v>
      </c>
      <c r="U77" s="77">
        <f t="shared" si="20"/>
        <v>5.3E-3</v>
      </c>
      <c r="V77" s="79">
        <f t="shared" si="21"/>
        <v>5.2999999999999992E-3</v>
      </c>
    </row>
    <row r="78" spans="1:22">
      <c r="A78" s="159">
        <v>67</v>
      </c>
      <c r="B78" s="131" t="s">
        <v>109</v>
      </c>
      <c r="C78" s="132" t="s">
        <v>66</v>
      </c>
      <c r="D78" s="2">
        <v>962092988.98000002</v>
      </c>
      <c r="E78" s="3">
        <f t="shared" si="22"/>
        <v>4.4635826681456454E-3</v>
      </c>
      <c r="F78" s="15">
        <v>1.1979</v>
      </c>
      <c r="G78" s="15">
        <v>1.1979</v>
      </c>
      <c r="H78" s="58">
        <v>43</v>
      </c>
      <c r="I78" s="5">
        <v>1.6720000000000001E-3</v>
      </c>
      <c r="J78" s="5">
        <v>0.11749999999999999</v>
      </c>
      <c r="K78" s="2">
        <v>965345149.95000005</v>
      </c>
      <c r="L78" s="3">
        <f t="shared" si="16"/>
        <v>4.4896416811174801E-3</v>
      </c>
      <c r="M78" s="15">
        <v>1.1518999999999999</v>
      </c>
      <c r="N78" s="15">
        <v>1.1518999999999999</v>
      </c>
      <c r="O78" s="58">
        <v>43</v>
      </c>
      <c r="P78" s="5">
        <v>1.835E-3</v>
      </c>
      <c r="Q78" s="5">
        <v>0.118198</v>
      </c>
      <c r="R78" s="76">
        <f t="shared" si="17"/>
        <v>3.3802979621002462E-3</v>
      </c>
      <c r="S78" s="76">
        <f t="shared" si="18"/>
        <v>-3.8400534268302901E-2</v>
      </c>
      <c r="T78" s="76">
        <f t="shared" si="19"/>
        <v>0</v>
      </c>
      <c r="U78" s="77">
        <f t="shared" si="20"/>
        <v>1.6299999999999995E-4</v>
      </c>
      <c r="V78" s="79">
        <f t="shared" si="21"/>
        <v>6.9800000000000417E-4</v>
      </c>
    </row>
    <row r="79" spans="1:22">
      <c r="A79" s="155">
        <v>68</v>
      </c>
      <c r="B79" s="131" t="s">
        <v>110</v>
      </c>
      <c r="C79" s="132" t="s">
        <v>26</v>
      </c>
      <c r="D79" s="2">
        <v>30020374754.93</v>
      </c>
      <c r="E79" s="3">
        <f t="shared" si="22"/>
        <v>0.13927803859105786</v>
      </c>
      <c r="F79" s="15">
        <v>1668.74</v>
      </c>
      <c r="G79" s="15">
        <v>1668.74</v>
      </c>
      <c r="H79" s="58">
        <v>2292</v>
      </c>
      <c r="I79" s="5">
        <v>1E-3</v>
      </c>
      <c r="J79" s="5">
        <v>7.8399999999999997E-2</v>
      </c>
      <c r="K79" s="2">
        <v>29596817648.279999</v>
      </c>
      <c r="L79" s="3">
        <f t="shared" si="16"/>
        <v>0.13764932278266875</v>
      </c>
      <c r="M79" s="15">
        <v>1670.67</v>
      </c>
      <c r="N79" s="15">
        <v>1670.67</v>
      </c>
      <c r="O79" s="58">
        <v>2285</v>
      </c>
      <c r="P79" s="5">
        <v>1.1999999999999999E-3</v>
      </c>
      <c r="Q79" s="5">
        <v>7.9699999999999993E-2</v>
      </c>
      <c r="R79" s="76">
        <f t="shared" si="17"/>
        <v>-1.4108987982584868E-2</v>
      </c>
      <c r="S79" s="76">
        <f t="shared" si="18"/>
        <v>1.1565612378201899E-3</v>
      </c>
      <c r="T79" s="76">
        <f t="shared" si="19"/>
        <v>-3.0541012216404886E-3</v>
      </c>
      <c r="U79" s="77">
        <f t="shared" si="20"/>
        <v>1.9999999999999987E-4</v>
      </c>
      <c r="V79" s="79">
        <f t="shared" si="21"/>
        <v>1.2999999999999956E-3</v>
      </c>
    </row>
    <row r="80" spans="1:22">
      <c r="A80" s="156">
        <v>69</v>
      </c>
      <c r="B80" s="131" t="s">
        <v>111</v>
      </c>
      <c r="C80" s="132" t="s">
        <v>71</v>
      </c>
      <c r="D80" s="2">
        <v>23065341.16</v>
      </c>
      <c r="E80" s="3">
        <f t="shared" si="22"/>
        <v>1.0701050544583336E-4</v>
      </c>
      <c r="F80" s="14">
        <v>0.70340000000000003</v>
      </c>
      <c r="G80" s="14">
        <v>0.70340000000000003</v>
      </c>
      <c r="H80" s="58">
        <v>746</v>
      </c>
      <c r="I80" s="5">
        <v>2E-3</v>
      </c>
      <c r="J80" s="5">
        <v>-7.9799999999999996E-2</v>
      </c>
      <c r="K80" s="2">
        <v>23112770.829999998</v>
      </c>
      <c r="L80" s="3">
        <f t="shared" si="16"/>
        <v>1.0749322073028378E-4</v>
      </c>
      <c r="M80" s="14">
        <v>0.70530000000000004</v>
      </c>
      <c r="N80" s="14">
        <v>0.70489999999999997</v>
      </c>
      <c r="O80" s="58">
        <v>746</v>
      </c>
      <c r="P80" s="5">
        <v>2.0999999999999999E-3</v>
      </c>
      <c r="Q80" s="5">
        <v>-7.7799999999999994E-2</v>
      </c>
      <c r="R80" s="76">
        <f t="shared" si="17"/>
        <v>2.0563177310488159E-3</v>
      </c>
      <c r="S80" s="76">
        <f t="shared" si="18"/>
        <v>2.1324992891668267E-3</v>
      </c>
      <c r="T80" s="76">
        <f t="shared" si="19"/>
        <v>0</v>
      </c>
      <c r="U80" s="77">
        <f t="shared" si="20"/>
        <v>9.9999999999999829E-5</v>
      </c>
      <c r="V80" s="79">
        <f t="shared" si="21"/>
        <v>2.0000000000000018E-3</v>
      </c>
    </row>
    <row r="81" spans="1:22">
      <c r="A81" s="155">
        <v>70</v>
      </c>
      <c r="B81" s="131" t="s">
        <v>248</v>
      </c>
      <c r="C81" s="132" t="s">
        <v>31</v>
      </c>
      <c r="D81" s="2">
        <v>10338525424.24</v>
      </c>
      <c r="E81" s="3">
        <f t="shared" si="22"/>
        <v>4.7965075545083377E-2</v>
      </c>
      <c r="F81" s="14">
        <v>1</v>
      </c>
      <c r="G81" s="14">
        <v>1</v>
      </c>
      <c r="H81" s="58">
        <v>5242</v>
      </c>
      <c r="I81" s="5">
        <v>0.06</v>
      </c>
      <c r="J81" s="5">
        <v>0.06</v>
      </c>
      <c r="K81" s="2">
        <v>10451889436.58</v>
      </c>
      <c r="L81" s="3">
        <f t="shared" si="16"/>
        <v>4.8609803926949392E-2</v>
      </c>
      <c r="M81" s="14">
        <v>1</v>
      </c>
      <c r="N81" s="14">
        <v>1</v>
      </c>
      <c r="O81" s="58">
        <v>5242</v>
      </c>
      <c r="P81" s="5">
        <v>0.06</v>
      </c>
      <c r="Q81" s="5">
        <v>0.06</v>
      </c>
      <c r="R81" s="76">
        <f>((K81-D81)/D81)</f>
        <v>1.0965201292072433E-2</v>
      </c>
      <c r="S81" s="76">
        <f>((N81-G81)/G81)</f>
        <v>0</v>
      </c>
      <c r="T81" s="76">
        <f>((O81-H81)/H81)</f>
        <v>0</v>
      </c>
      <c r="U81" s="77">
        <f>P81-I81</f>
        <v>0</v>
      </c>
      <c r="V81" s="79">
        <f>Q81-J81</f>
        <v>0</v>
      </c>
    </row>
    <row r="82" spans="1:22">
      <c r="A82" s="155">
        <v>71</v>
      </c>
      <c r="B82" s="131" t="s">
        <v>112</v>
      </c>
      <c r="C82" s="132" t="s">
        <v>113</v>
      </c>
      <c r="D82" s="2">
        <v>1183108983.5599999</v>
      </c>
      <c r="E82" s="3">
        <f t="shared" si="22"/>
        <v>5.4889754047003107E-3</v>
      </c>
      <c r="F82" s="2">
        <v>229.66</v>
      </c>
      <c r="G82" s="2">
        <v>231.21</v>
      </c>
      <c r="H82" s="58">
        <v>488</v>
      </c>
      <c r="I82" s="5">
        <v>1.4E-3</v>
      </c>
      <c r="J82" s="5">
        <v>0.17169999999999999</v>
      </c>
      <c r="K82" s="2">
        <v>1179497473.28</v>
      </c>
      <c r="L82" s="3">
        <f t="shared" si="16"/>
        <v>5.485624513765797E-3</v>
      </c>
      <c r="M82" s="2">
        <v>230.19</v>
      </c>
      <c r="N82" s="2">
        <v>231.83</v>
      </c>
      <c r="O82" s="58">
        <v>491</v>
      </c>
      <c r="P82" s="5">
        <v>2.8E-3</v>
      </c>
      <c r="Q82" s="5">
        <v>0.17169999999999999</v>
      </c>
      <c r="R82" s="76">
        <f t="shared" si="17"/>
        <v>-3.0525592571640026E-3</v>
      </c>
      <c r="S82" s="76">
        <f t="shared" si="18"/>
        <v>2.6815449158773606E-3</v>
      </c>
      <c r="T82" s="76">
        <f t="shared" si="19"/>
        <v>6.1475409836065573E-3</v>
      </c>
      <c r="U82" s="77">
        <f t="shared" si="20"/>
        <v>1.4E-3</v>
      </c>
      <c r="V82" s="79">
        <f t="shared" si="21"/>
        <v>0</v>
      </c>
    </row>
    <row r="83" spans="1:22">
      <c r="A83" s="155">
        <v>72</v>
      </c>
      <c r="B83" s="131" t="s">
        <v>114</v>
      </c>
      <c r="C83" s="132" t="s">
        <v>33</v>
      </c>
      <c r="D83" s="2">
        <v>1058378608.5700001</v>
      </c>
      <c r="E83" s="3">
        <f t="shared" si="22"/>
        <v>4.9102950210225078E-3</v>
      </c>
      <c r="F83" s="14">
        <v>3.52</v>
      </c>
      <c r="G83" s="14">
        <v>3.52</v>
      </c>
      <c r="H83" s="59">
        <v>771</v>
      </c>
      <c r="I83" s="12">
        <v>1.5E-3</v>
      </c>
      <c r="J83" s="12">
        <v>-2.2100000000000002E-2</v>
      </c>
      <c r="K83" s="2">
        <v>1059149906</v>
      </c>
      <c r="L83" s="3">
        <f t="shared" si="16"/>
        <v>4.925910245444913E-3</v>
      </c>
      <c r="M83" s="14">
        <v>3.53</v>
      </c>
      <c r="N83" s="14">
        <v>3.53</v>
      </c>
      <c r="O83" s="59">
        <v>771</v>
      </c>
      <c r="P83" s="12">
        <v>6.9999999999999999E-4</v>
      </c>
      <c r="Q83" s="12">
        <v>-2.06E-2</v>
      </c>
      <c r="R83" s="76">
        <f t="shared" si="17"/>
        <v>7.2875379732217514E-4</v>
      </c>
      <c r="S83" s="76">
        <f t="shared" si="18"/>
        <v>2.8409090909090303E-3</v>
      </c>
      <c r="T83" s="76">
        <f t="shared" si="19"/>
        <v>0</v>
      </c>
      <c r="U83" s="77">
        <f t="shared" si="20"/>
        <v>-8.0000000000000004E-4</v>
      </c>
      <c r="V83" s="79">
        <f t="shared" si="21"/>
        <v>1.5000000000000013E-3</v>
      </c>
    </row>
    <row r="84" spans="1:22">
      <c r="A84" s="155">
        <v>73</v>
      </c>
      <c r="B84" s="131" t="s">
        <v>255</v>
      </c>
      <c r="C84" s="132" t="s">
        <v>35</v>
      </c>
      <c r="D84" s="2">
        <v>638301065.38</v>
      </c>
      <c r="E84" s="3">
        <f t="shared" si="22"/>
        <v>2.9613661102651438E-3</v>
      </c>
      <c r="F84" s="14">
        <v>107.29</v>
      </c>
      <c r="G84" s="14">
        <v>107.29</v>
      </c>
      <c r="H84" s="59">
        <v>59</v>
      </c>
      <c r="I84" s="12">
        <v>0.1474</v>
      </c>
      <c r="J84" s="12">
        <v>0.17050000000000001</v>
      </c>
      <c r="K84" s="2">
        <v>640090011.61000001</v>
      </c>
      <c r="L84" s="3">
        <f t="shared" si="16"/>
        <v>2.9769402124619104E-3</v>
      </c>
      <c r="M84" s="14">
        <v>107.58691</v>
      </c>
      <c r="N84" s="14">
        <v>107.58691</v>
      </c>
      <c r="O84" s="59">
        <v>59</v>
      </c>
      <c r="P84" s="12">
        <v>0.1474</v>
      </c>
      <c r="Q84" s="12">
        <v>0.17050000000000001</v>
      </c>
      <c r="R84" s="76">
        <f>((K84-D84)/D84)</f>
        <v>2.8026684068512484E-3</v>
      </c>
      <c r="S84" s="76">
        <f>((N84-G84)/G84)</f>
        <v>2.7673594929629682E-3</v>
      </c>
      <c r="T84" s="76">
        <f>((O84-H84)/H84)</f>
        <v>0</v>
      </c>
      <c r="U84" s="77">
        <f>P84-I84</f>
        <v>0</v>
      </c>
      <c r="V84" s="79">
        <f>Q84-J84</f>
        <v>0</v>
      </c>
    </row>
    <row r="85" spans="1:22">
      <c r="A85" s="158">
        <v>74</v>
      </c>
      <c r="B85" s="132" t="s">
        <v>115</v>
      </c>
      <c r="C85" s="160" t="s">
        <v>39</v>
      </c>
      <c r="D85" s="2">
        <v>1825720441.0599999</v>
      </c>
      <c r="E85" s="3">
        <f t="shared" si="22"/>
        <v>8.4703393652565597E-3</v>
      </c>
      <c r="F85" s="14">
        <v>99.62</v>
      </c>
      <c r="G85" s="14">
        <v>99.62</v>
      </c>
      <c r="H85" s="58">
        <v>139</v>
      </c>
      <c r="I85" s="5">
        <v>2.7000000000000001E-3</v>
      </c>
      <c r="J85" s="5">
        <v>7.8700000000000006E-2</v>
      </c>
      <c r="K85" s="2">
        <v>1829880871.77</v>
      </c>
      <c r="L85" s="3">
        <f t="shared" si="16"/>
        <v>8.5104373640906613E-3</v>
      </c>
      <c r="M85" s="14">
        <v>99.83</v>
      </c>
      <c r="N85" s="14">
        <v>99.83</v>
      </c>
      <c r="O85" s="58">
        <v>139</v>
      </c>
      <c r="P85" s="5">
        <v>2.5999999999999999E-3</v>
      </c>
      <c r="Q85" s="5">
        <v>8.0799999999999997E-2</v>
      </c>
      <c r="R85" s="76">
        <f t="shared" si="17"/>
        <v>2.2787884806638428E-3</v>
      </c>
      <c r="S85" s="76">
        <f t="shared" si="18"/>
        <v>2.1080104396706861E-3</v>
      </c>
      <c r="T85" s="76">
        <f t="shared" si="19"/>
        <v>0</v>
      </c>
      <c r="U85" s="77">
        <f t="shared" si="20"/>
        <v>-1.0000000000000026E-4</v>
      </c>
      <c r="V85" s="79">
        <f t="shared" si="21"/>
        <v>2.0999999999999908E-3</v>
      </c>
    </row>
    <row r="86" spans="1:22">
      <c r="A86" s="155">
        <v>75</v>
      </c>
      <c r="B86" s="131" t="s">
        <v>116</v>
      </c>
      <c r="C86" s="132" t="s">
        <v>16</v>
      </c>
      <c r="D86" s="2">
        <v>1301666166.3599999</v>
      </c>
      <c r="E86" s="3">
        <f t="shared" si="22"/>
        <v>6.0390155696237614E-3</v>
      </c>
      <c r="F86" s="14">
        <v>341.83019999999999</v>
      </c>
      <c r="G86" s="14">
        <v>341.83019999999999</v>
      </c>
      <c r="H86" s="58">
        <v>105</v>
      </c>
      <c r="I86" s="5">
        <v>4.7999999999999996E-3</v>
      </c>
      <c r="J86" s="5">
        <v>0.08</v>
      </c>
      <c r="K86" s="2">
        <v>1304196649.1500001</v>
      </c>
      <c r="L86" s="3">
        <f t="shared" si="16"/>
        <v>6.0655773084899939E-3</v>
      </c>
      <c r="M86" s="14">
        <v>342.73309999999998</v>
      </c>
      <c r="N86" s="14">
        <v>342.73309999999998</v>
      </c>
      <c r="O86" s="58">
        <v>196</v>
      </c>
      <c r="P86" s="5">
        <v>7.4999999999999997E-3</v>
      </c>
      <c r="Q86" s="5">
        <v>8.2600000000000007E-2</v>
      </c>
      <c r="R86" s="76">
        <f t="shared" si="17"/>
        <v>1.9440336204454656E-3</v>
      </c>
      <c r="S86" s="76">
        <f t="shared" si="18"/>
        <v>2.6413698965158383E-3</v>
      </c>
      <c r="T86" s="76">
        <f t="shared" si="19"/>
        <v>0.8666666666666667</v>
      </c>
      <c r="U86" s="77">
        <f t="shared" si="20"/>
        <v>2.7000000000000001E-3</v>
      </c>
      <c r="V86" s="79">
        <f t="shared" si="21"/>
        <v>2.6000000000000051E-3</v>
      </c>
    </row>
    <row r="87" spans="1:22">
      <c r="A87" s="155">
        <v>76</v>
      </c>
      <c r="B87" s="131" t="s">
        <v>249</v>
      </c>
      <c r="C87" s="132" t="s">
        <v>77</v>
      </c>
      <c r="D87" s="9">
        <v>1486864179.8</v>
      </c>
      <c r="E87" s="3">
        <f>(D87/$K$62)</f>
        <v>1.0682702674655034E-3</v>
      </c>
      <c r="F87" s="14">
        <v>104.18</v>
      </c>
      <c r="G87" s="14">
        <v>104.18</v>
      </c>
      <c r="H87" s="58">
        <v>376</v>
      </c>
      <c r="I87" s="5">
        <v>2.7000000000000001E-3</v>
      </c>
      <c r="J87" s="5">
        <v>9.8199999999999996E-2</v>
      </c>
      <c r="K87" s="9">
        <v>1479373769.3</v>
      </c>
      <c r="L87" s="3">
        <f>(K87/$K$62)</f>
        <v>1.0628886173208764E-3</v>
      </c>
      <c r="M87" s="14">
        <v>104.47</v>
      </c>
      <c r="N87" s="14">
        <v>104.47</v>
      </c>
      <c r="O87" s="58">
        <v>376</v>
      </c>
      <c r="P87" s="5">
        <v>2.7000000000000001E-3</v>
      </c>
      <c r="Q87" s="5">
        <v>0.10100000000000001</v>
      </c>
      <c r="R87" s="76">
        <f t="shared" si="17"/>
        <v>-5.0377234193694446E-3</v>
      </c>
      <c r="S87" s="76">
        <f t="shared" si="18"/>
        <v>2.7836436936071419E-3</v>
      </c>
      <c r="T87" s="76">
        <f t="shared" si="19"/>
        <v>0</v>
      </c>
      <c r="U87" s="77">
        <f t="shared" si="20"/>
        <v>0</v>
      </c>
      <c r="V87" s="79">
        <f t="shared" si="21"/>
        <v>2.8000000000000108E-3</v>
      </c>
    </row>
    <row r="88" spans="1:22">
      <c r="A88" s="139">
        <v>77</v>
      </c>
      <c r="B88" s="131" t="s">
        <v>117</v>
      </c>
      <c r="C88" s="132" t="s">
        <v>37</v>
      </c>
      <c r="D88" s="2">
        <v>56856035.920000002</v>
      </c>
      <c r="E88" s="3">
        <f t="shared" ref="E88:E100" si="23">(D88/$D$101)</f>
        <v>2.6378075655767396E-4</v>
      </c>
      <c r="F88" s="2">
        <v>11.82</v>
      </c>
      <c r="G88" s="2">
        <v>12.05</v>
      </c>
      <c r="H88" s="58">
        <v>56</v>
      </c>
      <c r="I88" s="5">
        <v>-9.4899999999999998E-2</v>
      </c>
      <c r="J88" s="5">
        <v>-1.9900000000000001E-2</v>
      </c>
      <c r="K88" s="2">
        <v>57386045.140000001</v>
      </c>
      <c r="L88" s="3">
        <f t="shared" ref="L88:L100" si="24">(K88/$K$101)</f>
        <v>2.6689187819338791E-4</v>
      </c>
      <c r="M88" s="2">
        <v>11.928101</v>
      </c>
      <c r="N88" s="2">
        <v>12.169093999999999</v>
      </c>
      <c r="O88" s="58">
        <v>56</v>
      </c>
      <c r="P88" s="5">
        <v>1.6999999999999999E-3</v>
      </c>
      <c r="Q88" s="5">
        <v>-7.0000000000000001E-3</v>
      </c>
      <c r="R88" s="76">
        <f t="shared" si="17"/>
        <v>9.3219516876933695E-3</v>
      </c>
      <c r="S88" s="76">
        <f t="shared" si="18"/>
        <v>9.8833195020745796E-3</v>
      </c>
      <c r="T88" s="76">
        <f t="shared" si="19"/>
        <v>0</v>
      </c>
      <c r="U88" s="77">
        <f t="shared" si="20"/>
        <v>9.6599999999999991E-2</v>
      </c>
      <c r="V88" s="79">
        <f t="shared" si="21"/>
        <v>1.2900000000000002E-2</v>
      </c>
    </row>
    <row r="89" spans="1:22">
      <c r="A89" s="159">
        <v>78</v>
      </c>
      <c r="B89" s="131" t="s">
        <v>233</v>
      </c>
      <c r="C89" s="132" t="s">
        <v>234</v>
      </c>
      <c r="D89" s="2">
        <v>307188989.87</v>
      </c>
      <c r="E89" s="3">
        <f t="shared" si="23"/>
        <v>1.4251880709395795E-3</v>
      </c>
      <c r="F89" s="2">
        <v>125.2</v>
      </c>
      <c r="G89" s="2">
        <v>125.2</v>
      </c>
      <c r="H89" s="58">
        <v>88</v>
      </c>
      <c r="I89" s="5">
        <v>0.17080000000000001</v>
      </c>
      <c r="J89" s="5">
        <v>0.1691</v>
      </c>
      <c r="K89" s="2">
        <v>316194320.04000002</v>
      </c>
      <c r="L89" s="3">
        <f t="shared" si="24"/>
        <v>1.4705612792043471E-3</v>
      </c>
      <c r="M89" s="2">
        <v>125.58</v>
      </c>
      <c r="N89" s="2">
        <v>125.58</v>
      </c>
      <c r="O89" s="58">
        <v>93</v>
      </c>
      <c r="P89" s="5">
        <v>0.1704</v>
      </c>
      <c r="Q89" s="5">
        <v>0.1691</v>
      </c>
      <c r="R89" s="76">
        <f>((K89-D89)/D89)</f>
        <v>2.9315276481136264E-2</v>
      </c>
      <c r="S89" s="76">
        <f>((N89-G89)/G89)</f>
        <v>3.0351437699680148E-3</v>
      </c>
      <c r="T89" s="76">
        <f>((O89-H89)/H89)</f>
        <v>5.6818181818181816E-2</v>
      </c>
      <c r="U89" s="77">
        <f t="shared" si="20"/>
        <v>-4.0000000000001146E-4</v>
      </c>
      <c r="V89" s="79">
        <f t="shared" si="21"/>
        <v>0</v>
      </c>
    </row>
    <row r="90" spans="1:22">
      <c r="A90" s="139">
        <v>79</v>
      </c>
      <c r="B90" s="131" t="s">
        <v>118</v>
      </c>
      <c r="C90" s="132" t="s">
        <v>119</v>
      </c>
      <c r="D90" s="2">
        <v>7502385985.7763662</v>
      </c>
      <c r="E90" s="3">
        <f t="shared" si="23"/>
        <v>3.4806947394298404E-2</v>
      </c>
      <c r="F90" s="2">
        <v>1.0950351194039591</v>
      </c>
      <c r="G90" s="2">
        <v>1.0950351194039591</v>
      </c>
      <c r="H90" s="58">
        <v>4575</v>
      </c>
      <c r="I90" s="5">
        <v>0.17019999999999999</v>
      </c>
      <c r="J90" s="5">
        <v>0.17019999999999999</v>
      </c>
      <c r="K90" s="2">
        <v>7561448271.2663822</v>
      </c>
      <c r="L90" s="3">
        <f t="shared" si="24"/>
        <v>3.5166896865902943E-2</v>
      </c>
      <c r="M90" s="2">
        <v>1.0950351194039591</v>
      </c>
      <c r="N90" s="2">
        <v>1.0950351194039591</v>
      </c>
      <c r="O90" s="58">
        <v>4581</v>
      </c>
      <c r="P90" s="5">
        <v>17.05</v>
      </c>
      <c r="Q90" s="5">
        <v>17.05</v>
      </c>
      <c r="R90" s="76">
        <f t="shared" si="17"/>
        <v>7.8724669194561656E-3</v>
      </c>
      <c r="S90" s="76">
        <f t="shared" si="18"/>
        <v>0</v>
      </c>
      <c r="T90" s="76">
        <f t="shared" si="19"/>
        <v>1.3114754098360656E-3</v>
      </c>
      <c r="U90" s="77">
        <f t="shared" si="20"/>
        <v>16.879799999999999</v>
      </c>
      <c r="V90" s="79">
        <f t="shared" si="21"/>
        <v>16.879799999999999</v>
      </c>
    </row>
    <row r="91" spans="1:22" ht="14.25" customHeight="1">
      <c r="A91" s="159">
        <v>80</v>
      </c>
      <c r="B91" s="131" t="s">
        <v>120</v>
      </c>
      <c r="C91" s="132" t="s">
        <v>41</v>
      </c>
      <c r="D91" s="2">
        <v>10894619021.91</v>
      </c>
      <c r="E91" s="3">
        <f t="shared" si="23"/>
        <v>5.0545044189339E-2</v>
      </c>
      <c r="F91" s="2">
        <v>5164.76</v>
      </c>
      <c r="G91" s="2">
        <v>5164.76</v>
      </c>
      <c r="H91" s="58">
        <v>321</v>
      </c>
      <c r="I91" s="5">
        <v>0</v>
      </c>
      <c r="J91" s="5">
        <v>3.0499999999999999E-2</v>
      </c>
      <c r="K91" s="2">
        <v>10763152989.68</v>
      </c>
      <c r="L91" s="3">
        <f t="shared" si="24"/>
        <v>5.0057433121422343E-2</v>
      </c>
      <c r="M91" s="2">
        <v>5164.92</v>
      </c>
      <c r="N91" s="2">
        <v>5164.92</v>
      </c>
      <c r="O91" s="58">
        <v>315</v>
      </c>
      <c r="P91" s="5">
        <v>0</v>
      </c>
      <c r="Q91" s="5">
        <v>3.0599999999999999E-2</v>
      </c>
      <c r="R91" s="76">
        <f t="shared" si="17"/>
        <v>-1.2067060992735058E-2</v>
      </c>
      <c r="S91" s="76">
        <f t="shared" si="18"/>
        <v>3.0979174250082187E-5</v>
      </c>
      <c r="T91" s="76">
        <f t="shared" si="19"/>
        <v>-1.8691588785046728E-2</v>
      </c>
      <c r="U91" s="77">
        <f t="shared" si="20"/>
        <v>0</v>
      </c>
      <c r="V91" s="79">
        <f t="shared" si="21"/>
        <v>9.9999999999999395E-5</v>
      </c>
    </row>
    <row r="92" spans="1:22" ht="13.5" customHeight="1">
      <c r="A92" s="159">
        <v>81</v>
      </c>
      <c r="B92" s="131" t="s">
        <v>121</v>
      </c>
      <c r="C92" s="132" t="s">
        <v>41</v>
      </c>
      <c r="D92" s="2">
        <v>25081060595.73</v>
      </c>
      <c r="E92" s="3">
        <f t="shared" si="23"/>
        <v>0.11636233571611483</v>
      </c>
      <c r="F92" s="14">
        <v>258.41000000000003</v>
      </c>
      <c r="G92" s="14">
        <v>258.41000000000003</v>
      </c>
      <c r="H92" s="58">
        <v>6451</v>
      </c>
      <c r="I92" s="5">
        <v>0</v>
      </c>
      <c r="J92" s="5">
        <v>1.0200000000000001E-2</v>
      </c>
      <c r="K92" s="2">
        <v>24960418343.529999</v>
      </c>
      <c r="L92" s="3">
        <f t="shared" si="24"/>
        <v>0.11608628745795835</v>
      </c>
      <c r="M92" s="14">
        <v>258.41000000000003</v>
      </c>
      <c r="N92" s="14">
        <v>258.41000000000003</v>
      </c>
      <c r="O92" s="58">
        <v>6444</v>
      </c>
      <c r="P92" s="5">
        <v>0</v>
      </c>
      <c r="Q92" s="5">
        <v>1.0200000000000001E-2</v>
      </c>
      <c r="R92" s="76">
        <f t="shared" si="17"/>
        <v>-4.8100937254838367E-3</v>
      </c>
      <c r="S92" s="76">
        <f t="shared" si="18"/>
        <v>0</v>
      </c>
      <c r="T92" s="76">
        <f t="shared" si="19"/>
        <v>-1.0851030847930554E-3</v>
      </c>
      <c r="U92" s="77">
        <f t="shared" si="20"/>
        <v>0</v>
      </c>
      <c r="V92" s="79">
        <f t="shared" si="21"/>
        <v>0</v>
      </c>
    </row>
    <row r="93" spans="1:22" ht="13.5" customHeight="1">
      <c r="A93" s="159">
        <v>82</v>
      </c>
      <c r="B93" s="131" t="s">
        <v>122</v>
      </c>
      <c r="C93" s="132" t="s">
        <v>41</v>
      </c>
      <c r="D93" s="2">
        <v>363856498.94999999</v>
      </c>
      <c r="E93" s="3">
        <f t="shared" si="23"/>
        <v>1.6880941665807483E-3</v>
      </c>
      <c r="F93" s="2">
        <v>6308.31</v>
      </c>
      <c r="G93" s="7">
        <v>6339.61</v>
      </c>
      <c r="H93" s="58">
        <v>15</v>
      </c>
      <c r="I93" s="5">
        <v>7.9000000000000008E-3</v>
      </c>
      <c r="J93" s="5">
        <v>0.19409999999999999</v>
      </c>
      <c r="K93" s="2">
        <v>366326407.35000002</v>
      </c>
      <c r="L93" s="3">
        <f t="shared" si="24"/>
        <v>1.7037163416812804E-3</v>
      </c>
      <c r="M93" s="2">
        <v>6351.49</v>
      </c>
      <c r="N93" s="7">
        <v>6382.4</v>
      </c>
      <c r="O93" s="58">
        <v>15</v>
      </c>
      <c r="P93" s="5">
        <v>6.7000000000000002E-3</v>
      </c>
      <c r="Q93" s="5">
        <v>0.20219999999999999</v>
      </c>
      <c r="R93" s="76">
        <f t="shared" si="17"/>
        <v>6.7881387501050041E-3</v>
      </c>
      <c r="S93" s="76">
        <f t="shared" si="18"/>
        <v>6.74962655431485E-3</v>
      </c>
      <c r="T93" s="76">
        <f t="shared" si="19"/>
        <v>0</v>
      </c>
      <c r="U93" s="77">
        <f t="shared" si="20"/>
        <v>-1.2000000000000005E-3</v>
      </c>
      <c r="V93" s="79">
        <f t="shared" si="21"/>
        <v>8.0999999999999961E-3</v>
      </c>
    </row>
    <row r="94" spans="1:22" ht="15" customHeight="1">
      <c r="A94" s="159">
        <v>83</v>
      </c>
      <c r="B94" s="131" t="s">
        <v>123</v>
      </c>
      <c r="C94" s="132" t="s">
        <v>41</v>
      </c>
      <c r="D94" s="2">
        <v>10279276684.139999</v>
      </c>
      <c r="E94" s="3">
        <f t="shared" si="23"/>
        <v>4.769019395624631E-2</v>
      </c>
      <c r="F94" s="14">
        <v>134.57</v>
      </c>
      <c r="G94" s="14">
        <v>134.57</v>
      </c>
      <c r="H94" s="58">
        <v>4452</v>
      </c>
      <c r="I94" s="5">
        <v>1.6999999999999999E-3</v>
      </c>
      <c r="J94" s="5">
        <v>6.8699999999999997E-2</v>
      </c>
      <c r="K94" s="2">
        <v>10152691182.01</v>
      </c>
      <c r="L94" s="3">
        <f t="shared" si="24"/>
        <v>4.72182882035787E-2</v>
      </c>
      <c r="M94" s="14">
        <v>134.86000000000001</v>
      </c>
      <c r="N94" s="14">
        <v>134.86000000000001</v>
      </c>
      <c r="O94" s="58">
        <v>4469</v>
      </c>
      <c r="P94" s="5">
        <v>2.2000000000000001E-3</v>
      </c>
      <c r="Q94" s="5">
        <v>7.0999999999999994E-2</v>
      </c>
      <c r="R94" s="76">
        <f t="shared" si="17"/>
        <v>-1.2314631274135195E-2</v>
      </c>
      <c r="S94" s="76">
        <f t="shared" si="18"/>
        <v>2.1550122612768114E-3</v>
      </c>
      <c r="T94" s="76">
        <f t="shared" si="19"/>
        <v>3.8185085354896678E-3</v>
      </c>
      <c r="U94" s="77">
        <f t="shared" si="20"/>
        <v>5.0000000000000023E-4</v>
      </c>
      <c r="V94" s="79">
        <f t="shared" si="21"/>
        <v>2.2999999999999965E-3</v>
      </c>
    </row>
    <row r="95" spans="1:22" ht="15" customHeight="1">
      <c r="A95" s="159">
        <v>84</v>
      </c>
      <c r="B95" s="131" t="s">
        <v>124</v>
      </c>
      <c r="C95" s="132" t="s">
        <v>41</v>
      </c>
      <c r="D95" s="2">
        <v>8807721149.3199997</v>
      </c>
      <c r="E95" s="3">
        <f t="shared" si="23"/>
        <v>4.0862985094242132E-2</v>
      </c>
      <c r="F95" s="14">
        <v>359.99</v>
      </c>
      <c r="G95" s="14">
        <v>360.61</v>
      </c>
      <c r="H95" s="58">
        <v>10207</v>
      </c>
      <c r="I95" s="5">
        <v>6.4000000000000003E-3</v>
      </c>
      <c r="J95" s="5">
        <v>2.0500000000000001E-2</v>
      </c>
      <c r="K95" s="2">
        <v>8673725804.75</v>
      </c>
      <c r="L95" s="3">
        <f t="shared" si="24"/>
        <v>4.0339893876927699E-2</v>
      </c>
      <c r="M95" s="14">
        <v>359.69</v>
      </c>
      <c r="N95" s="14">
        <v>360.21</v>
      </c>
      <c r="O95" s="58">
        <v>10203</v>
      </c>
      <c r="P95" s="5">
        <v>-1.1000000000000001E-3</v>
      </c>
      <c r="Q95" s="5">
        <v>1.9400000000000001E-2</v>
      </c>
      <c r="R95" s="76">
        <f>((K95-D95)/D95)</f>
        <v>-1.5213395417308916E-2</v>
      </c>
      <c r="S95" s="76">
        <f t="shared" si="18"/>
        <v>-1.1092315798231721E-3</v>
      </c>
      <c r="T95" s="76">
        <f t="shared" si="19"/>
        <v>-3.9188792005486432E-4</v>
      </c>
      <c r="U95" s="77">
        <f t="shared" si="20"/>
        <v>-7.5000000000000006E-3</v>
      </c>
      <c r="V95" s="79">
        <f t="shared" si="21"/>
        <v>-1.1000000000000003E-3</v>
      </c>
    </row>
    <row r="96" spans="1:22">
      <c r="A96" s="156">
        <v>85</v>
      </c>
      <c r="B96" s="131" t="s">
        <v>125</v>
      </c>
      <c r="C96" s="132" t="s">
        <v>44</v>
      </c>
      <c r="D96" s="2">
        <v>86459736000.660004</v>
      </c>
      <c r="E96" s="3">
        <f t="shared" si="23"/>
        <v>0.40112565367942477</v>
      </c>
      <c r="F96" s="2">
        <v>1.9222999999999999</v>
      </c>
      <c r="G96" s="2">
        <v>1.9222999999999999</v>
      </c>
      <c r="H96" s="58">
        <v>6320</v>
      </c>
      <c r="I96" s="5">
        <v>7.8899999999999998E-2</v>
      </c>
      <c r="J96" s="5">
        <v>5.8099999999999999E-2</v>
      </c>
      <c r="K96" s="2">
        <v>86398623287.139999</v>
      </c>
      <c r="L96" s="3">
        <f t="shared" si="24"/>
        <v>0.40182401115414762</v>
      </c>
      <c r="M96" s="2">
        <v>1.9251</v>
      </c>
      <c r="N96" s="2">
        <v>1.9251</v>
      </c>
      <c r="O96" s="58">
        <v>6325</v>
      </c>
      <c r="P96" s="5">
        <v>7.8899999999999998E-2</v>
      </c>
      <c r="Q96" s="5">
        <v>5.8500000000000003E-2</v>
      </c>
      <c r="R96" s="76">
        <f t="shared" si="17"/>
        <v>-7.0683437570914808E-4</v>
      </c>
      <c r="S96" s="76">
        <f t="shared" si="18"/>
        <v>1.456588461738613E-3</v>
      </c>
      <c r="T96" s="76">
        <f t="shared" si="19"/>
        <v>7.911392405063291E-4</v>
      </c>
      <c r="U96" s="77">
        <f t="shared" si="20"/>
        <v>0</v>
      </c>
      <c r="V96" s="79">
        <f t="shared" si="21"/>
        <v>4.0000000000000452E-4</v>
      </c>
    </row>
    <row r="97" spans="1:28">
      <c r="A97" s="156">
        <v>86</v>
      </c>
      <c r="B97" s="131" t="s">
        <v>285</v>
      </c>
      <c r="C97" s="132" t="s">
        <v>44</v>
      </c>
      <c r="D97" s="2">
        <v>4113225271.8099999</v>
      </c>
      <c r="E97" s="3">
        <f t="shared" si="23"/>
        <v>1.9083104485455762E-2</v>
      </c>
      <c r="F97" s="2">
        <v>102.4136</v>
      </c>
      <c r="G97" s="2">
        <v>102.4136</v>
      </c>
      <c r="H97" s="58">
        <v>82</v>
      </c>
      <c r="I97" s="5">
        <v>0.2049</v>
      </c>
      <c r="J97" s="5">
        <v>0.1822</v>
      </c>
      <c r="K97" s="2">
        <v>4637437226.79</v>
      </c>
      <c r="L97" s="3">
        <f t="shared" si="24"/>
        <v>2.1567862508078725E-2</v>
      </c>
      <c r="M97" s="2">
        <v>103.1892</v>
      </c>
      <c r="N97" s="2">
        <v>103.1892</v>
      </c>
      <c r="O97" s="58">
        <v>94</v>
      </c>
      <c r="P97" s="5">
        <v>0.22509999999999999</v>
      </c>
      <c r="Q97" s="5">
        <v>0.21429999999999999</v>
      </c>
      <c r="R97" s="76">
        <f t="shared" ref="R97" si="25">((K97-D97)/D97)</f>
        <v>0.12744547656377783</v>
      </c>
      <c r="S97" s="76">
        <f t="shared" ref="S97" si="26">((N97-G97)/G97)</f>
        <v>7.5732129326573534E-3</v>
      </c>
      <c r="T97" s="76">
        <f t="shared" ref="T97" si="27">((O97-H97)/H97)</f>
        <v>0.14634146341463414</v>
      </c>
      <c r="U97" s="77">
        <f t="shared" ref="U97" si="28">P97-I97</f>
        <v>2.0199999999999996E-2</v>
      </c>
      <c r="V97" s="79">
        <f t="shared" ref="V97" si="29">Q97-J97</f>
        <v>3.209999999999999E-2</v>
      </c>
    </row>
    <row r="98" spans="1:28">
      <c r="A98" s="158">
        <v>87</v>
      </c>
      <c r="B98" s="131" t="s">
        <v>238</v>
      </c>
      <c r="C98" s="131" t="s">
        <v>239</v>
      </c>
      <c r="D98" s="2">
        <v>87517259.420000002</v>
      </c>
      <c r="E98" s="3">
        <f t="shared" si="23"/>
        <v>4.0603198109246264E-4</v>
      </c>
      <c r="F98" s="2">
        <v>107.56533495292732</v>
      </c>
      <c r="G98" s="2">
        <v>107.56533495292732</v>
      </c>
      <c r="H98" s="58">
        <v>54</v>
      </c>
      <c r="I98" s="5">
        <v>1.6740453291470567E-3</v>
      </c>
      <c r="J98" s="5">
        <v>5.8724347217268935E-2</v>
      </c>
      <c r="K98" s="2">
        <v>90126590.659999996</v>
      </c>
      <c r="L98" s="3">
        <f t="shared" si="24"/>
        <v>4.1916209764466882E-4</v>
      </c>
      <c r="M98" s="2">
        <v>107.78355527762596</v>
      </c>
      <c r="N98" s="2">
        <v>107.78355527762596</v>
      </c>
      <c r="O98" s="58">
        <v>54</v>
      </c>
      <c r="P98" s="5">
        <v>2.0287235176104494E-3</v>
      </c>
      <c r="Q98" s="5">
        <v>6.0872206199135359E-2</v>
      </c>
      <c r="R98" s="76">
        <f>((K98-D98)/D98)</f>
        <v>2.9815047423705016E-2</v>
      </c>
      <c r="S98" s="76">
        <f>((N98-G98)/G98)</f>
        <v>2.0287235176104494E-3</v>
      </c>
      <c r="T98" s="76">
        <f>((O98-H98)/H98)</f>
        <v>0</v>
      </c>
      <c r="U98" s="77">
        <f>P98-I98</f>
        <v>3.5467818846339266E-4</v>
      </c>
      <c r="V98" s="79">
        <f>Q98-J98</f>
        <v>2.147858981866424E-3</v>
      </c>
    </row>
    <row r="99" spans="1:28">
      <c r="A99" s="155">
        <v>88</v>
      </c>
      <c r="B99" s="131" t="s">
        <v>259</v>
      </c>
      <c r="C99" s="132" t="s">
        <v>258</v>
      </c>
      <c r="D99" s="2">
        <v>250171196.68000001</v>
      </c>
      <c r="E99" s="3">
        <f t="shared" si="23"/>
        <v>1.1606568495566873E-3</v>
      </c>
      <c r="F99" s="2">
        <v>1.0553999999999999</v>
      </c>
      <c r="G99" s="2">
        <v>1.0553999999999999</v>
      </c>
      <c r="H99" s="58">
        <v>314</v>
      </c>
      <c r="I99" s="5">
        <v>1.0682000000000001E-2</v>
      </c>
      <c r="J99" s="5">
        <v>1.391E-2</v>
      </c>
      <c r="K99" s="2">
        <v>246713812.47</v>
      </c>
      <c r="L99" s="3">
        <f t="shared" si="24"/>
        <v>1.1474202940058118E-3</v>
      </c>
      <c r="M99" s="2">
        <v>1.0418000000000001</v>
      </c>
      <c r="N99" s="2">
        <v>1.0418000000000001</v>
      </c>
      <c r="O99" s="58">
        <v>321</v>
      </c>
      <c r="P99" s="5">
        <v>-1.2846E-2</v>
      </c>
      <c r="Q99" s="5">
        <v>8.8500000000000004E-4</v>
      </c>
      <c r="R99" s="76">
        <f>((K99-D99)/D99)</f>
        <v>-1.3820073037514513E-2</v>
      </c>
      <c r="S99" s="76">
        <f>((N99-G99)/G99)</f>
        <v>-1.2886109531930865E-2</v>
      </c>
      <c r="T99" s="76">
        <f>((O99-H99)/H99)</f>
        <v>2.2292993630573247E-2</v>
      </c>
      <c r="U99" s="77">
        <f>P99-I99</f>
        <v>-2.3528E-2</v>
      </c>
      <c r="V99" s="79">
        <f>Q99-J99</f>
        <v>-1.3025E-2</v>
      </c>
    </row>
    <row r="100" spans="1:28">
      <c r="A100" s="158">
        <v>89</v>
      </c>
      <c r="B100" s="131" t="s">
        <v>126</v>
      </c>
      <c r="C100" s="132" t="s">
        <v>90</v>
      </c>
      <c r="D100" s="2">
        <v>2438053439.1100001</v>
      </c>
      <c r="E100" s="3">
        <f t="shared" si="23"/>
        <v>1.1311227916089206E-2</v>
      </c>
      <c r="F100" s="14">
        <v>27.388000000000002</v>
      </c>
      <c r="G100" s="14">
        <v>27.388000000000002</v>
      </c>
      <c r="H100" s="58">
        <v>1307</v>
      </c>
      <c r="I100" s="5">
        <v>0.12620000000000001</v>
      </c>
      <c r="J100" s="5">
        <v>0.12620000000000001</v>
      </c>
      <c r="K100" s="2">
        <v>2391694610.8400002</v>
      </c>
      <c r="L100" s="3">
        <f t="shared" si="24"/>
        <v>1.1123329115899616E-2</v>
      </c>
      <c r="M100" s="14">
        <v>27.4438</v>
      </c>
      <c r="N100" s="14">
        <v>27.4438</v>
      </c>
      <c r="O100" s="58">
        <v>1305</v>
      </c>
      <c r="P100" s="5">
        <v>0.127</v>
      </c>
      <c r="Q100" s="5">
        <v>0.12870000000000001</v>
      </c>
      <c r="R100" s="76">
        <f t="shared" si="17"/>
        <v>-1.9014689147635357E-2</v>
      </c>
      <c r="S100" s="76">
        <f t="shared" si="18"/>
        <v>2.0373886373593491E-3</v>
      </c>
      <c r="T100" s="76">
        <f t="shared" si="19"/>
        <v>-1.530221882172915E-3</v>
      </c>
      <c r="U100" s="77">
        <f t="shared" si="20"/>
        <v>7.9999999999999516E-4</v>
      </c>
      <c r="V100" s="79">
        <f t="shared" si="21"/>
        <v>2.5000000000000022E-3</v>
      </c>
    </row>
    <row r="101" spans="1:28">
      <c r="A101" s="71"/>
      <c r="B101" s="129"/>
      <c r="C101" s="68" t="s">
        <v>45</v>
      </c>
      <c r="D101" s="57">
        <f>SUM(D65:D100)</f>
        <v>215542773710.89728</v>
      </c>
      <c r="E101" s="96">
        <f>(D101/$D$205)</f>
        <v>6.229585732153782E-2</v>
      </c>
      <c r="F101" s="30"/>
      <c r="G101" s="11"/>
      <c r="H101" s="63">
        <f>SUM(H65:H100)</f>
        <v>50386</v>
      </c>
      <c r="I101" s="12"/>
      <c r="J101" s="12"/>
      <c r="K101" s="57">
        <f>SUM(K65:K100)</f>
        <v>215016078902.25302</v>
      </c>
      <c r="L101" s="96">
        <f>(K101/$K$205)</f>
        <v>6.1112978724759591E-2</v>
      </c>
      <c r="M101" s="30"/>
      <c r="N101" s="11"/>
      <c r="O101" s="63">
        <f>SUM(O65:O100)</f>
        <v>50530</v>
      </c>
      <c r="P101" s="12"/>
      <c r="Q101" s="12"/>
      <c r="R101" s="76">
        <f t="shared" si="17"/>
        <v>-2.4435744218022385E-3</v>
      </c>
      <c r="S101" s="76" t="e">
        <f t="shared" si="18"/>
        <v>#DIV/0!</v>
      </c>
      <c r="T101" s="76">
        <f t="shared" si="19"/>
        <v>2.8579367284563171E-3</v>
      </c>
      <c r="U101" s="77">
        <f t="shared" si="20"/>
        <v>0</v>
      </c>
      <c r="V101" s="79">
        <f t="shared" si="21"/>
        <v>0</v>
      </c>
    </row>
    <row r="102" spans="1:28" ht="8.25" customHeight="1">
      <c r="A102" s="161"/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</row>
    <row r="103" spans="1:28" ht="15" customHeight="1">
      <c r="A103" s="168" t="s">
        <v>127</v>
      </c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</row>
    <row r="104" spans="1:28">
      <c r="A104" s="172" t="s">
        <v>227</v>
      </c>
      <c r="B104" s="172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Z104" s="110"/>
      <c r="AB104" s="99"/>
    </row>
    <row r="105" spans="1:28" ht="16.5" customHeight="1">
      <c r="A105" s="155">
        <v>90</v>
      </c>
      <c r="B105" s="131" t="s">
        <v>128</v>
      </c>
      <c r="C105" s="132" t="s">
        <v>16</v>
      </c>
      <c r="D105" s="2">
        <f>1718205.68*1588.347</f>
        <v>2729106837.2109599</v>
      </c>
      <c r="E105" s="3">
        <f>(D105/$D$135)</f>
        <v>1.6604572902808924E-3</v>
      </c>
      <c r="F105" s="2">
        <f>110.3817*1588.347</f>
        <v>175324.44204989998</v>
      </c>
      <c r="G105" s="2">
        <f>110.3817*1588.347</f>
        <v>175324.44204989998</v>
      </c>
      <c r="H105" s="58">
        <v>245</v>
      </c>
      <c r="I105" s="5">
        <v>2.3E-3</v>
      </c>
      <c r="J105" s="5">
        <v>4.2200000000000001E-2</v>
      </c>
      <c r="K105" s="2">
        <f>1735970.44*1586.263</f>
        <v>2753705678.0657196</v>
      </c>
      <c r="L105" s="3">
        <f t="shared" ref="L105:L117" si="30">(K105/$K$135)</f>
        <v>1.6418628748789629E-3</v>
      </c>
      <c r="M105" s="2">
        <f>110.5068*1586.263</f>
        <v>175292.8480884</v>
      </c>
      <c r="N105" s="2">
        <f>110.5068*1586.263</f>
        <v>175292.8480884</v>
      </c>
      <c r="O105" s="58">
        <v>287</v>
      </c>
      <c r="P105" s="5">
        <v>3.5000000000000001E-3</v>
      </c>
      <c r="Q105" s="5">
        <v>4.3400000000000001E-2</v>
      </c>
      <c r="R105" s="77">
        <f>((K105-D105)/D105)</f>
        <v>9.0135133294740287E-3</v>
      </c>
      <c r="S105" s="77">
        <f>((N105-G105)/G105)</f>
        <v>-1.8020283498742596E-4</v>
      </c>
      <c r="T105" s="77">
        <f>((O105-H105)/H105)</f>
        <v>0.17142857142857143</v>
      </c>
      <c r="U105" s="77">
        <f>P105-I105</f>
        <v>1.2000000000000001E-3</v>
      </c>
      <c r="V105" s="79">
        <f>Q105-J105</f>
        <v>1.1999999999999997E-3</v>
      </c>
      <c r="X105" s="110"/>
      <c r="Y105" s="112"/>
      <c r="Z105" s="110"/>
      <c r="AA105" s="100"/>
    </row>
    <row r="106" spans="1:28" ht="16.5" customHeight="1">
      <c r="A106" s="155">
        <v>91</v>
      </c>
      <c r="B106" s="131" t="s">
        <v>265</v>
      </c>
      <c r="C106" s="132" t="s">
        <v>49</v>
      </c>
      <c r="D106" s="2">
        <f>996129.82*1588.347</f>
        <v>1582199811.2075398</v>
      </c>
      <c r="E106" s="3">
        <f>(D106/$D$135)</f>
        <v>9.626501884717276E-4</v>
      </c>
      <c r="F106" s="2">
        <f>100*1588.347</f>
        <v>158834.70000000001</v>
      </c>
      <c r="G106" s="2">
        <f>100*1588.347</f>
        <v>158834.70000000001</v>
      </c>
      <c r="H106" s="58">
        <v>16</v>
      </c>
      <c r="I106" s="5">
        <v>-2.127E-3</v>
      </c>
      <c r="J106" s="5">
        <v>6.7915000000000003E-2</v>
      </c>
      <c r="K106" s="2">
        <f>1021004.37*1586.263</f>
        <v>1619581454.9693098</v>
      </c>
      <c r="L106" s="3">
        <f t="shared" si="30"/>
        <v>9.6565536576313153E-4</v>
      </c>
      <c r="M106" s="2">
        <f>100*1586.263</f>
        <v>158626.29999999999</v>
      </c>
      <c r="N106" s="2">
        <f>100*1586.263</f>
        <v>158626.29999999999</v>
      </c>
      <c r="O106" s="58">
        <v>19</v>
      </c>
      <c r="P106" s="5">
        <v>2.1607999999999999E-2</v>
      </c>
      <c r="Q106" s="5">
        <v>8.9523000000000005E-2</v>
      </c>
      <c r="R106" s="77">
        <f>((K106-D106)/D106)</f>
        <v>2.362637354459057E-2</v>
      </c>
      <c r="S106" s="77">
        <f>((N106-G106)/G106)</f>
        <v>-1.3120558668856571E-3</v>
      </c>
      <c r="T106" s="77">
        <f>((O106-H106)/H106)</f>
        <v>0.1875</v>
      </c>
      <c r="U106" s="77">
        <f>P106-I106</f>
        <v>2.3734999999999999E-2</v>
      </c>
      <c r="V106" s="79">
        <f>Q106-J106</f>
        <v>2.1608000000000002E-2</v>
      </c>
      <c r="X106" s="110"/>
      <c r="Y106" s="112"/>
      <c r="Z106" s="110"/>
      <c r="AA106" s="100"/>
    </row>
    <row r="107" spans="1:28">
      <c r="A107" s="159">
        <v>92</v>
      </c>
      <c r="B107" s="131" t="s">
        <v>129</v>
      </c>
      <c r="C107" s="132" t="s">
        <v>20</v>
      </c>
      <c r="D107" s="2">
        <f>10796018.91*1588.347</f>
        <v>17147824247.641769</v>
      </c>
      <c r="E107" s="3">
        <f>(D107/$D$135)</f>
        <v>1.0433167876106587E-2</v>
      </c>
      <c r="F107" s="2">
        <f>1.1428*1588.347</f>
        <v>1815.1629516</v>
      </c>
      <c r="G107" s="2">
        <f>1.1428*1588.347</f>
        <v>1815.1629516</v>
      </c>
      <c r="H107" s="58">
        <v>297</v>
      </c>
      <c r="I107" s="5">
        <v>-4.0099999999999997E-2</v>
      </c>
      <c r="J107" s="5">
        <v>5.04E-2</v>
      </c>
      <c r="K107" s="2">
        <f>10659038.22*1586.263</f>
        <v>16908037943.971861</v>
      </c>
      <c r="L107" s="3">
        <f t="shared" si="30"/>
        <v>1.0081208027559472E-2</v>
      </c>
      <c r="M107" s="2">
        <f>1.1453*1586.263</f>
        <v>1816.7470139</v>
      </c>
      <c r="N107" s="2">
        <f>1.1453*1586.263</f>
        <v>1816.7470139</v>
      </c>
      <c r="O107" s="58">
        <v>296</v>
      </c>
      <c r="P107" s="5">
        <v>5.9400000000000001E-2</v>
      </c>
      <c r="Q107" s="5">
        <v>-3.5099999999999999E-2</v>
      </c>
      <c r="R107" s="77">
        <f t="shared" ref="R107:R117" si="31">((K107-D107)/D107)</f>
        <v>-1.3983482697688881E-2</v>
      </c>
      <c r="S107" s="77">
        <f t="shared" ref="S107:S117" si="32">((N107-G107)/G107)</f>
        <v>8.7268324786136746E-4</v>
      </c>
      <c r="T107" s="77">
        <f t="shared" ref="T107:T117" si="33">((O107-H107)/H107)</f>
        <v>-3.3670033670033669E-3</v>
      </c>
      <c r="U107" s="77">
        <f t="shared" ref="U107:U117" si="34">P107-I107</f>
        <v>9.9500000000000005E-2</v>
      </c>
      <c r="V107" s="79">
        <f t="shared" ref="V107:V117" si="35">Q107-J107</f>
        <v>-8.5499999999999993E-2</v>
      </c>
    </row>
    <row r="108" spans="1:28">
      <c r="A108" s="158">
        <v>93</v>
      </c>
      <c r="B108" s="131" t="s">
        <v>264</v>
      </c>
      <c r="C108" s="132" t="s">
        <v>98</v>
      </c>
      <c r="D108" s="2">
        <f>1984514.2*1588.347</f>
        <v>3152097176.0274</v>
      </c>
      <c r="E108" s="3">
        <f>(D108/$D$135)</f>
        <v>1.917815258913562E-3</v>
      </c>
      <c r="F108" s="2">
        <f>1.0438*1588.347</f>
        <v>1657.9165986</v>
      </c>
      <c r="G108" s="2">
        <f>1.0438*1588.347</f>
        <v>1657.9165986</v>
      </c>
      <c r="H108" s="58">
        <v>232</v>
      </c>
      <c r="I108" s="5">
        <v>1.5E-3</v>
      </c>
      <c r="J108" s="5">
        <v>4.3799999999999999E-2</v>
      </c>
      <c r="K108" s="2">
        <f>2021653.67*1586.263</f>
        <v>3206874415.5352097</v>
      </c>
      <c r="L108" s="3">
        <f t="shared" si="30"/>
        <v>1.9120591169949912E-3</v>
      </c>
      <c r="M108" s="2">
        <f>1.0453*1586.263</f>
        <v>1658.1207138999998</v>
      </c>
      <c r="N108" s="2">
        <f>1.0453*1586.263</f>
        <v>1658.1207138999998</v>
      </c>
      <c r="O108" s="58">
        <v>235</v>
      </c>
      <c r="P108" s="5">
        <v>1.4E-3</v>
      </c>
      <c r="Q108" s="5">
        <v>4.53E-2</v>
      </c>
      <c r="R108" s="77">
        <f>((K108-D108)/D108)</f>
        <v>1.7378030069759968E-2</v>
      </c>
      <c r="S108" s="77">
        <f t="shared" ref="S108:T111" si="36">((N108-G108)/G108)</f>
        <v>1.2311554162142209E-4</v>
      </c>
      <c r="T108" s="77">
        <f t="shared" si="36"/>
        <v>1.2931034482758621E-2</v>
      </c>
      <c r="U108" s="77">
        <f>P108-I108</f>
        <v>-1.0000000000000005E-4</v>
      </c>
      <c r="V108" s="79">
        <f>Q108-J108</f>
        <v>1.5000000000000013E-3</v>
      </c>
    </row>
    <row r="109" spans="1:28">
      <c r="A109" s="159">
        <v>94</v>
      </c>
      <c r="B109" s="131" t="s">
        <v>269</v>
      </c>
      <c r="C109" s="132" t="s">
        <v>266</v>
      </c>
      <c r="D109" s="2">
        <f xml:space="preserve"> 385104.15*1588.347</f>
        <v>611679021.34004998</v>
      </c>
      <c r="E109" s="3">
        <f>(D109/$D$135)</f>
        <v>3.7216091229830316E-4</v>
      </c>
      <c r="F109" s="2">
        <f>1.05*1588.347</f>
        <v>1667.7643500000001</v>
      </c>
      <c r="G109" s="2">
        <f>1.06*1588.347</f>
        <v>1683.6478200000001</v>
      </c>
      <c r="H109" s="58">
        <v>15</v>
      </c>
      <c r="I109" s="5">
        <v>0.35599999999999998</v>
      </c>
      <c r="J109" s="5">
        <v>5.7000000000000002E-2</v>
      </c>
      <c r="K109" s="2">
        <f>387291.75*1586.263</f>
        <v>614346573.23025</v>
      </c>
      <c r="L109" s="3">
        <f t="shared" si="30"/>
        <v>3.6629652868507641E-4</v>
      </c>
      <c r="M109" s="2">
        <f>1.06*1586.263</f>
        <v>1681.43878</v>
      </c>
      <c r="N109" s="2">
        <f>1.06*1586.263</f>
        <v>1681.43878</v>
      </c>
      <c r="O109" s="58">
        <v>15</v>
      </c>
      <c r="P109" s="5">
        <v>0.32500000000000001</v>
      </c>
      <c r="Q109" s="5">
        <v>5.8999999999999997E-2</v>
      </c>
      <c r="R109" s="77">
        <f>((K109-D109)/D109)</f>
        <v>4.3610321706898138E-3</v>
      </c>
      <c r="S109" s="77">
        <f t="shared" si="36"/>
        <v>-1.3120558668856211E-3</v>
      </c>
      <c r="T109" s="77">
        <f t="shared" si="36"/>
        <v>0</v>
      </c>
      <c r="U109" s="77">
        <f>P109-I109</f>
        <v>-3.0999999999999972E-2</v>
      </c>
      <c r="V109" s="79">
        <f>Q109-J109</f>
        <v>1.9999999999999948E-3</v>
      </c>
    </row>
    <row r="110" spans="1:28">
      <c r="A110" s="155">
        <v>95</v>
      </c>
      <c r="B110" s="131" t="s">
        <v>240</v>
      </c>
      <c r="C110" s="132" t="s">
        <v>24</v>
      </c>
      <c r="D110" s="2">
        <f>483098.96*1588.347</f>
        <v>767328783.81912005</v>
      </c>
      <c r="E110" s="3">
        <v>0</v>
      </c>
      <c r="F110" s="2">
        <f>1.1636*1588.347</f>
        <v>1848.2005692</v>
      </c>
      <c r="G110" s="2">
        <f>1.1636*1588.347</f>
        <v>1848.2005692</v>
      </c>
      <c r="H110" s="58">
        <v>41</v>
      </c>
      <c r="I110" s="5">
        <v>2.3800000000000001E-4</v>
      </c>
      <c r="J110" s="5">
        <v>9.0800000000000006E-2</v>
      </c>
      <c r="K110" s="2">
        <f>484217.25*1586.263</f>
        <v>768095907.63674998</v>
      </c>
      <c r="L110" s="3">
        <f t="shared" si="30"/>
        <v>4.5796766340732483E-4</v>
      </c>
      <c r="M110" s="2">
        <f>1.1682*1586.263</f>
        <v>1853.0724365999997</v>
      </c>
      <c r="N110" s="2">
        <f>1.1682*1586.263</f>
        <v>1853.0724365999997</v>
      </c>
      <c r="O110" s="58">
        <v>42</v>
      </c>
      <c r="P110" s="5">
        <v>2.3800000000000001E-4</v>
      </c>
      <c r="Q110" s="5">
        <v>9.0899999999999995E-2</v>
      </c>
      <c r="R110" s="77">
        <f>((K110-D110)/D110)</f>
        <v>9.9973288348683266E-4</v>
      </c>
      <c r="S110" s="77">
        <f t="shared" si="36"/>
        <v>2.6360057891922982E-3</v>
      </c>
      <c r="T110" s="77">
        <f t="shared" si="36"/>
        <v>2.4390243902439025E-2</v>
      </c>
      <c r="U110" s="77">
        <f>P110-I110</f>
        <v>0</v>
      </c>
      <c r="V110" s="79">
        <f t="shared" si="35"/>
        <v>9.9999999999988987E-5</v>
      </c>
    </row>
    <row r="111" spans="1:28">
      <c r="A111" s="159">
        <v>96</v>
      </c>
      <c r="B111" s="131" t="s">
        <v>137</v>
      </c>
      <c r="C111" s="132" t="s">
        <v>63</v>
      </c>
      <c r="D111" s="2">
        <f>379023.99*1588.347</f>
        <v>602021617.44453001</v>
      </c>
      <c r="E111" s="3">
        <f t="shared" ref="E111:E117" si="37">(D111/$D$135)</f>
        <v>3.6628510469529588E-4</v>
      </c>
      <c r="F111" s="2">
        <f>106.02*1588.347</f>
        <v>168396.54893999998</v>
      </c>
      <c r="G111" s="2">
        <f>106.94*1588.347</f>
        <v>169857.82817999998</v>
      </c>
      <c r="H111" s="58">
        <v>43</v>
      </c>
      <c r="I111" s="5">
        <v>0</v>
      </c>
      <c r="J111" s="5">
        <v>6.0999999999999999E-2</v>
      </c>
      <c r="K111" s="2">
        <f>389283.99*1586.263</f>
        <v>617506789.8293699</v>
      </c>
      <c r="L111" s="3">
        <f t="shared" si="30"/>
        <v>3.6818076865741643E-4</v>
      </c>
      <c r="M111" s="2">
        <f>106.11*1586.263</f>
        <v>168318.36692999999</v>
      </c>
      <c r="N111" s="2">
        <f>107.09*1586.263</f>
        <v>169872.90466999999</v>
      </c>
      <c r="O111" s="58">
        <v>44</v>
      </c>
      <c r="P111" s="5">
        <v>2.3E-3</v>
      </c>
      <c r="Q111" s="5">
        <v>6.3299999999999995E-2</v>
      </c>
      <c r="R111" s="77">
        <f>((K111-D111)/D111)</f>
        <v>2.5721954056353614E-2</v>
      </c>
      <c r="S111" s="77">
        <f t="shared" si="36"/>
        <v>8.8759465263090731E-5</v>
      </c>
      <c r="T111" s="77">
        <f t="shared" si="36"/>
        <v>2.3255813953488372E-2</v>
      </c>
      <c r="U111" s="77">
        <f>P111-I111</f>
        <v>2.3E-3</v>
      </c>
      <c r="V111" s="79">
        <f>Q111-J111</f>
        <v>2.2999999999999965E-3</v>
      </c>
    </row>
    <row r="112" spans="1:28">
      <c r="A112" s="159">
        <v>97</v>
      </c>
      <c r="B112" s="131" t="s">
        <v>130</v>
      </c>
      <c r="C112" s="132" t="s">
        <v>66</v>
      </c>
      <c r="D112" s="2">
        <v>4852528121.6516695</v>
      </c>
      <c r="E112" s="3">
        <f t="shared" si="37"/>
        <v>2.9524002453945415E-3</v>
      </c>
      <c r="F112" s="2">
        <v>173697.18054840001</v>
      </c>
      <c r="G112" s="2">
        <v>173697.18054840001</v>
      </c>
      <c r="H112" s="58">
        <v>54</v>
      </c>
      <c r="I112" s="5">
        <v>7.5799999999999999E-4</v>
      </c>
      <c r="J112" s="5">
        <v>6.7581000000000002E-2</v>
      </c>
      <c r="K112" s="2">
        <v>4875660971.4956493</v>
      </c>
      <c r="L112" s="3">
        <f t="shared" si="30"/>
        <v>2.9070524142645695E-3</v>
      </c>
      <c r="M112" s="2">
        <v>173672.79768649998</v>
      </c>
      <c r="N112" s="2">
        <v>173672.79768649998</v>
      </c>
      <c r="O112" s="58">
        <v>53</v>
      </c>
      <c r="P112" s="5">
        <v>8.2700000000000004E-4</v>
      </c>
      <c r="Q112" s="5">
        <v>6.7400000000000002E-2</v>
      </c>
      <c r="R112" s="77">
        <f t="shared" si="31"/>
        <v>4.7671748136322058E-3</v>
      </c>
      <c r="S112" s="77">
        <f t="shared" si="32"/>
        <v>-1.4037569189692591E-4</v>
      </c>
      <c r="T112" s="77">
        <f t="shared" si="33"/>
        <v>-1.8518518518518517E-2</v>
      </c>
      <c r="U112" s="77">
        <f t="shared" si="34"/>
        <v>6.9000000000000051E-5</v>
      </c>
      <c r="V112" s="79">
        <f t="shared" si="35"/>
        <v>-1.810000000000006E-4</v>
      </c>
      <c r="X112" s="104"/>
    </row>
    <row r="113" spans="1:24">
      <c r="A113" s="155">
        <v>98</v>
      </c>
      <c r="B113" s="131" t="s">
        <v>131</v>
      </c>
      <c r="C113" s="132" t="s">
        <v>26</v>
      </c>
      <c r="D113" s="2">
        <v>53090371839.330002</v>
      </c>
      <c r="E113" s="3">
        <f t="shared" si="37"/>
        <v>3.2301518490360427E-2</v>
      </c>
      <c r="F113" s="2">
        <v>201769.55</v>
      </c>
      <c r="G113" s="2">
        <v>201769.55</v>
      </c>
      <c r="H113" s="58">
        <v>2194</v>
      </c>
      <c r="I113" s="5">
        <v>1.6999999999999999E-3</v>
      </c>
      <c r="J113" s="5">
        <v>5.62E-2</v>
      </c>
      <c r="K113" s="2">
        <v>53184122333.440002</v>
      </c>
      <c r="L113" s="3">
        <f t="shared" si="30"/>
        <v>3.1710373656792912E-2</v>
      </c>
      <c r="M113" s="2">
        <v>201996.26</v>
      </c>
      <c r="N113" s="2">
        <v>201996.26</v>
      </c>
      <c r="O113" s="58">
        <v>2196</v>
      </c>
      <c r="P113" s="5">
        <v>1.6000000000000001E-3</v>
      </c>
      <c r="Q113" s="5">
        <v>5.79E-2</v>
      </c>
      <c r="R113" s="77">
        <f t="shared" si="31"/>
        <v>1.7658662175831492E-3</v>
      </c>
      <c r="S113" s="77">
        <f t="shared" si="32"/>
        <v>1.1236085920795331E-3</v>
      </c>
      <c r="T113" s="77">
        <f t="shared" si="33"/>
        <v>9.1157702825888785E-4</v>
      </c>
      <c r="U113" s="77">
        <f t="shared" si="34"/>
        <v>-9.9999999999999829E-5</v>
      </c>
      <c r="V113" s="79">
        <f t="shared" si="35"/>
        <v>1.7000000000000001E-3</v>
      </c>
    </row>
    <row r="114" spans="1:24">
      <c r="A114" s="155">
        <v>99</v>
      </c>
      <c r="B114" s="157" t="s">
        <v>132</v>
      </c>
      <c r="C114" s="157" t="s">
        <v>26</v>
      </c>
      <c r="D114" s="2">
        <v>88668513515.559998</v>
      </c>
      <c r="E114" s="3">
        <f t="shared" si="37"/>
        <v>5.3948155373699111E-2</v>
      </c>
      <c r="F114" s="2">
        <v>184288.72</v>
      </c>
      <c r="G114" s="2">
        <v>184288.72</v>
      </c>
      <c r="H114" s="58">
        <v>518</v>
      </c>
      <c r="I114" s="5">
        <v>1.9E-3</v>
      </c>
      <c r="J114" s="5">
        <v>6.8599999999999994E-2</v>
      </c>
      <c r="K114" s="2">
        <v>89489234295.320007</v>
      </c>
      <c r="L114" s="3">
        <f t="shared" si="30"/>
        <v>5.3356846616243424E-2</v>
      </c>
      <c r="M114" s="2">
        <v>184539.22</v>
      </c>
      <c r="N114" s="2">
        <v>184539.22</v>
      </c>
      <c r="O114" s="58">
        <v>527</v>
      </c>
      <c r="P114" s="5">
        <v>1.8E-3</v>
      </c>
      <c r="Q114" s="5">
        <v>7.0499999999999993E-2</v>
      </c>
      <c r="R114" s="77">
        <f t="shared" si="31"/>
        <v>9.2560566002494842E-3</v>
      </c>
      <c r="S114" s="77">
        <f t="shared" si="32"/>
        <v>1.3592801556166867E-3</v>
      </c>
      <c r="T114" s="77">
        <f t="shared" si="33"/>
        <v>1.7374517374517374E-2</v>
      </c>
      <c r="U114" s="77">
        <f t="shared" si="34"/>
        <v>-1.0000000000000005E-4</v>
      </c>
      <c r="V114" s="79">
        <f t="shared" si="35"/>
        <v>1.8999999999999989E-3</v>
      </c>
    </row>
    <row r="115" spans="1:24">
      <c r="A115" s="158">
        <v>100</v>
      </c>
      <c r="B115" s="131" t="s">
        <v>133</v>
      </c>
      <c r="C115" s="132" t="s">
        <v>30</v>
      </c>
      <c r="D115" s="2">
        <f>117926.4457*1588.347</f>
        <v>187308116.24825791</v>
      </c>
      <c r="E115" s="3">
        <f t="shared" si="37"/>
        <v>1.1396297239541124E-4</v>
      </c>
      <c r="F115" s="2">
        <f>115.0499822*1588.347</f>
        <v>182739.2940774234</v>
      </c>
      <c r="G115" s="2">
        <f>115.0499822*1588.347</f>
        <v>182739.2940774234</v>
      </c>
      <c r="H115" s="58">
        <v>4</v>
      </c>
      <c r="I115" s="5">
        <v>2.2000000000000001E-3</v>
      </c>
      <c r="J115" s="5">
        <v>4.0000000000000001E-3</v>
      </c>
      <c r="K115" s="2">
        <f>118190.9706*1586.263</f>
        <v>187481963.5968678</v>
      </c>
      <c r="L115" s="3">
        <f t="shared" si="30"/>
        <v>1.1178379671836521E-4</v>
      </c>
      <c r="M115" s="2">
        <f>115.3080548*1586.263</f>
        <v>182908.90093121238</v>
      </c>
      <c r="N115" s="2">
        <f>115.3080548*1586.263</f>
        <v>182908.90093121238</v>
      </c>
      <c r="O115" s="58">
        <v>4</v>
      </c>
      <c r="P115" s="5">
        <v>2.2000000000000001E-3</v>
      </c>
      <c r="Q115" s="5">
        <v>6.1999999999999998E-3</v>
      </c>
      <c r="R115" s="77">
        <f t="shared" si="31"/>
        <v>9.2813569476870661E-4</v>
      </c>
      <c r="S115" s="77">
        <f t="shared" si="32"/>
        <v>9.2813565164108112E-4</v>
      </c>
      <c r="T115" s="77">
        <f t="shared" si="33"/>
        <v>0</v>
      </c>
      <c r="U115" s="77">
        <f t="shared" si="34"/>
        <v>0</v>
      </c>
      <c r="V115" s="79">
        <f t="shared" si="35"/>
        <v>2.1999999999999997E-3</v>
      </c>
    </row>
    <row r="116" spans="1:24">
      <c r="A116" s="155">
        <v>101</v>
      </c>
      <c r="B116" s="131" t="s">
        <v>134</v>
      </c>
      <c r="C116" s="132" t="s">
        <v>33</v>
      </c>
      <c r="D116" s="2">
        <f>10155453.93*1588.347</f>
        <v>16130384783.35371</v>
      </c>
      <c r="E116" s="3">
        <f t="shared" si="37"/>
        <v>9.814132097491518E-3</v>
      </c>
      <c r="F116" s="2">
        <f>1.37*1588.347</f>
        <v>2176.03539</v>
      </c>
      <c r="G116" s="2">
        <f>1.37*1588.347</f>
        <v>2176.03539</v>
      </c>
      <c r="H116" s="59">
        <v>112</v>
      </c>
      <c r="I116" s="12">
        <v>8.9999999999999998E-4</v>
      </c>
      <c r="J116" s="12">
        <v>4.7100000000000003E-2</v>
      </c>
      <c r="K116" s="2">
        <f>10466199.32*1586.263</f>
        <v>16602144731.94116</v>
      </c>
      <c r="L116" s="3">
        <f t="shared" si="30"/>
        <v>9.8988229918197512E-3</v>
      </c>
      <c r="M116" s="2">
        <f>1.37*1586.263</f>
        <v>2173.1803100000002</v>
      </c>
      <c r="N116" s="2">
        <f>1.37*1586.263</f>
        <v>2173.1803100000002</v>
      </c>
      <c r="O116" s="59">
        <v>112</v>
      </c>
      <c r="P116" s="12">
        <v>1.9E-3</v>
      </c>
      <c r="Q116" s="12">
        <v>4.7199999999999999E-2</v>
      </c>
      <c r="R116" s="77">
        <f t="shared" si="31"/>
        <v>2.9246664287531348E-2</v>
      </c>
      <c r="S116" s="77">
        <f t="shared" si="32"/>
        <v>-1.312055866885426E-3</v>
      </c>
      <c r="T116" s="77">
        <f t="shared" si="33"/>
        <v>0</v>
      </c>
      <c r="U116" s="77">
        <f t="shared" si="34"/>
        <v>1E-3</v>
      </c>
      <c r="V116" s="79">
        <f t="shared" si="35"/>
        <v>9.9999999999995925E-5</v>
      </c>
    </row>
    <row r="117" spans="1:24">
      <c r="A117" s="155">
        <v>102</v>
      </c>
      <c r="B117" s="131" t="s">
        <v>135</v>
      </c>
      <c r="C117" s="132" t="s">
        <v>77</v>
      </c>
      <c r="D117" s="2">
        <f>15990626.45*1588.347</f>
        <v>25398663549.978149</v>
      </c>
      <c r="E117" s="3">
        <f t="shared" si="37"/>
        <v>1.5453186177955694E-2</v>
      </c>
      <c r="F117" s="2">
        <f>105*1588.347</f>
        <v>166776.435</v>
      </c>
      <c r="G117" s="2">
        <f>105*1588.347</f>
        <v>166776.435</v>
      </c>
      <c r="H117" s="58">
        <v>398</v>
      </c>
      <c r="I117" s="5">
        <v>2.0999999999999999E-3</v>
      </c>
      <c r="J117" s="5">
        <v>7.2499999999999995E-2</v>
      </c>
      <c r="K117" s="2">
        <f>14914462.37*1586.263</f>
        <v>23658259822.423309</v>
      </c>
      <c r="L117" s="3">
        <f t="shared" si="30"/>
        <v>1.4105944145041037E-2</v>
      </c>
      <c r="M117" s="2">
        <f>105.23*1586.263</f>
        <v>166922.45548999999</v>
      </c>
      <c r="N117" s="2">
        <f>105.23*1586.263</f>
        <v>166922.45548999999</v>
      </c>
      <c r="O117" s="58">
        <v>401</v>
      </c>
      <c r="P117" s="5">
        <v>2.2000000000000001E-3</v>
      </c>
      <c r="Q117" s="5">
        <v>7.4800000000000005E-2</v>
      </c>
      <c r="R117" s="77">
        <f t="shared" si="31"/>
        <v>-6.8523437232441989E-2</v>
      </c>
      <c r="S117" s="77">
        <f t="shared" si="32"/>
        <v>8.7554629645366462E-4</v>
      </c>
      <c r="T117" s="77">
        <f t="shared" si="33"/>
        <v>7.537688442211055E-3</v>
      </c>
      <c r="U117" s="77">
        <f t="shared" si="34"/>
        <v>1.0000000000000026E-4</v>
      </c>
      <c r="V117" s="79">
        <f t="shared" si="35"/>
        <v>2.3000000000000104E-3</v>
      </c>
    </row>
    <row r="118" spans="1:24">
      <c r="A118" s="155">
        <v>103</v>
      </c>
      <c r="B118" s="131" t="s">
        <v>136</v>
      </c>
      <c r="C118" s="132" t="s">
        <v>37</v>
      </c>
      <c r="D118" s="2">
        <f>1855296.82*1588.347</f>
        <v>2946855138.1565399</v>
      </c>
      <c r="E118" s="3">
        <f t="shared" ref="E118:E119" si="38">(D118/$D$135)</f>
        <v>1.7929408372133636E-3</v>
      </c>
      <c r="F118" s="2">
        <f>132.37*1588.347</f>
        <v>210249.49239</v>
      </c>
      <c r="G118" s="2">
        <f>136.45*1588.347</f>
        <v>216729.94814999998</v>
      </c>
      <c r="H118" s="58">
        <v>46</v>
      </c>
      <c r="I118" s="5">
        <v>6.9999999999999999E-4</v>
      </c>
      <c r="J118" s="5">
        <v>6.6E-3</v>
      </c>
      <c r="K118" s="2">
        <f>1859203.2*1586.263</f>
        <v>2949185245.6415997</v>
      </c>
      <c r="L118" s="3">
        <f t="shared" ref="L118:L119" si="39">(K118/$K$135)</f>
        <v>1.7584151438293889E-3</v>
      </c>
      <c r="M118" s="2">
        <f>132.64*1586.263</f>
        <v>210401.92431999996</v>
      </c>
      <c r="N118" s="2">
        <f>136.76*1586.263</f>
        <v>216937.32787999997</v>
      </c>
      <c r="O118" s="58">
        <v>46</v>
      </c>
      <c r="P118" s="5">
        <v>3.3999999999999998E-3</v>
      </c>
      <c r="Q118" s="5">
        <v>8.8000000000000005E-3</v>
      </c>
      <c r="R118" s="77">
        <f t="shared" ref="R118:R119" si="40">((K118-D118)/D118)</f>
        <v>7.9070988420468485E-4</v>
      </c>
      <c r="S118" s="77">
        <f t="shared" ref="S118:S119" si="41">((N118-G118)/G118)</f>
        <v>9.5685774748793535E-4</v>
      </c>
      <c r="T118" s="77">
        <f t="shared" ref="T118:T119" si="42">((O118-H118)/H118)</f>
        <v>0</v>
      </c>
      <c r="U118" s="77">
        <f t="shared" ref="U118:U119" si="43">P118-I118</f>
        <v>2.6999999999999997E-3</v>
      </c>
      <c r="V118" s="79">
        <f t="shared" ref="V118:V119" si="44">Q118-J118</f>
        <v>2.2000000000000006E-3</v>
      </c>
    </row>
    <row r="119" spans="1:24">
      <c r="A119" s="156">
        <v>104</v>
      </c>
      <c r="B119" s="131" t="s">
        <v>280</v>
      </c>
      <c r="C119" s="132" t="s">
        <v>44</v>
      </c>
      <c r="D119" s="4">
        <f>144545702.9*1541.52</f>
        <v>222820091934.40802</v>
      </c>
      <c r="E119" s="3">
        <f t="shared" si="38"/>
        <v>0.13556935222501396</v>
      </c>
      <c r="F119" s="2">
        <f>122.3985*1541.52</f>
        <v>188679.73572</v>
      </c>
      <c r="G119" s="2">
        <f>122.3985*1541.52</f>
        <v>188679.73572</v>
      </c>
      <c r="H119" s="58">
        <v>3300</v>
      </c>
      <c r="I119" s="5">
        <v>5.5199999999999999E-2</v>
      </c>
      <c r="J119" s="5">
        <v>5.3199999999999997E-2</v>
      </c>
      <c r="K119" s="4">
        <f>143272075.74*1540.78</f>
        <v>220750748858.67722</v>
      </c>
      <c r="L119" s="3">
        <f t="shared" si="39"/>
        <v>0.1316198975220117</v>
      </c>
      <c r="M119" s="2">
        <f>122.5245*1540.78</f>
        <v>188783.29910999999</v>
      </c>
      <c r="N119" s="2">
        <f>122.5245*1540.78</f>
        <v>188783.29910999999</v>
      </c>
      <c r="O119" s="58">
        <v>3309</v>
      </c>
      <c r="P119" s="5">
        <v>5.5100000000000003E-2</v>
      </c>
      <c r="Q119" s="5">
        <v>5.3199999999999997E-2</v>
      </c>
      <c r="R119" s="77">
        <f t="shared" si="40"/>
        <v>-9.2870578131704611E-3</v>
      </c>
      <c r="S119" s="77">
        <f t="shared" si="41"/>
        <v>5.4888454027560954E-4</v>
      </c>
      <c r="T119" s="77">
        <f t="shared" si="42"/>
        <v>2.7272727272727275E-3</v>
      </c>
      <c r="U119" s="77">
        <f t="shared" si="43"/>
        <v>-9.9999999999995925E-5</v>
      </c>
      <c r="V119" s="79">
        <f t="shared" si="44"/>
        <v>0</v>
      </c>
    </row>
    <row r="120" spans="1:24" ht="6" customHeight="1">
      <c r="A120" s="161"/>
      <c r="B120" s="161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</row>
    <row r="121" spans="1:24">
      <c r="A121" s="172" t="s">
        <v>228</v>
      </c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</row>
    <row r="122" spans="1:24">
      <c r="A122" s="159">
        <v>105</v>
      </c>
      <c r="B122" s="131" t="s">
        <v>138</v>
      </c>
      <c r="C122" s="132" t="s">
        <v>96</v>
      </c>
      <c r="D122" s="4">
        <f>1159454.39*1588.347</f>
        <v>1841615901.9933298</v>
      </c>
      <c r="E122" s="3">
        <f t="shared" ref="E122:E132" si="45">(D122/$D$135)</f>
        <v>1.1204854675044985E-3</v>
      </c>
      <c r="F122" s="2">
        <f>107.34*1588.347</f>
        <v>170493.16698000001</v>
      </c>
      <c r="G122" s="2">
        <f>107.34*1588.347</f>
        <v>170493.16698000001</v>
      </c>
      <c r="H122" s="58">
        <v>21</v>
      </c>
      <c r="I122" s="5">
        <v>1.4364E-2</v>
      </c>
      <c r="J122" s="5">
        <v>7.6899999999999996E-2</v>
      </c>
      <c r="K122" s="4">
        <f>1162308.71*1586.263</f>
        <v>1843727301.2507298</v>
      </c>
      <c r="L122" s="3">
        <f t="shared" ref="L122:L134" si="46">(K122/$K$135)</f>
        <v>1.0992995480369233E-3</v>
      </c>
      <c r="M122" s="2">
        <f>107.6*1586.263</f>
        <v>170681.8988</v>
      </c>
      <c r="N122" s="2">
        <f>107.6*1586.263</f>
        <v>170681.8988</v>
      </c>
      <c r="O122" s="58">
        <v>21</v>
      </c>
      <c r="P122" s="5">
        <v>2.4220000000000001E-3</v>
      </c>
      <c r="Q122" s="5">
        <v>7.9399999999999998E-2</v>
      </c>
      <c r="R122" s="77">
        <f>((K122-D122)/D122)</f>
        <v>1.1464927377715939E-3</v>
      </c>
      <c r="S122" s="77">
        <f>((N122-G122)/G122)</f>
        <v>1.1069758591681614E-3</v>
      </c>
      <c r="T122" s="77">
        <f>((O122-H122)/H122)</f>
        <v>0</v>
      </c>
      <c r="U122" s="77">
        <f>P122-I122</f>
        <v>-1.1941999999999999E-2</v>
      </c>
      <c r="V122" s="79">
        <f>Q122-J122</f>
        <v>2.5000000000000022E-3</v>
      </c>
    </row>
    <row r="123" spans="1:24">
      <c r="A123" s="154">
        <v>106</v>
      </c>
      <c r="B123" s="132" t="s">
        <v>139</v>
      </c>
      <c r="C123" s="132" t="s">
        <v>22</v>
      </c>
      <c r="D123" s="2">
        <f>10237509.93*1588.347</f>
        <v>16260718184.785709</v>
      </c>
      <c r="E123" s="3">
        <f t="shared" si="45"/>
        <v>9.8934302193620545E-3</v>
      </c>
      <c r="F123" s="4">
        <f>131.76*1588.347</f>
        <v>209280.60071999999</v>
      </c>
      <c r="G123" s="4">
        <f>131.76*1588.347</f>
        <v>209280.60071999999</v>
      </c>
      <c r="H123" s="58">
        <v>473</v>
      </c>
      <c r="I123" s="5">
        <v>5.0000000000000001E-4</v>
      </c>
      <c r="J123" s="5">
        <v>4.2900000000000001E-2</v>
      </c>
      <c r="K123" s="2">
        <f>9975212.49*1588.347</f>
        <v>15844098832.854031</v>
      </c>
      <c r="L123" s="3">
        <f t="shared" si="46"/>
        <v>9.4468475214275587E-3</v>
      </c>
      <c r="M123" s="4">
        <f>131.92*1588.347</f>
        <v>209534.73623999997</v>
      </c>
      <c r="N123" s="4">
        <f>131.92*1588.347</f>
        <v>209534.73623999997</v>
      </c>
      <c r="O123" s="58">
        <v>477</v>
      </c>
      <c r="P123" s="5">
        <v>5.0000000000000001E-4</v>
      </c>
      <c r="Q123" s="5">
        <v>4.41E-2</v>
      </c>
      <c r="R123" s="77">
        <f t="shared" ref="R123:R135" si="47">((K123-D123)/D123)</f>
        <v>-2.5621214708799724E-2</v>
      </c>
      <c r="S123" s="77">
        <f t="shared" ref="S123:S135" si="48">((N123-G123)/G123)</f>
        <v>1.2143290831814544E-3</v>
      </c>
      <c r="T123" s="77">
        <f t="shared" ref="T123:T135" si="49">((O123-H123)/H123)</f>
        <v>8.4566596194503175E-3</v>
      </c>
      <c r="U123" s="77">
        <f t="shared" ref="U123:U135" si="50">P123-I123</f>
        <v>0</v>
      </c>
      <c r="V123" s="79">
        <f t="shared" ref="V123:V135" si="51">Q123-J123</f>
        <v>1.1999999999999997E-3</v>
      </c>
    </row>
    <row r="124" spans="1:24">
      <c r="A124" s="156">
        <v>107</v>
      </c>
      <c r="B124" s="131" t="s">
        <v>140</v>
      </c>
      <c r="C124" s="132" t="s">
        <v>57</v>
      </c>
      <c r="D124" s="4">
        <v>16438469268.25</v>
      </c>
      <c r="E124" s="3">
        <f t="shared" si="45"/>
        <v>1.0001578452465028E-2</v>
      </c>
      <c r="F124" s="4">
        <v>190035.98</v>
      </c>
      <c r="G124" s="4">
        <v>190035.98</v>
      </c>
      <c r="H124" s="58">
        <v>622</v>
      </c>
      <c r="I124" s="5">
        <v>1.1999999999999999E-3</v>
      </c>
      <c r="J124" s="5">
        <v>6.4500000000000002E-2</v>
      </c>
      <c r="K124" s="4">
        <v>16444237022.219999</v>
      </c>
      <c r="L124" s="3">
        <f t="shared" si="46"/>
        <v>9.8046724773644626E-3</v>
      </c>
      <c r="M124" s="4">
        <v>190351.74</v>
      </c>
      <c r="N124" s="4">
        <v>190351.74</v>
      </c>
      <c r="O124" s="58">
        <v>622</v>
      </c>
      <c r="P124" s="5">
        <v>1.6999999999999999E-3</v>
      </c>
      <c r="Q124" s="5">
        <v>6.4399999999999999E-2</v>
      </c>
      <c r="R124" s="77">
        <f t="shared" si="47"/>
        <v>3.5086928569069464E-4</v>
      </c>
      <c r="S124" s="77">
        <f t="shared" si="48"/>
        <v>1.6615800860446542E-3</v>
      </c>
      <c r="T124" s="77">
        <f t="shared" si="49"/>
        <v>0</v>
      </c>
      <c r="U124" s="77">
        <f t="shared" si="50"/>
        <v>5.0000000000000001E-4</v>
      </c>
      <c r="V124" s="79">
        <f t="shared" si="51"/>
        <v>-1.0000000000000286E-4</v>
      </c>
    </row>
    <row r="125" spans="1:24">
      <c r="A125" s="156">
        <v>108</v>
      </c>
      <c r="B125" s="131" t="s">
        <v>141</v>
      </c>
      <c r="C125" s="132" t="s">
        <v>55</v>
      </c>
      <c r="D125" s="4">
        <v>7020946932.1261482</v>
      </c>
      <c r="E125" s="3">
        <f t="shared" si="45"/>
        <v>4.271720827916773E-3</v>
      </c>
      <c r="F125" s="4">
        <v>2002.8771726137015</v>
      </c>
      <c r="G125" s="4">
        <v>2002.8771726137015</v>
      </c>
      <c r="H125" s="58">
        <v>215</v>
      </c>
      <c r="I125" s="5">
        <v>5.4829197252835721E-2</v>
      </c>
      <c r="J125" s="5">
        <v>5.3350690608316508E-2</v>
      </c>
      <c r="K125" s="4">
        <v>6793809090.8300056</v>
      </c>
      <c r="L125" s="3">
        <f t="shared" si="46"/>
        <v>4.050724452543608E-3</v>
      </c>
      <c r="M125" s="4">
        <v>2075.7625677589913</v>
      </c>
      <c r="N125" s="4">
        <v>2075.7625677589913</v>
      </c>
      <c r="O125" s="58">
        <v>215</v>
      </c>
      <c r="P125" s="5">
        <v>5.2009322495499555E-2</v>
      </c>
      <c r="Q125" s="5">
        <v>5.3367740615211059E-2</v>
      </c>
      <c r="R125" s="77">
        <f t="shared" si="47"/>
        <v>-3.2351453940894351E-2</v>
      </c>
      <c r="S125" s="77">
        <f t="shared" si="48"/>
        <v>3.6390346917867279E-2</v>
      </c>
      <c r="T125" s="77">
        <f t="shared" si="49"/>
        <v>0</v>
      </c>
      <c r="U125" s="77">
        <f t="shared" si="50"/>
        <v>-2.819874757336166E-3</v>
      </c>
      <c r="V125" s="79">
        <f t="shared" si="51"/>
        <v>1.7050006894551994E-5</v>
      </c>
    </row>
    <row r="126" spans="1:24">
      <c r="A126" s="155">
        <v>109</v>
      </c>
      <c r="B126" s="131" t="s">
        <v>275</v>
      </c>
      <c r="C126" s="132" t="s">
        <v>31</v>
      </c>
      <c r="D126" s="4">
        <v>74068143069.996796</v>
      </c>
      <c r="E126" s="3">
        <f t="shared" si="45"/>
        <v>4.5064922509165016E-2</v>
      </c>
      <c r="F126" s="4">
        <f>100*1598.56</f>
        <v>159856</v>
      </c>
      <c r="G126" s="4">
        <f>100*1598.56</f>
        <v>159856</v>
      </c>
      <c r="H126" s="58">
        <v>1675</v>
      </c>
      <c r="I126" s="5">
        <v>5.3199999999999997E-2</v>
      </c>
      <c r="J126" s="5">
        <v>5.7099999999999998E-2</v>
      </c>
      <c r="K126" s="4">
        <v>70914214267.428406</v>
      </c>
      <c r="L126" s="3">
        <f t="shared" si="46"/>
        <v>4.2281721185499922E-2</v>
      </c>
      <c r="M126" s="4">
        <f>100*1540.78</f>
        <v>154078</v>
      </c>
      <c r="N126" s="4">
        <f>100*1540.78</f>
        <v>154078</v>
      </c>
      <c r="O126" s="58">
        <v>1698</v>
      </c>
      <c r="P126" s="5">
        <v>5.1700000000000003E-2</v>
      </c>
      <c r="Q126" s="5">
        <v>5.6755E-2</v>
      </c>
      <c r="R126" s="77">
        <f>((K126-D126)/D126)</f>
        <v>-4.2581448269707868E-2</v>
      </c>
      <c r="S126" s="77">
        <f>((N126-G126)/G126)</f>
        <v>-3.6145030527474725E-2</v>
      </c>
      <c r="T126" s="77">
        <f>((O126-H126)/H126)</f>
        <v>1.373134328358209E-2</v>
      </c>
      <c r="U126" s="77">
        <f>P126-I126</f>
        <v>-1.4999999999999944E-3</v>
      </c>
      <c r="V126" s="79">
        <f>Q126-J126</f>
        <v>-3.4499999999999809E-4</v>
      </c>
    </row>
    <row r="127" spans="1:24" ht="15.75">
      <c r="A127" s="155">
        <v>110</v>
      </c>
      <c r="B127" s="131" t="s">
        <v>250</v>
      </c>
      <c r="C127" s="132" t="s">
        <v>113</v>
      </c>
      <c r="D127" s="4">
        <f>1042888.5*1588.347</f>
        <v>1656468820.3095</v>
      </c>
      <c r="E127" s="3">
        <f t="shared" si="45"/>
        <v>1.0078373229304564E-3</v>
      </c>
      <c r="F127" s="4">
        <f>1.08*1588.347</f>
        <v>1715.4147600000001</v>
      </c>
      <c r="G127" s="4">
        <f>1.1*1588.347</f>
        <v>1747.1817000000001</v>
      </c>
      <c r="H127" s="58">
        <v>39</v>
      </c>
      <c r="I127" s="5">
        <v>8.3000000000000001E-3</v>
      </c>
      <c r="J127" s="5">
        <v>8.1699999999999995E-2</v>
      </c>
      <c r="K127" s="4">
        <f>1059869.9*1586.263</f>
        <v>1681232407.1836998</v>
      </c>
      <c r="L127" s="3">
        <f t="shared" si="46"/>
        <v>1.0024139817793665E-3</v>
      </c>
      <c r="M127" s="4">
        <f>1.08*1586.263</f>
        <v>1713.1640400000001</v>
      </c>
      <c r="N127" s="4">
        <f>1.1*1586.263</f>
        <v>1744.8893</v>
      </c>
      <c r="O127" s="58">
        <v>38</v>
      </c>
      <c r="P127" s="5">
        <v>4.7999999999999996E-3</v>
      </c>
      <c r="Q127" s="5">
        <v>8.1699999999999995E-2</v>
      </c>
      <c r="R127" s="77">
        <f t="shared" si="47"/>
        <v>1.4949624508822906E-2</v>
      </c>
      <c r="S127" s="77">
        <f t="shared" si="48"/>
        <v>-1.3120558668855353E-3</v>
      </c>
      <c r="T127" s="77">
        <f t="shared" si="49"/>
        <v>-2.564102564102564E-2</v>
      </c>
      <c r="U127" s="77">
        <f t="shared" si="50"/>
        <v>-3.5000000000000005E-3</v>
      </c>
      <c r="V127" s="79">
        <f t="shared" si="51"/>
        <v>0</v>
      </c>
      <c r="X127" s="113"/>
    </row>
    <row r="128" spans="1:24" ht="15.75">
      <c r="A128" s="155">
        <v>111</v>
      </c>
      <c r="B128" s="131" t="s">
        <v>256</v>
      </c>
      <c r="C128" s="132" t="s">
        <v>35</v>
      </c>
      <c r="D128" s="2">
        <f>1833910.29*1588.347</f>
        <v>2912885907.3906302</v>
      </c>
      <c r="E128" s="3">
        <f t="shared" si="45"/>
        <v>1.7722731022235044E-3</v>
      </c>
      <c r="F128" s="4">
        <f>10.41*1588.347</f>
        <v>16534.69227</v>
      </c>
      <c r="G128" s="4">
        <f>10.41*1588.347</f>
        <v>16534.69227</v>
      </c>
      <c r="H128" s="58">
        <v>65</v>
      </c>
      <c r="I128" s="5">
        <v>7.8299999999999995E-2</v>
      </c>
      <c r="J128" s="5">
        <v>9.8500000000000004E-2</v>
      </c>
      <c r="K128" s="2">
        <f>1841393.63*1586.263</f>
        <v>2920934583.7046895</v>
      </c>
      <c r="L128" s="3">
        <f t="shared" si="46"/>
        <v>1.7415710368522228E-3</v>
      </c>
      <c r="M128" s="4">
        <f>10.42536*1586.263</f>
        <v>16537.362829679998</v>
      </c>
      <c r="N128" s="4">
        <f>10.42536*1586.263</f>
        <v>16537.362829679998</v>
      </c>
      <c r="O128" s="58">
        <v>67</v>
      </c>
      <c r="P128" s="5">
        <v>7.7899999999999997E-2</v>
      </c>
      <c r="Q128" s="5">
        <v>9.8500000000000004E-2</v>
      </c>
      <c r="R128" s="77">
        <f>((K128-D128)/D128)</f>
        <v>2.763127897882303E-3</v>
      </c>
      <c r="S128" s="77">
        <f>((N128-G128)/G128)</f>
        <v>1.615125117776628E-4</v>
      </c>
      <c r="T128" s="77">
        <f>((O128-H128)/H128)</f>
        <v>3.0769230769230771E-2</v>
      </c>
      <c r="U128" s="77">
        <f>P128-I128</f>
        <v>-3.9999999999999758E-4</v>
      </c>
      <c r="V128" s="79">
        <f>Q128-J128</f>
        <v>0</v>
      </c>
      <c r="X128" s="113"/>
    </row>
    <row r="129" spans="1:24" ht="15.75">
      <c r="A129" s="158">
        <v>112</v>
      </c>
      <c r="B129" s="132" t="s">
        <v>142</v>
      </c>
      <c r="C129" s="160" t="s">
        <v>39</v>
      </c>
      <c r="D129" s="4">
        <v>19843300257</v>
      </c>
      <c r="E129" s="3">
        <f t="shared" si="45"/>
        <v>1.2073163324247464E-2</v>
      </c>
      <c r="F129" s="4">
        <f>1.0521*1588.347</f>
        <v>1671.0998787000001</v>
      </c>
      <c r="G129" s="4">
        <f>1.0521*1588.347</f>
        <v>1671.0998787000001</v>
      </c>
      <c r="H129" s="58">
        <v>371</v>
      </c>
      <c r="I129" s="5">
        <v>5.3E-3</v>
      </c>
      <c r="J129" s="5">
        <v>8.7099999999999997E-2</v>
      </c>
      <c r="K129" s="4">
        <v>20207725662</v>
      </c>
      <c r="L129" s="3">
        <f t="shared" si="46"/>
        <v>1.2048605925627497E-2</v>
      </c>
      <c r="M129" s="4">
        <f>1.0496*1586.263</f>
        <v>1664.9416447999999</v>
      </c>
      <c r="N129" s="4">
        <f>1.0496*1586.263</f>
        <v>1664.9416447999999</v>
      </c>
      <c r="O129" s="58">
        <v>371</v>
      </c>
      <c r="P129" s="5">
        <v>2.8999999999999998E-3</v>
      </c>
      <c r="Q129" s="5">
        <v>8.4699999999999998E-2</v>
      </c>
      <c r="R129" s="77">
        <f t="shared" si="47"/>
        <v>1.836516105084102E-2</v>
      </c>
      <c r="S129" s="77">
        <f t="shared" si="48"/>
        <v>-3.6851381407500433E-3</v>
      </c>
      <c r="T129" s="77">
        <f t="shared" si="49"/>
        <v>0</v>
      </c>
      <c r="U129" s="77">
        <f t="shared" si="50"/>
        <v>-2.4000000000000002E-3</v>
      </c>
      <c r="V129" s="79">
        <f t="shared" si="51"/>
        <v>-2.3999999999999994E-3</v>
      </c>
      <c r="X129" s="113"/>
    </row>
    <row r="130" spans="1:24">
      <c r="A130" s="156">
        <v>113</v>
      </c>
      <c r="B130" s="131" t="s">
        <v>143</v>
      </c>
      <c r="C130" s="132" t="s">
        <v>79</v>
      </c>
      <c r="D130" s="2">
        <f>330875.43*1588.347</f>
        <v>525544996.61421001</v>
      </c>
      <c r="E130" s="3">
        <f t="shared" si="45"/>
        <v>3.1975480369633344E-4</v>
      </c>
      <c r="F130" s="4">
        <f>1.09*1588.347</f>
        <v>1731.2982300000001</v>
      </c>
      <c r="G130" s="4">
        <f>1.09*1588.347</f>
        <v>1731.2982300000001</v>
      </c>
      <c r="H130" s="58">
        <v>3</v>
      </c>
      <c r="I130" s="5">
        <v>1.4534999999999999E-2</v>
      </c>
      <c r="J130" s="5">
        <v>5.2561999999999998E-2</v>
      </c>
      <c r="K130" s="2">
        <f>330766.18*1586.263</f>
        <v>524682152.98533994</v>
      </c>
      <c r="L130" s="3">
        <f t="shared" si="46"/>
        <v>3.1283522961804151E-4</v>
      </c>
      <c r="M130" s="4">
        <f>1.09*1586.263</f>
        <v>1729.02667</v>
      </c>
      <c r="N130" s="4">
        <f>1.09*1586.263</f>
        <v>1729.02667</v>
      </c>
      <c r="O130" s="58">
        <v>3</v>
      </c>
      <c r="P130" s="5">
        <v>-3.3E-4</v>
      </c>
      <c r="Q130" s="5">
        <v>5.2214000000000003E-2</v>
      </c>
      <c r="R130" s="77">
        <f t="shared" si="47"/>
        <v>-1.6418073322529657E-3</v>
      </c>
      <c r="S130" s="77">
        <f t="shared" si="48"/>
        <v>-1.312055866885589E-3</v>
      </c>
      <c r="T130" s="77">
        <f t="shared" si="49"/>
        <v>0</v>
      </c>
      <c r="U130" s="77">
        <f t="shared" si="50"/>
        <v>-1.4865E-2</v>
      </c>
      <c r="V130" s="79">
        <f t="shared" si="51"/>
        <v>-3.4799999999999415E-4</v>
      </c>
    </row>
    <row r="131" spans="1:24">
      <c r="A131" s="159">
        <v>114</v>
      </c>
      <c r="B131" s="131" t="s">
        <v>144</v>
      </c>
      <c r="C131" s="132" t="s">
        <v>41</v>
      </c>
      <c r="D131" s="2">
        <v>957125771273.45996</v>
      </c>
      <c r="E131" s="3">
        <f t="shared" si="45"/>
        <v>0.58233940971358467</v>
      </c>
      <c r="F131" s="4">
        <v>2488.56</v>
      </c>
      <c r="G131" s="4">
        <v>2488.56</v>
      </c>
      <c r="H131" s="58">
        <v>8392</v>
      </c>
      <c r="I131" s="5">
        <v>1.4E-3</v>
      </c>
      <c r="J131" s="5">
        <v>5.3999999999999999E-2</v>
      </c>
      <c r="K131" s="2">
        <v>995816425307.59998</v>
      </c>
      <c r="L131" s="3">
        <f t="shared" si="46"/>
        <v>0.59374319918448726</v>
      </c>
      <c r="M131" s="4">
        <v>2580.39</v>
      </c>
      <c r="N131" s="4">
        <v>2580.39</v>
      </c>
      <c r="O131" s="58">
        <v>8452</v>
      </c>
      <c r="P131" s="5">
        <v>1.5E-3</v>
      </c>
      <c r="Q131" s="5">
        <v>5.5599999999999997E-2</v>
      </c>
      <c r="R131" s="77">
        <f t="shared" si="47"/>
        <v>4.0423792980374913E-2</v>
      </c>
      <c r="S131" s="77">
        <f t="shared" si="48"/>
        <v>3.6900858327707564E-2</v>
      </c>
      <c r="T131" s="77">
        <f t="shared" si="49"/>
        <v>7.1496663489037183E-3</v>
      </c>
      <c r="U131" s="77">
        <f t="shared" si="50"/>
        <v>1.0000000000000005E-4</v>
      </c>
      <c r="V131" s="79">
        <f t="shared" si="51"/>
        <v>1.5999999999999973E-3</v>
      </c>
    </row>
    <row r="132" spans="1:24" ht="16.5" customHeight="1">
      <c r="A132" s="156">
        <v>115</v>
      </c>
      <c r="B132" s="131" t="s">
        <v>145</v>
      </c>
      <c r="C132" s="132" t="s">
        <v>44</v>
      </c>
      <c r="D132" s="2">
        <f>66822133.11*1541.52</f>
        <v>103007654631.7272</v>
      </c>
      <c r="E132" s="3">
        <f t="shared" si="45"/>
        <v>6.2672449739191505E-2</v>
      </c>
      <c r="F132" s="4">
        <f>1.1381*1541.52</f>
        <v>1754.4039119999998</v>
      </c>
      <c r="G132" s="4">
        <f>1.1381*1541.52</f>
        <v>1754.4039119999998</v>
      </c>
      <c r="H132" s="58">
        <v>395</v>
      </c>
      <c r="I132" s="5">
        <v>0.1011</v>
      </c>
      <c r="J132" s="5">
        <v>8.8300000000000003E-2</v>
      </c>
      <c r="K132" s="2">
        <f>67314472.31*1540.78</f>
        <v>103716792645.8018</v>
      </c>
      <c r="L132" s="3">
        <f t="shared" si="46"/>
        <v>6.1839851914122154E-2</v>
      </c>
      <c r="M132" s="4">
        <f>1.1402*1540.78</f>
        <v>1756.797356</v>
      </c>
      <c r="N132" s="4">
        <f>1.1402*1540.78</f>
        <v>1756.797356</v>
      </c>
      <c r="O132" s="58">
        <v>406</v>
      </c>
      <c r="P132" s="5">
        <v>0.1009</v>
      </c>
      <c r="Q132" s="5">
        <v>8.8599999999999998E-2</v>
      </c>
      <c r="R132" s="77">
        <f t="shared" si="47"/>
        <v>6.8843234671239657E-3</v>
      </c>
      <c r="S132" s="77">
        <f t="shared" si="48"/>
        <v>1.3642491239498973E-3</v>
      </c>
      <c r="T132" s="77">
        <f t="shared" si="49"/>
        <v>2.7848101265822784E-2</v>
      </c>
      <c r="U132" s="77">
        <f t="shared" si="50"/>
        <v>-1.9999999999999185E-4</v>
      </c>
      <c r="V132" s="79">
        <f t="shared" si="51"/>
        <v>2.9999999999999472E-4</v>
      </c>
    </row>
    <row r="133" spans="1:24" ht="16.5" customHeight="1">
      <c r="A133" s="154">
        <v>116</v>
      </c>
      <c r="B133" s="131" t="s">
        <v>278</v>
      </c>
      <c r="C133" s="132" t="s">
        <v>276</v>
      </c>
      <c r="D133" s="4">
        <v>644755408.98043525</v>
      </c>
      <c r="E133" s="3">
        <v>0</v>
      </c>
      <c r="F133" s="4">
        <v>163244.20189999999</v>
      </c>
      <c r="G133" s="4">
        <v>163244.20189999999</v>
      </c>
      <c r="H133" s="58">
        <v>18</v>
      </c>
      <c r="I133" s="5">
        <v>1.1999999999999999E-3</v>
      </c>
      <c r="J133" s="5">
        <v>3.1600000000000003E-2</v>
      </c>
      <c r="K133" s="4">
        <v>668413105.38859999</v>
      </c>
      <c r="L133" s="3">
        <f t="shared" si="46"/>
        <v>3.9853302826138511E-4</v>
      </c>
      <c r="M133" s="4">
        <v>169233.55800000002</v>
      </c>
      <c r="N133" s="4">
        <v>1690233.5580000002</v>
      </c>
      <c r="O133" s="58">
        <v>18</v>
      </c>
      <c r="P133" s="5">
        <v>1.2999999999999999E-3</v>
      </c>
      <c r="Q133" s="5">
        <v>3.3300000000000003E-2</v>
      </c>
      <c r="R133" s="77">
        <f>((K133-D133)/D133)</f>
        <v>3.6692513282789101E-2</v>
      </c>
      <c r="S133" s="77">
        <f>((N133-G133)/G133)</f>
        <v>9.3540189380533239</v>
      </c>
      <c r="T133" s="77">
        <f>((O133-H133)/H133)</f>
        <v>0</v>
      </c>
      <c r="U133" s="77">
        <f>P133-I133</f>
        <v>1.0000000000000005E-4</v>
      </c>
      <c r="V133" s="79">
        <f>Q133-J133</f>
        <v>1.7000000000000001E-3</v>
      </c>
    </row>
    <row r="134" spans="1:24">
      <c r="A134" s="155">
        <v>117</v>
      </c>
      <c r="B134" s="131" t="s">
        <v>260</v>
      </c>
      <c r="C134" s="132" t="s">
        <v>258</v>
      </c>
      <c r="D134" s="4">
        <f>978530.01*1588.347</f>
        <v>1554245205.7934699</v>
      </c>
      <c r="E134" s="3">
        <f>(D134/$D$135)</f>
        <v>9.4564190293162952E-4</v>
      </c>
      <c r="F134" s="4">
        <f>1.2093*1588.347</f>
        <v>1920.7880271000001</v>
      </c>
      <c r="G134" s="4">
        <f>1.2093*1588.347</f>
        <v>1920.7880271000001</v>
      </c>
      <c r="H134" s="58">
        <v>54</v>
      </c>
      <c r="I134" s="5">
        <v>4.542E-3</v>
      </c>
      <c r="J134" s="5">
        <v>9.7011E-2</v>
      </c>
      <c r="K134" s="4">
        <f>1022804.47*1586.263</f>
        <v>1622436886.9956098</v>
      </c>
      <c r="L134" s="3">
        <f t="shared" si="46"/>
        <v>9.6735788171211832E-4</v>
      </c>
      <c r="M134" s="4">
        <f>1.2085*1586.263</f>
        <v>1916.9988354999998</v>
      </c>
      <c r="N134" s="4">
        <f>1.2085*1586.263</f>
        <v>1916.9988354999998</v>
      </c>
      <c r="O134" s="58">
        <v>54</v>
      </c>
      <c r="P134" s="5">
        <v>6.4099999999999997E-4</v>
      </c>
      <c r="Q134" s="5">
        <v>9.6309000000000006E-2</v>
      </c>
      <c r="R134" s="77">
        <f t="shared" si="47"/>
        <v>4.3874467778928603E-2</v>
      </c>
      <c r="S134" s="77">
        <f t="shared" si="48"/>
        <v>-1.9727276235271167E-3</v>
      </c>
      <c r="T134" s="77">
        <f t="shared" si="49"/>
        <v>0</v>
      </c>
      <c r="U134" s="77">
        <f t="shared" si="50"/>
        <v>-3.901E-3</v>
      </c>
      <c r="V134" s="79">
        <f t="shared" si="51"/>
        <v>-7.019999999999943E-4</v>
      </c>
    </row>
    <row r="135" spans="1:24">
      <c r="A135" s="71"/>
      <c r="B135" s="129"/>
      <c r="C135" s="64" t="s">
        <v>45</v>
      </c>
      <c r="D135" s="57">
        <f>SUM(D105:D134)</f>
        <v>1643587494351.8052</v>
      </c>
      <c r="E135" s="96">
        <f>(D135/$D$205)</f>
        <v>0.47502725459465217</v>
      </c>
      <c r="F135" s="30"/>
      <c r="G135" s="11"/>
      <c r="H135" s="63">
        <f>SUM(H105:H134)</f>
        <v>19858</v>
      </c>
      <c r="I135" s="33"/>
      <c r="J135" s="33"/>
      <c r="K135" s="57">
        <f>SUM(K105:K134)</f>
        <v>1677183716252.0171</v>
      </c>
      <c r="L135" s="96">
        <f>(K135/$K$205)</f>
        <v>0.47669780461124733</v>
      </c>
      <c r="M135" s="30"/>
      <c r="N135" s="11"/>
      <c r="O135" s="63">
        <f>SUM(O105:O134)</f>
        <v>20028</v>
      </c>
      <c r="P135" s="33"/>
      <c r="Q135" s="33"/>
      <c r="R135" s="77">
        <f t="shared" si="47"/>
        <v>2.0440787007485431E-2</v>
      </c>
      <c r="S135" s="77" t="e">
        <f t="shared" si="48"/>
        <v>#DIV/0!</v>
      </c>
      <c r="T135" s="77">
        <f t="shared" si="49"/>
        <v>8.5607815489978853E-3</v>
      </c>
      <c r="U135" s="77">
        <f t="shared" si="50"/>
        <v>0</v>
      </c>
      <c r="V135" s="79">
        <f t="shared" si="51"/>
        <v>0</v>
      </c>
    </row>
    <row r="136" spans="1:24" ht="8.25" customHeight="1">
      <c r="A136" s="161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</row>
    <row r="137" spans="1:24" ht="15.75">
      <c r="A137" s="168" t="s">
        <v>146</v>
      </c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</row>
    <row r="138" spans="1:24">
      <c r="A138" s="154">
        <v>118</v>
      </c>
      <c r="B138" s="131" t="s">
        <v>242</v>
      </c>
      <c r="C138" s="132" t="s">
        <v>243</v>
      </c>
      <c r="D138" s="2">
        <v>2414193356.5008893</v>
      </c>
      <c r="E138" s="3">
        <f>(D138/$D$143)</f>
        <v>2.4814904715038395E-2</v>
      </c>
      <c r="F138" s="14">
        <v>113.77</v>
      </c>
      <c r="G138" s="14">
        <v>113.77</v>
      </c>
      <c r="H138" s="58">
        <v>7</v>
      </c>
      <c r="I138" s="5">
        <v>4.0325124601208184E-3</v>
      </c>
      <c r="J138" s="5">
        <v>0.113</v>
      </c>
      <c r="K138" s="2">
        <v>2427301921.0166698</v>
      </c>
      <c r="L138" s="3">
        <f>(K138/$K$143)</f>
        <v>2.4916742122741101E-2</v>
      </c>
      <c r="M138" s="14">
        <v>114.39</v>
      </c>
      <c r="N138" s="14">
        <v>114.39</v>
      </c>
      <c r="O138" s="58">
        <v>7</v>
      </c>
      <c r="P138" s="5">
        <v>5.4495912806540314E-3</v>
      </c>
      <c r="Q138" s="5">
        <v>0.11899999999999999</v>
      </c>
      <c r="R138" s="77">
        <f t="shared" ref="R138:R143" si="52">((K138-D138)/D138)</f>
        <v>5.4297906505632538E-3</v>
      </c>
      <c r="S138" s="77">
        <f t="shared" ref="S138:T143" si="53">((N138-G138)/G138)</f>
        <v>5.4495912806539915E-3</v>
      </c>
      <c r="T138" s="77">
        <f t="shared" si="53"/>
        <v>0</v>
      </c>
      <c r="U138" s="77">
        <f t="shared" ref="U138:V143" si="54">P138-I138</f>
        <v>1.417078820533213E-3</v>
      </c>
      <c r="V138" s="79">
        <f t="shared" si="54"/>
        <v>5.9999999999999915E-3</v>
      </c>
    </row>
    <row r="139" spans="1:24">
      <c r="A139" s="158">
        <v>119</v>
      </c>
      <c r="B139" s="131" t="s">
        <v>147</v>
      </c>
      <c r="C139" s="132" t="s">
        <v>39</v>
      </c>
      <c r="D139" s="2">
        <v>53749983529</v>
      </c>
      <c r="E139" s="3">
        <f>(D139/$D$143)</f>
        <v>0.55248297163745708</v>
      </c>
      <c r="F139" s="14">
        <v>102.5</v>
      </c>
      <c r="G139" s="14">
        <v>102.5</v>
      </c>
      <c r="H139" s="58">
        <v>666</v>
      </c>
      <c r="I139" s="5">
        <v>0</v>
      </c>
      <c r="J139" s="5">
        <v>7.6999999999999999E-2</v>
      </c>
      <c r="K139" s="2">
        <v>53749983529</v>
      </c>
      <c r="L139" s="3">
        <f>(K139/$K$143)</f>
        <v>0.55175438502216589</v>
      </c>
      <c r="M139" s="14">
        <v>102.5</v>
      </c>
      <c r="N139" s="14">
        <v>102.5</v>
      </c>
      <c r="O139" s="58">
        <v>666</v>
      </c>
      <c r="P139" s="5">
        <v>0</v>
      </c>
      <c r="Q139" s="5">
        <v>7.6999999999999999E-2</v>
      </c>
      <c r="R139" s="77">
        <f t="shared" si="52"/>
        <v>0</v>
      </c>
      <c r="S139" s="77">
        <f t="shared" si="53"/>
        <v>0</v>
      </c>
      <c r="T139" s="77">
        <f t="shared" si="53"/>
        <v>0</v>
      </c>
      <c r="U139" s="77">
        <f t="shared" si="54"/>
        <v>0</v>
      </c>
      <c r="V139" s="79">
        <f t="shared" si="54"/>
        <v>0</v>
      </c>
    </row>
    <row r="140" spans="1:24" ht="15.75" customHeight="1">
      <c r="A140" s="139">
        <v>120</v>
      </c>
      <c r="B140" s="131" t="s">
        <v>148</v>
      </c>
      <c r="C140" s="132" t="s">
        <v>119</v>
      </c>
      <c r="D140" s="2">
        <v>2497295701.7782683</v>
      </c>
      <c r="E140" s="3">
        <f>(D140/$D$143)</f>
        <v>2.5669093454354322E-2</v>
      </c>
      <c r="F140" s="14">
        <v>179.45</v>
      </c>
      <c r="G140" s="14">
        <v>179.45</v>
      </c>
      <c r="H140" s="58">
        <v>2835</v>
      </c>
      <c r="I140" s="5">
        <v>0.13020570087464253</v>
      </c>
      <c r="J140" s="5">
        <v>5.6522478373391138E-2</v>
      </c>
      <c r="K140" s="2">
        <v>2506945988.5316749</v>
      </c>
      <c r="L140" s="3">
        <f>(K140/$K$143)</f>
        <v>2.5734304484759243E-2</v>
      </c>
      <c r="M140" s="14">
        <v>179.45</v>
      </c>
      <c r="N140" s="14">
        <v>179.45</v>
      </c>
      <c r="O140" s="58">
        <v>2835</v>
      </c>
      <c r="P140" s="5">
        <v>0.25343597017662506</v>
      </c>
      <c r="Q140" s="5">
        <v>5.7858834260629724E-2</v>
      </c>
      <c r="R140" s="77">
        <f t="shared" si="52"/>
        <v>3.8642947835671889E-3</v>
      </c>
      <c r="S140" s="77">
        <f t="shared" si="53"/>
        <v>0</v>
      </c>
      <c r="T140" s="77">
        <f t="shared" si="53"/>
        <v>0</v>
      </c>
      <c r="U140" s="77">
        <f t="shared" si="54"/>
        <v>0.12323026930198253</v>
      </c>
      <c r="V140" s="79">
        <f t="shared" si="54"/>
        <v>1.3363558872385856E-3</v>
      </c>
    </row>
    <row r="141" spans="1:24">
      <c r="A141" s="159">
        <v>121</v>
      </c>
      <c r="B141" s="131" t="s">
        <v>149</v>
      </c>
      <c r="C141" s="132" t="s">
        <v>119</v>
      </c>
      <c r="D141" s="2">
        <v>10163921636.620001</v>
      </c>
      <c r="E141" s="3">
        <f>(D141/$D$143)</f>
        <v>0.10447247162895153</v>
      </c>
      <c r="F141" s="14">
        <v>36.6</v>
      </c>
      <c r="G141" s="14">
        <v>36.6</v>
      </c>
      <c r="H141" s="58">
        <v>5261</v>
      </c>
      <c r="I141" s="5">
        <v>0.10995944118972928</v>
      </c>
      <c r="J141" s="5">
        <v>0.19357174688057013</v>
      </c>
      <c r="K141" s="2">
        <v>10196171196.030001</v>
      </c>
      <c r="L141" s="3">
        <f>(K141/$K$143)</f>
        <v>0.10466574682410737</v>
      </c>
      <c r="M141" s="14">
        <v>36.6</v>
      </c>
      <c r="N141" s="14">
        <v>36.6</v>
      </c>
      <c r="O141" s="58">
        <v>5261</v>
      </c>
      <c r="P141" s="5">
        <v>0.15544895817718637</v>
      </c>
      <c r="Q141" s="5">
        <v>0.20010310397221609</v>
      </c>
      <c r="R141" s="77">
        <f t="shared" si="52"/>
        <v>3.1729445152161168E-3</v>
      </c>
      <c r="S141" s="77">
        <f t="shared" si="53"/>
        <v>0</v>
      </c>
      <c r="T141" s="77">
        <f t="shared" si="53"/>
        <v>0</v>
      </c>
      <c r="U141" s="77">
        <f t="shared" si="54"/>
        <v>4.5489516987457096E-2</v>
      </c>
      <c r="V141" s="79">
        <f t="shared" si="54"/>
        <v>6.5313570916459562E-3</v>
      </c>
    </row>
    <row r="142" spans="1:24">
      <c r="A142" s="159">
        <v>122</v>
      </c>
      <c r="B142" s="131" t="s">
        <v>150</v>
      </c>
      <c r="C142" s="132" t="s">
        <v>41</v>
      </c>
      <c r="D142" s="2">
        <v>28462642309.959999</v>
      </c>
      <c r="E142" s="3">
        <f>(D142/$D$143)</f>
        <v>0.2925605585641986</v>
      </c>
      <c r="F142" s="14">
        <v>5.2</v>
      </c>
      <c r="G142" s="14">
        <v>5.2</v>
      </c>
      <c r="H142" s="58">
        <v>208255</v>
      </c>
      <c r="I142" s="5">
        <v>0.04</v>
      </c>
      <c r="J142" s="5">
        <v>-0.1875</v>
      </c>
      <c r="K142" s="2">
        <v>28536101861.060001</v>
      </c>
      <c r="L142" s="3">
        <f>(K142/$K$143)</f>
        <v>0.29292882154622635</v>
      </c>
      <c r="M142" s="14">
        <v>5.2</v>
      </c>
      <c r="N142" s="14">
        <v>5.2</v>
      </c>
      <c r="O142" s="58">
        <v>208255</v>
      </c>
      <c r="P142" s="5">
        <v>0</v>
      </c>
      <c r="Q142" s="5">
        <v>-0.1875</v>
      </c>
      <c r="R142" s="77">
        <f t="shared" si="52"/>
        <v>2.5809111571590249E-3</v>
      </c>
      <c r="S142" s="77">
        <f t="shared" si="53"/>
        <v>0</v>
      </c>
      <c r="T142" s="77">
        <f t="shared" si="53"/>
        <v>0</v>
      </c>
      <c r="U142" s="77">
        <f t="shared" si="54"/>
        <v>-0.04</v>
      </c>
      <c r="V142" s="79">
        <f t="shared" si="54"/>
        <v>0</v>
      </c>
    </row>
    <row r="143" spans="1:24">
      <c r="A143" s="115"/>
      <c r="B143" s="130"/>
      <c r="C143" s="68" t="s">
        <v>45</v>
      </c>
      <c r="D143" s="56">
        <f>SUM(D138:D142)</f>
        <v>97288036533.859161</v>
      </c>
      <c r="E143" s="96">
        <f>(D143/$D$205)</f>
        <v>2.81180460781063E-2</v>
      </c>
      <c r="F143" s="30"/>
      <c r="G143" s="34"/>
      <c r="H143" s="63">
        <f>SUM(H138:H142)</f>
        <v>217024</v>
      </c>
      <c r="I143" s="35"/>
      <c r="J143" s="35"/>
      <c r="K143" s="56">
        <f>SUM(K138:K142)</f>
        <v>97416504495.638351</v>
      </c>
      <c r="L143" s="96">
        <f>(K143/$K$205)</f>
        <v>2.7688221258042909E-2</v>
      </c>
      <c r="M143" s="30"/>
      <c r="N143" s="34"/>
      <c r="O143" s="63">
        <f>SUM(O138:O142)</f>
        <v>217024</v>
      </c>
      <c r="P143" s="35"/>
      <c r="Q143" s="35"/>
      <c r="R143" s="77">
        <f t="shared" si="52"/>
        <v>1.3204908471400731E-3</v>
      </c>
      <c r="S143" s="77" t="e">
        <f t="shared" si="53"/>
        <v>#DIV/0!</v>
      </c>
      <c r="T143" s="77">
        <f t="shared" si="53"/>
        <v>0</v>
      </c>
      <c r="U143" s="77">
        <f t="shared" si="54"/>
        <v>0</v>
      </c>
      <c r="V143" s="79">
        <f t="shared" si="54"/>
        <v>0</v>
      </c>
    </row>
    <row r="144" spans="1:24" ht="7.5" customHeight="1">
      <c r="A144" s="161"/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</row>
    <row r="145" spans="1:24" ht="15" customHeight="1">
      <c r="A145" s="168" t="s">
        <v>151</v>
      </c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</row>
    <row r="146" spans="1:24">
      <c r="A146" s="154">
        <v>123</v>
      </c>
      <c r="B146" s="131" t="s">
        <v>152</v>
      </c>
      <c r="C146" s="132" t="s">
        <v>49</v>
      </c>
      <c r="D146" s="4">
        <v>244904018.15000001</v>
      </c>
      <c r="E146" s="3">
        <f t="shared" ref="E146:E174" si="55">(D146/$D$175)</f>
        <v>4.7918799598588788E-3</v>
      </c>
      <c r="F146" s="4">
        <v>5.48</v>
      </c>
      <c r="G146" s="4">
        <v>5.55</v>
      </c>
      <c r="H146" s="60">
        <v>11835</v>
      </c>
      <c r="I146" s="6">
        <v>3.3999999999999998E-3</v>
      </c>
      <c r="J146" s="6">
        <v>8.863E-2</v>
      </c>
      <c r="K146" s="4">
        <v>244904018.15000001</v>
      </c>
      <c r="L146" s="16">
        <f t="shared" ref="L146:L174" si="56">(K146/$K$175)</f>
        <v>4.7868254380060149E-3</v>
      </c>
      <c r="M146" s="4">
        <v>5.49</v>
      </c>
      <c r="N146" s="4">
        <v>5.58</v>
      </c>
      <c r="O146" s="60">
        <v>11835</v>
      </c>
      <c r="P146" s="6">
        <v>3.241E-3</v>
      </c>
      <c r="Q146" s="6">
        <v>9.1870999999999994E-2</v>
      </c>
      <c r="R146" s="77">
        <f>((K146-D146)/D146)</f>
        <v>0</v>
      </c>
      <c r="S146" s="77">
        <f>((N146-G146)/G146)</f>
        <v>5.4054054054054508E-3</v>
      </c>
      <c r="T146" s="77">
        <f>((O146-H146)/H146)</f>
        <v>0</v>
      </c>
      <c r="U146" s="77">
        <f>P146-I146</f>
        <v>-1.5899999999999985E-4</v>
      </c>
      <c r="V146" s="79">
        <f>Q146-J146</f>
        <v>3.2409999999999939E-3</v>
      </c>
    </row>
    <row r="147" spans="1:24">
      <c r="A147" s="158">
        <v>124</v>
      </c>
      <c r="B147" s="131" t="s">
        <v>252</v>
      </c>
      <c r="C147" s="131" t="s">
        <v>251</v>
      </c>
      <c r="D147" s="4">
        <v>620095455.75321996</v>
      </c>
      <c r="E147" s="3">
        <f t="shared" si="55"/>
        <v>1.2133010352665841E-2</v>
      </c>
      <c r="F147" s="4">
        <v>1182.7279648668571</v>
      </c>
      <c r="G147" s="4">
        <v>1193.69508973401</v>
      </c>
      <c r="H147" s="60">
        <v>168</v>
      </c>
      <c r="I147" s="6">
        <v>4.1111433661601025E-3</v>
      </c>
      <c r="J147" s="6">
        <v>5.5625938279107785E-2</v>
      </c>
      <c r="K147" s="4">
        <v>620095455.75321996</v>
      </c>
      <c r="L147" s="16">
        <f t="shared" si="56"/>
        <v>1.2120212334668248E-2</v>
      </c>
      <c r="M147" s="4">
        <v>1182.7279648668571</v>
      </c>
      <c r="N147" s="4">
        <v>1193.69508973401</v>
      </c>
      <c r="O147" s="60">
        <v>168</v>
      </c>
      <c r="P147" s="6">
        <v>4.1111433661601025E-3</v>
      </c>
      <c r="Q147" s="6">
        <v>5.5625938279107785E-2</v>
      </c>
      <c r="R147" s="77">
        <f>((K147-D147)/D147)</f>
        <v>0</v>
      </c>
      <c r="S147" s="77">
        <f>((N147-G147)/G147)</f>
        <v>0</v>
      </c>
      <c r="T147" s="77">
        <f>((O147-H147)/H147)</f>
        <v>0</v>
      </c>
      <c r="U147" s="77">
        <f>P147-I147</f>
        <v>0</v>
      </c>
      <c r="V147" s="79">
        <f>Q147-J147</f>
        <v>0</v>
      </c>
    </row>
    <row r="148" spans="1:24">
      <c r="A148" s="159">
        <v>125</v>
      </c>
      <c r="B148" s="131" t="s">
        <v>153</v>
      </c>
      <c r="C148" s="132" t="s">
        <v>20</v>
      </c>
      <c r="D148" s="4">
        <v>6427617437.96</v>
      </c>
      <c r="E148" s="3">
        <f t="shared" si="55"/>
        <v>0.12576507083577221</v>
      </c>
      <c r="F148" s="4">
        <v>746.74270000000001</v>
      </c>
      <c r="G148" s="4">
        <v>769.25760000000002</v>
      </c>
      <c r="H148" s="60">
        <v>21321</v>
      </c>
      <c r="I148" s="6">
        <v>0.41870000000000002</v>
      </c>
      <c r="J148" s="6">
        <v>0.1812</v>
      </c>
      <c r="K148" s="4">
        <v>6478484804.79</v>
      </c>
      <c r="L148" s="16">
        <f t="shared" si="56"/>
        <v>0.12662665193312672</v>
      </c>
      <c r="M148" s="4">
        <v>753.77300000000002</v>
      </c>
      <c r="N148" s="4">
        <v>776.49980000000005</v>
      </c>
      <c r="O148" s="60">
        <v>21324</v>
      </c>
      <c r="P148" s="6">
        <v>0.37080000000000002</v>
      </c>
      <c r="Q148" s="6">
        <v>0.18609999999999999</v>
      </c>
      <c r="R148" s="77">
        <f t="shared" ref="R148:R175" si="57">((K148-D148)/D148)</f>
        <v>7.9138759145168155E-3</v>
      </c>
      <c r="S148" s="77">
        <f t="shared" ref="S148:S175" si="58">((N148-G148)/G148)</f>
        <v>9.4145316211370865E-3</v>
      </c>
      <c r="T148" s="77">
        <f t="shared" ref="T148:T175" si="59">((O148-H148)/H148)</f>
        <v>1.4070634585619811E-4</v>
      </c>
      <c r="U148" s="77">
        <f t="shared" ref="U148:U175" si="60">P148-I148</f>
        <v>-4.7899999999999998E-2</v>
      </c>
      <c r="V148" s="79">
        <f t="shared" ref="V148:V175" si="61">Q148-J148</f>
        <v>4.8999999999999877E-3</v>
      </c>
    </row>
    <row r="149" spans="1:24">
      <c r="A149" s="158">
        <v>126</v>
      </c>
      <c r="B149" s="131" t="s">
        <v>154</v>
      </c>
      <c r="C149" s="132" t="s">
        <v>90</v>
      </c>
      <c r="D149" s="4">
        <v>3641255406.3499999</v>
      </c>
      <c r="E149" s="3">
        <f t="shared" si="55"/>
        <v>7.1246110791573239E-2</v>
      </c>
      <c r="F149" s="4">
        <v>20.688500000000001</v>
      </c>
      <c r="G149" s="4">
        <v>20.933399999999999</v>
      </c>
      <c r="H149" s="58">
        <v>6209</v>
      </c>
      <c r="I149" s="5">
        <v>1.38E-2</v>
      </c>
      <c r="J149" s="5">
        <v>0.1217</v>
      </c>
      <c r="K149" s="4">
        <v>3606292619.9699998</v>
      </c>
      <c r="L149" s="16">
        <f t="shared" si="56"/>
        <v>7.0487586853689818E-2</v>
      </c>
      <c r="M149" s="4">
        <v>20.690100000000001</v>
      </c>
      <c r="N149" s="4">
        <v>20.934799999999999</v>
      </c>
      <c r="O149" s="58">
        <v>6204</v>
      </c>
      <c r="P149" s="5">
        <v>-2.8999999999999998E-3</v>
      </c>
      <c r="Q149" s="5">
        <v>0.12180000000000001</v>
      </c>
      <c r="R149" s="77">
        <f t="shared" si="57"/>
        <v>-9.6018494937291053E-3</v>
      </c>
      <c r="S149" s="77">
        <f t="shared" si="58"/>
        <v>6.6878767902026897E-5</v>
      </c>
      <c r="T149" s="77">
        <f t="shared" si="59"/>
        <v>-8.0528265421162828E-4</v>
      </c>
      <c r="U149" s="77">
        <f t="shared" si="60"/>
        <v>-1.67E-2</v>
      </c>
      <c r="V149" s="79">
        <f t="shared" si="61"/>
        <v>1.0000000000000286E-4</v>
      </c>
    </row>
    <row r="150" spans="1:24">
      <c r="A150" s="159">
        <v>127</v>
      </c>
      <c r="B150" s="131" t="s">
        <v>155</v>
      </c>
      <c r="C150" s="132" t="s">
        <v>100</v>
      </c>
      <c r="D150" s="2">
        <v>1730293925.1484959</v>
      </c>
      <c r="E150" s="3">
        <f t="shared" si="55"/>
        <v>3.3855552257645291E-2</v>
      </c>
      <c r="F150" s="4">
        <v>3.8172999999999999</v>
      </c>
      <c r="G150" s="4">
        <v>3.9156</v>
      </c>
      <c r="H150" s="58">
        <v>2746</v>
      </c>
      <c r="I150" s="5">
        <v>-3.1816</v>
      </c>
      <c r="J150" s="5">
        <v>0.31969999999999998</v>
      </c>
      <c r="K150" s="2">
        <v>1729200437.7311718</v>
      </c>
      <c r="L150" s="16">
        <f t="shared" si="56"/>
        <v>3.3798468090764193E-2</v>
      </c>
      <c r="M150" s="4">
        <v>4.0617999999999999</v>
      </c>
      <c r="N150" s="4">
        <v>4.16</v>
      </c>
      <c r="O150" s="58">
        <v>2746</v>
      </c>
      <c r="P150" s="5">
        <v>7.2999999999999995E-2</v>
      </c>
      <c r="Q150" s="5">
        <v>0.41520000000000001</v>
      </c>
      <c r="R150" s="77">
        <f t="shared" si="57"/>
        <v>-6.3196628123757747E-4</v>
      </c>
      <c r="S150" s="77">
        <f t="shared" si="58"/>
        <v>6.2416998671978793E-2</v>
      </c>
      <c r="T150" s="77">
        <f t="shared" si="59"/>
        <v>0</v>
      </c>
      <c r="U150" s="77">
        <f t="shared" si="60"/>
        <v>3.2545999999999999</v>
      </c>
      <c r="V150" s="79">
        <f t="shared" si="61"/>
        <v>9.5500000000000029E-2</v>
      </c>
    </row>
    <row r="151" spans="1:24">
      <c r="A151" s="156">
        <v>128</v>
      </c>
      <c r="B151" s="131" t="s">
        <v>156</v>
      </c>
      <c r="C151" s="132" t="s">
        <v>55</v>
      </c>
      <c r="D151" s="4">
        <v>3085914115.4699402</v>
      </c>
      <c r="E151" s="3">
        <f t="shared" si="55"/>
        <v>6.0380103680900118E-2</v>
      </c>
      <c r="F151" s="4">
        <v>7037.7422473853403</v>
      </c>
      <c r="G151" s="4">
        <v>7084.4951417403799</v>
      </c>
      <c r="H151" s="58">
        <v>883</v>
      </c>
      <c r="I151" s="5">
        <v>0.12161570371228081</v>
      </c>
      <c r="J151" s="5">
        <v>0.29949194345304664</v>
      </c>
      <c r="K151" s="4">
        <v>3063416595.1034498</v>
      </c>
      <c r="L151" s="16">
        <f t="shared" si="56"/>
        <v>5.9876683916510763E-2</v>
      </c>
      <c r="M151" s="4">
        <v>7098.0607073594401</v>
      </c>
      <c r="N151" s="4">
        <v>7146.2523580769803</v>
      </c>
      <c r="O151" s="58">
        <v>885</v>
      </c>
      <c r="P151" s="5">
        <v>0.44812578430700167</v>
      </c>
      <c r="Q151" s="5">
        <v>0.30583175043127692</v>
      </c>
      <c r="R151" s="77">
        <f t="shared" si="57"/>
        <v>-7.290390958616914E-3</v>
      </c>
      <c r="S151" s="77">
        <f t="shared" si="58"/>
        <v>8.7172360346102259E-3</v>
      </c>
      <c r="T151" s="77">
        <f t="shared" si="59"/>
        <v>2.2650056625141564E-3</v>
      </c>
      <c r="U151" s="77">
        <f t="shared" si="60"/>
        <v>0.32651008059472086</v>
      </c>
      <c r="V151" s="79">
        <f t="shared" si="61"/>
        <v>6.3398069782302779E-3</v>
      </c>
    </row>
    <row r="152" spans="1:24">
      <c r="A152" s="156">
        <v>129</v>
      </c>
      <c r="B152" s="131" t="s">
        <v>157</v>
      </c>
      <c r="C152" s="132" t="s">
        <v>57</v>
      </c>
      <c r="D152" s="4">
        <v>721995648.45000005</v>
      </c>
      <c r="E152" s="3">
        <f t="shared" si="55"/>
        <v>1.4126826113542356E-2</v>
      </c>
      <c r="F152" s="4">
        <v>179.75</v>
      </c>
      <c r="G152" s="4">
        <v>180.97</v>
      </c>
      <c r="H152" s="58">
        <v>674</v>
      </c>
      <c r="I152" s="5">
        <v>6.0000000000000001E-3</v>
      </c>
      <c r="J152" s="5">
        <v>0.16209999999999999</v>
      </c>
      <c r="K152" s="4">
        <v>728022661.89999998</v>
      </c>
      <c r="L152" s="16">
        <f t="shared" si="56"/>
        <v>1.4229727318288886E-2</v>
      </c>
      <c r="M152" s="4">
        <v>181.59</v>
      </c>
      <c r="N152" s="4">
        <v>182.82</v>
      </c>
      <c r="O152" s="58">
        <v>675</v>
      </c>
      <c r="P152" s="5">
        <v>1.0200000000000001E-2</v>
      </c>
      <c r="Q152" s="5">
        <v>0.17269999999999999</v>
      </c>
      <c r="R152" s="77">
        <f t="shared" si="57"/>
        <v>8.3477143704936245E-3</v>
      </c>
      <c r="S152" s="77">
        <f t="shared" si="58"/>
        <v>1.0222688843454685E-2</v>
      </c>
      <c r="T152" s="77">
        <f t="shared" si="59"/>
        <v>1.483679525222552E-3</v>
      </c>
      <c r="U152" s="77">
        <f t="shared" si="60"/>
        <v>4.2000000000000006E-3</v>
      </c>
      <c r="V152" s="79">
        <f t="shared" si="61"/>
        <v>1.0599999999999998E-2</v>
      </c>
    </row>
    <row r="153" spans="1:24">
      <c r="A153" s="159">
        <v>130</v>
      </c>
      <c r="B153" s="131" t="s">
        <v>158</v>
      </c>
      <c r="C153" s="132" t="s">
        <v>59</v>
      </c>
      <c r="D153" s="4">
        <v>3734808.11</v>
      </c>
      <c r="E153" s="3">
        <f t="shared" si="55"/>
        <v>7.3076596584323598E-5</v>
      </c>
      <c r="F153" s="4">
        <v>102.747</v>
      </c>
      <c r="G153" s="4">
        <v>102.99</v>
      </c>
      <c r="H153" s="58">
        <v>0</v>
      </c>
      <c r="I153" s="5">
        <v>0</v>
      </c>
      <c r="J153" s="5">
        <v>0</v>
      </c>
      <c r="K153" s="4">
        <v>3734808.11</v>
      </c>
      <c r="L153" s="16">
        <f t="shared" si="56"/>
        <v>7.2999514675456398E-5</v>
      </c>
      <c r="M153" s="4">
        <v>102.747</v>
      </c>
      <c r="N153" s="4">
        <v>102.99</v>
      </c>
      <c r="O153" s="58">
        <v>0</v>
      </c>
      <c r="P153" s="5">
        <v>0</v>
      </c>
      <c r="Q153" s="5">
        <v>0</v>
      </c>
      <c r="R153" s="77">
        <f t="shared" si="57"/>
        <v>0</v>
      </c>
      <c r="S153" s="77">
        <f t="shared" si="58"/>
        <v>0</v>
      </c>
      <c r="T153" s="77" t="e">
        <f t="shared" si="59"/>
        <v>#DIV/0!</v>
      </c>
      <c r="U153" s="77">
        <f t="shared" si="60"/>
        <v>0</v>
      </c>
      <c r="V153" s="79">
        <f t="shared" si="61"/>
        <v>0</v>
      </c>
    </row>
    <row r="154" spans="1:24">
      <c r="A154" s="155">
        <v>131</v>
      </c>
      <c r="B154" s="131" t="s">
        <v>159</v>
      </c>
      <c r="C154" s="132" t="s">
        <v>104</v>
      </c>
      <c r="D154" s="4">
        <v>197464232.38999999</v>
      </c>
      <c r="E154" s="3">
        <f t="shared" si="55"/>
        <v>3.8636560768840022E-3</v>
      </c>
      <c r="F154" s="4">
        <v>1.4839</v>
      </c>
      <c r="G154" s="4">
        <v>1.4961</v>
      </c>
      <c r="H154" s="58">
        <v>337</v>
      </c>
      <c r="I154" s="5">
        <v>0</v>
      </c>
      <c r="J154" s="5">
        <v>1.3662135391761643E-2</v>
      </c>
      <c r="K154" s="4">
        <v>198623386.34999999</v>
      </c>
      <c r="L154" s="16">
        <f t="shared" si="56"/>
        <v>3.8822371537438026E-3</v>
      </c>
      <c r="M154" s="4">
        <v>1.4913000000000001</v>
      </c>
      <c r="N154" s="4">
        <v>1.5036</v>
      </c>
      <c r="O154" s="58">
        <v>339</v>
      </c>
      <c r="P154" s="5">
        <v>4.9868589527597429E-3</v>
      </c>
      <c r="Q154" s="5">
        <v>1.8717125486713559E-2</v>
      </c>
      <c r="R154" s="77">
        <f t="shared" si="57"/>
        <v>5.8701970780745327E-3</v>
      </c>
      <c r="S154" s="77">
        <f t="shared" si="58"/>
        <v>5.0130338881091254E-3</v>
      </c>
      <c r="T154" s="77">
        <f t="shared" si="59"/>
        <v>5.9347181008902079E-3</v>
      </c>
      <c r="U154" s="77">
        <f t="shared" si="60"/>
        <v>4.9868589527597429E-3</v>
      </c>
      <c r="V154" s="79">
        <f t="shared" si="61"/>
        <v>5.0549900949519166E-3</v>
      </c>
    </row>
    <row r="155" spans="1:24">
      <c r="A155" s="154">
        <v>132</v>
      </c>
      <c r="B155" s="131" t="s">
        <v>160</v>
      </c>
      <c r="C155" s="132" t="s">
        <v>24</v>
      </c>
      <c r="D155" s="9">
        <v>132182075.43000001</v>
      </c>
      <c r="E155" s="3">
        <f t="shared" si="55"/>
        <v>2.5863219521274797E-3</v>
      </c>
      <c r="F155" s="4">
        <v>151.084</v>
      </c>
      <c r="G155" s="4">
        <v>152.7587</v>
      </c>
      <c r="H155" s="58">
        <v>125</v>
      </c>
      <c r="I155" s="5">
        <v>3.4870000000000001E-3</v>
      </c>
      <c r="J155" s="5">
        <v>0.1701</v>
      </c>
      <c r="K155" s="9">
        <v>130804557.67</v>
      </c>
      <c r="L155" s="16">
        <f t="shared" si="56"/>
        <v>2.5566692975955191E-3</v>
      </c>
      <c r="M155" s="4">
        <v>153.7587</v>
      </c>
      <c r="N155" s="4">
        <v>154.44069999999999</v>
      </c>
      <c r="O155" s="58">
        <v>125</v>
      </c>
      <c r="P155" s="5">
        <v>3.4889999999999999E-3</v>
      </c>
      <c r="Q155" s="5">
        <v>0.1704</v>
      </c>
      <c r="R155" s="77">
        <f t="shared" si="57"/>
        <v>-1.0421365798038941E-2</v>
      </c>
      <c r="S155" s="77">
        <f t="shared" si="58"/>
        <v>1.1010829497763388E-2</v>
      </c>
      <c r="T155" s="77">
        <f t="shared" si="59"/>
        <v>0</v>
      </c>
      <c r="U155" s="77">
        <f t="shared" si="60"/>
        <v>1.9999999999998318E-6</v>
      </c>
      <c r="V155" s="79">
        <f t="shared" si="61"/>
        <v>2.9999999999999472E-4</v>
      </c>
    </row>
    <row r="156" spans="1:24">
      <c r="A156" s="159">
        <v>133</v>
      </c>
      <c r="B156" s="131" t="s">
        <v>161</v>
      </c>
      <c r="C156" s="132" t="s">
        <v>63</v>
      </c>
      <c r="D156" s="9">
        <v>221697663.78999999</v>
      </c>
      <c r="E156" s="3">
        <f t="shared" si="55"/>
        <v>4.3378160974564331E-3</v>
      </c>
      <c r="F156" s="4">
        <v>118.76</v>
      </c>
      <c r="G156" s="4">
        <v>119.65</v>
      </c>
      <c r="H156" s="58">
        <v>43</v>
      </c>
      <c r="I156" s="5">
        <v>0</v>
      </c>
      <c r="J156" s="5">
        <v>0.1578</v>
      </c>
      <c r="K156" s="9">
        <v>221910989.58000001</v>
      </c>
      <c r="L156" s="16">
        <f t="shared" si="56"/>
        <v>4.3374101328301617E-3</v>
      </c>
      <c r="M156" s="4">
        <v>118.9</v>
      </c>
      <c r="N156" s="4">
        <v>119.87</v>
      </c>
      <c r="O156" s="58">
        <v>42</v>
      </c>
      <c r="P156" s="5">
        <v>3.0599999999999999E-2</v>
      </c>
      <c r="Q156" s="5">
        <v>0.18840000000000001</v>
      </c>
      <c r="R156" s="77">
        <f t="shared" si="57"/>
        <v>9.6223742890719558E-4</v>
      </c>
      <c r="S156" s="77">
        <f t="shared" si="58"/>
        <v>1.8386961972419462E-3</v>
      </c>
      <c r="T156" s="77">
        <f t="shared" si="59"/>
        <v>-2.3255813953488372E-2</v>
      </c>
      <c r="U156" s="77">
        <f t="shared" si="60"/>
        <v>3.0599999999999999E-2</v>
      </c>
      <c r="V156" s="79">
        <f t="shared" si="61"/>
        <v>3.0600000000000016E-2</v>
      </c>
    </row>
    <row r="157" spans="1:24" ht="15.75" customHeight="1">
      <c r="A157" s="159">
        <v>134</v>
      </c>
      <c r="B157" s="131" t="s">
        <v>162</v>
      </c>
      <c r="C157" s="132" t="s">
        <v>66</v>
      </c>
      <c r="D157" s="2">
        <v>310362972.95999998</v>
      </c>
      <c r="E157" s="3">
        <f t="shared" si="55"/>
        <v>6.0726733748335069E-3</v>
      </c>
      <c r="F157" s="4">
        <v>1.2596000000000001</v>
      </c>
      <c r="G157" s="4">
        <v>1.2736000000000001</v>
      </c>
      <c r="H157" s="58">
        <v>106</v>
      </c>
      <c r="I157" s="5">
        <v>1.0023000000000001E-2</v>
      </c>
      <c r="J157" s="5">
        <v>9.2200000000000004E-2</v>
      </c>
      <c r="K157" s="2">
        <v>246460469.96000001</v>
      </c>
      <c r="L157" s="16">
        <f t="shared" si="56"/>
        <v>4.8172474097377127E-3</v>
      </c>
      <c r="M157" s="4">
        <v>1.256</v>
      </c>
      <c r="N157" s="4">
        <v>1.27</v>
      </c>
      <c r="O157" s="58">
        <v>105</v>
      </c>
      <c r="P157" s="5">
        <v>3.7299999999999998E-3</v>
      </c>
      <c r="Q157" s="5">
        <v>8.5943000000000006E-2</v>
      </c>
      <c r="R157" s="77">
        <f t="shared" si="57"/>
        <v>-0.20589602680547792</v>
      </c>
      <c r="S157" s="77">
        <f t="shared" si="58"/>
        <v>-2.8266331658291831E-3</v>
      </c>
      <c r="T157" s="77">
        <f t="shared" si="59"/>
        <v>-9.433962264150943E-3</v>
      </c>
      <c r="U157" s="77">
        <f t="shared" si="60"/>
        <v>-6.2930000000000009E-3</v>
      </c>
      <c r="V157" s="79">
        <f t="shared" si="61"/>
        <v>-6.2569999999999987E-3</v>
      </c>
      <c r="X157" s="101"/>
    </row>
    <row r="158" spans="1:24">
      <c r="A158" s="155">
        <v>135</v>
      </c>
      <c r="B158" s="131" t="s">
        <v>163</v>
      </c>
      <c r="C158" s="132" t="s">
        <v>26</v>
      </c>
      <c r="D158" s="4">
        <v>8973944403.1700001</v>
      </c>
      <c r="E158" s="3">
        <f t="shared" si="55"/>
        <v>0.17558741857840796</v>
      </c>
      <c r="F158" s="4">
        <v>330.41</v>
      </c>
      <c r="G158" s="4">
        <v>332.62</v>
      </c>
      <c r="H158" s="58">
        <v>5464</v>
      </c>
      <c r="I158" s="5">
        <v>5.7999999999999996E-3</v>
      </c>
      <c r="J158" s="5">
        <v>0.22189999999999999</v>
      </c>
      <c r="K158" s="4">
        <v>9002765135.3199997</v>
      </c>
      <c r="L158" s="16">
        <f t="shared" si="56"/>
        <v>0.17596552922111963</v>
      </c>
      <c r="M158" s="4">
        <v>331.55</v>
      </c>
      <c r="N158" s="4">
        <v>333.77</v>
      </c>
      <c r="O158" s="58">
        <v>5460</v>
      </c>
      <c r="P158" s="5">
        <v>3.5000000000000001E-3</v>
      </c>
      <c r="Q158" s="5">
        <v>0.2261</v>
      </c>
      <c r="R158" s="77">
        <f t="shared" si="57"/>
        <v>3.2116013711672698E-3</v>
      </c>
      <c r="S158" s="77">
        <f t="shared" si="58"/>
        <v>3.4573988335036294E-3</v>
      </c>
      <c r="T158" s="77">
        <f t="shared" si="59"/>
        <v>-7.320644216691069E-4</v>
      </c>
      <c r="U158" s="77">
        <f t="shared" si="60"/>
        <v>-2.2999999999999995E-3</v>
      </c>
      <c r="V158" s="79">
        <f t="shared" si="61"/>
        <v>4.2000000000000093E-3</v>
      </c>
    </row>
    <row r="159" spans="1:24">
      <c r="A159" s="156">
        <v>136</v>
      </c>
      <c r="B159" s="131" t="s">
        <v>164</v>
      </c>
      <c r="C159" s="132" t="s">
        <v>71</v>
      </c>
      <c r="D159" s="4">
        <v>2964389338.3699999</v>
      </c>
      <c r="E159" s="3">
        <f t="shared" si="55"/>
        <v>5.8002306254747428E-2</v>
      </c>
      <c r="F159" s="4">
        <v>2.0794000000000001</v>
      </c>
      <c r="G159" s="4">
        <v>2.1150000000000002</v>
      </c>
      <c r="H159" s="58">
        <v>10308</v>
      </c>
      <c r="I159" s="5">
        <v>2.3E-3</v>
      </c>
      <c r="J159" s="5">
        <v>0.19209999999999999</v>
      </c>
      <c r="K159" s="4">
        <v>3000183140.3000002</v>
      </c>
      <c r="L159" s="16">
        <f t="shared" si="56"/>
        <v>5.8640740495603867E-2</v>
      </c>
      <c r="M159" s="4">
        <v>2.1042999999999998</v>
      </c>
      <c r="N159" s="4">
        <v>2.1406999999999998</v>
      </c>
      <c r="O159" s="58">
        <v>10308</v>
      </c>
      <c r="P159" s="5">
        <v>1.21E-2</v>
      </c>
      <c r="Q159" s="5">
        <v>0.20649999999999999</v>
      </c>
      <c r="R159" s="77">
        <f t="shared" si="57"/>
        <v>1.2074595420614316E-2</v>
      </c>
      <c r="S159" s="77">
        <f t="shared" si="58"/>
        <v>1.2151300236406435E-2</v>
      </c>
      <c r="T159" s="77">
        <f t="shared" si="59"/>
        <v>0</v>
      </c>
      <c r="U159" s="77">
        <f t="shared" si="60"/>
        <v>9.7999999999999997E-3</v>
      </c>
      <c r="V159" s="79">
        <f t="shared" si="61"/>
        <v>1.4399999999999996E-2</v>
      </c>
    </row>
    <row r="160" spans="1:24">
      <c r="A160" s="156">
        <v>137</v>
      </c>
      <c r="B160" s="131" t="s">
        <v>165</v>
      </c>
      <c r="C160" s="132" t="s">
        <v>73</v>
      </c>
      <c r="D160" s="4">
        <v>211887256.72383457</v>
      </c>
      <c r="E160" s="3">
        <f t="shared" si="55"/>
        <v>4.1458621500547899E-3</v>
      </c>
      <c r="F160" s="4">
        <v>266.63</v>
      </c>
      <c r="G160" s="4">
        <v>275.7</v>
      </c>
      <c r="H160" s="58">
        <v>39</v>
      </c>
      <c r="I160" s="5">
        <v>2.9999999999999997E-4</v>
      </c>
      <c r="J160" s="5">
        <v>0.12770000000000001</v>
      </c>
      <c r="K160" s="4">
        <v>222710489.59503898</v>
      </c>
      <c r="L160" s="16">
        <f t="shared" si="56"/>
        <v>4.3530369365003679E-3</v>
      </c>
      <c r="M160" s="4">
        <v>280.67</v>
      </c>
      <c r="N160" s="4">
        <v>289.77999999999997</v>
      </c>
      <c r="O160" s="58">
        <v>39</v>
      </c>
      <c r="P160" s="5">
        <v>5.0000000000000001E-4</v>
      </c>
      <c r="Q160" s="5">
        <v>0.20100000000000001</v>
      </c>
      <c r="R160" s="77">
        <f t="shared" si="57"/>
        <v>5.1080150069199193E-2</v>
      </c>
      <c r="S160" s="77">
        <f t="shared" si="58"/>
        <v>5.1070003627130885E-2</v>
      </c>
      <c r="T160" s="77">
        <f t="shared" si="59"/>
        <v>0</v>
      </c>
      <c r="U160" s="77">
        <f t="shared" si="60"/>
        <v>2.0000000000000004E-4</v>
      </c>
      <c r="V160" s="79">
        <f t="shared" si="61"/>
        <v>7.3300000000000004E-2</v>
      </c>
    </row>
    <row r="161" spans="1:22">
      <c r="A161" s="156">
        <v>138</v>
      </c>
      <c r="B161" s="131" t="s">
        <v>274</v>
      </c>
      <c r="C161" s="131" t="s">
        <v>254</v>
      </c>
      <c r="D161" s="4">
        <v>58234001.460000001</v>
      </c>
      <c r="E161" s="3">
        <f t="shared" si="55"/>
        <v>1.1394273833745454E-3</v>
      </c>
      <c r="F161" s="4">
        <v>1.1339999999999999</v>
      </c>
      <c r="G161" s="4">
        <v>1.1459999999999999</v>
      </c>
      <c r="H161" s="58">
        <v>25</v>
      </c>
      <c r="I161" s="5">
        <v>2.5999999999999999E-3</v>
      </c>
      <c r="J161" s="5">
        <v>0.16500000000000001</v>
      </c>
      <c r="K161" s="4">
        <v>58300031.939999998</v>
      </c>
      <c r="L161" s="16">
        <f t="shared" si="56"/>
        <v>1.1395161175184465E-3</v>
      </c>
      <c r="M161" s="4">
        <v>1.135</v>
      </c>
      <c r="N161" s="4">
        <v>1.1479999999999999</v>
      </c>
      <c r="O161" s="58">
        <v>25</v>
      </c>
      <c r="P161" s="5">
        <v>8.0000000000000004E-4</v>
      </c>
      <c r="Q161" s="5">
        <v>0.16600000000000001</v>
      </c>
      <c r="R161" s="77">
        <f t="shared" ref="R161" si="62">((K161-D161)/D161)</f>
        <v>1.1338818962209217E-3</v>
      </c>
      <c r="S161" s="77">
        <f t="shared" ref="S161" si="63">((N161-G161)/G161)</f>
        <v>1.745200698080281E-3</v>
      </c>
      <c r="T161" s="77">
        <f t="shared" ref="T161" si="64">((O161-H161)/H161)</f>
        <v>0</v>
      </c>
      <c r="U161" s="77">
        <f t="shared" ref="U161" si="65">P161-I161</f>
        <v>-1.8E-3</v>
      </c>
      <c r="V161" s="79">
        <f t="shared" ref="V161" si="66">Q161-J161</f>
        <v>1.0000000000000009E-3</v>
      </c>
    </row>
    <row r="162" spans="1:22" ht="13.5" customHeight="1">
      <c r="A162" s="155">
        <v>139</v>
      </c>
      <c r="B162" s="131" t="s">
        <v>237</v>
      </c>
      <c r="C162" s="132" t="s">
        <v>31</v>
      </c>
      <c r="D162" s="2">
        <v>2791647308.71</v>
      </c>
      <c r="E162" s="3">
        <f t="shared" si="55"/>
        <v>5.4622373673787854E-2</v>
      </c>
      <c r="F162" s="4">
        <v>3.9410080000000001</v>
      </c>
      <c r="G162" s="4">
        <v>4.070163</v>
      </c>
      <c r="H162" s="58">
        <v>2337</v>
      </c>
      <c r="I162" s="5">
        <v>-1.8122352091339833E-3</v>
      </c>
      <c r="J162" s="5">
        <v>8.3498199213702495E-2</v>
      </c>
      <c r="K162" s="2">
        <v>2806898478.1399999</v>
      </c>
      <c r="L162" s="16">
        <f t="shared" si="56"/>
        <v>5.4862852551612662E-2</v>
      </c>
      <c r="M162" s="4">
        <v>3.9629050000000001</v>
      </c>
      <c r="N162" s="4">
        <v>4.086627</v>
      </c>
      <c r="O162" s="58">
        <v>2337</v>
      </c>
      <c r="P162" s="5">
        <v>5.5561927303877656E-3</v>
      </c>
      <c r="Q162" s="5">
        <v>8.9518324031561791E-2</v>
      </c>
      <c r="R162" s="77">
        <f t="shared" si="57"/>
        <v>5.4631433499553652E-3</v>
      </c>
      <c r="S162" s="77">
        <f t="shared" si="58"/>
        <v>4.0450468445612708E-3</v>
      </c>
      <c r="T162" s="77">
        <f t="shared" si="59"/>
        <v>0</v>
      </c>
      <c r="U162" s="77">
        <f t="shared" si="60"/>
        <v>7.3684279395217489E-3</v>
      </c>
      <c r="V162" s="79">
        <f>Q162-J162</f>
        <v>6.0201248178592959E-3</v>
      </c>
    </row>
    <row r="163" spans="1:22" ht="13.5" customHeight="1">
      <c r="A163" s="155">
        <v>140</v>
      </c>
      <c r="B163" s="131" t="s">
        <v>286</v>
      </c>
      <c r="C163" s="132" t="s">
        <v>287</v>
      </c>
      <c r="D163" s="2">
        <v>56159995.009999998</v>
      </c>
      <c r="E163" s="3">
        <f t="shared" si="55"/>
        <v>1.0988466284345185E-3</v>
      </c>
      <c r="F163" s="4">
        <v>2.069</v>
      </c>
      <c r="G163" s="4">
        <v>2.0830000000000002</v>
      </c>
      <c r="H163" s="58">
        <v>55</v>
      </c>
      <c r="I163" s="5">
        <v>9.4999999999999998E-3</v>
      </c>
      <c r="J163" s="5">
        <v>3.8800000000000001E-2</v>
      </c>
      <c r="K163" s="2">
        <v>58061677.520000003</v>
      </c>
      <c r="L163" s="16">
        <f t="shared" si="56"/>
        <v>1.1348573086939285E-3</v>
      </c>
      <c r="M163" s="4">
        <v>2.11</v>
      </c>
      <c r="N163" s="4">
        <v>2.12</v>
      </c>
      <c r="O163" s="58">
        <v>58</v>
      </c>
      <c r="P163" s="5">
        <v>1.9400000000000001E-2</v>
      </c>
      <c r="Q163" s="5">
        <v>5.8999999999999997E-2</v>
      </c>
      <c r="R163" s="77">
        <f t="shared" ref="R163" si="67">((K163-D163)/D163)</f>
        <v>3.3861871064293843E-2</v>
      </c>
      <c r="S163" s="77">
        <f t="shared" ref="S163" si="68">((N163-G163)/G163)</f>
        <v>1.7762842054728719E-2</v>
      </c>
      <c r="T163" s="77">
        <f t="shared" ref="T163" si="69">((O163-H163)/H163)</f>
        <v>5.4545454545454543E-2</v>
      </c>
      <c r="U163" s="77">
        <f t="shared" ref="U163" si="70">P163-I163</f>
        <v>9.9000000000000008E-3</v>
      </c>
      <c r="V163" s="79">
        <f>Q163-J163</f>
        <v>2.0199999999999996E-2</v>
      </c>
    </row>
    <row r="164" spans="1:22">
      <c r="A164" s="155">
        <v>141</v>
      </c>
      <c r="B164" s="131" t="s">
        <v>166</v>
      </c>
      <c r="C164" s="132" t="s">
        <v>113</v>
      </c>
      <c r="D164" s="2">
        <v>210877602.81</v>
      </c>
      <c r="E164" s="3">
        <f t="shared" si="55"/>
        <v>4.126106899027697E-3</v>
      </c>
      <c r="F164" s="4">
        <v>190.55</v>
      </c>
      <c r="G164" s="4">
        <v>194.53</v>
      </c>
      <c r="H164" s="58">
        <v>139</v>
      </c>
      <c r="I164" s="5">
        <v>-1.6500000000000001E-2</v>
      </c>
      <c r="J164" s="5">
        <v>0.18129999999999999</v>
      </c>
      <c r="K164" s="2">
        <v>208859014.41</v>
      </c>
      <c r="L164" s="16">
        <f t="shared" si="56"/>
        <v>4.0822998768534199E-3</v>
      </c>
      <c r="M164" s="4">
        <v>190.57</v>
      </c>
      <c r="N164" s="4">
        <v>194.66</v>
      </c>
      <c r="O164" s="58">
        <v>141</v>
      </c>
      <c r="P164" s="5">
        <v>4.4000000000000003E-3</v>
      </c>
      <c r="Q164" s="5">
        <v>0.18129999999999999</v>
      </c>
      <c r="R164" s="77">
        <f t="shared" si="57"/>
        <v>-9.5723223950850162E-3</v>
      </c>
      <c r="S164" s="77">
        <f t="shared" si="58"/>
        <v>6.6827738652133577E-4</v>
      </c>
      <c r="T164" s="77">
        <f t="shared" si="59"/>
        <v>1.4388489208633094E-2</v>
      </c>
      <c r="U164" s="77">
        <f t="shared" si="60"/>
        <v>2.0900000000000002E-2</v>
      </c>
      <c r="V164" s="79">
        <f t="shared" si="61"/>
        <v>0</v>
      </c>
    </row>
    <row r="165" spans="1:22">
      <c r="A165" s="159">
        <v>142</v>
      </c>
      <c r="B165" s="131" t="s">
        <v>167</v>
      </c>
      <c r="C165" s="132" t="s">
        <v>28</v>
      </c>
      <c r="D165" s="2">
        <v>2093639427.25</v>
      </c>
      <c r="E165" s="3">
        <f t="shared" si="55"/>
        <v>4.0964900822758082E-2</v>
      </c>
      <c r="F165" s="4">
        <v>552.22</v>
      </c>
      <c r="G165" s="4">
        <v>552.22</v>
      </c>
      <c r="H165" s="58">
        <v>823</v>
      </c>
      <c r="I165" s="5">
        <v>-7.6800000000000002E-3</v>
      </c>
      <c r="J165" s="5">
        <v>0.3392</v>
      </c>
      <c r="K165" s="2">
        <v>2081038289.71</v>
      </c>
      <c r="L165" s="16">
        <f t="shared" si="56"/>
        <v>4.0675392334914857E-2</v>
      </c>
      <c r="M165" s="4">
        <v>552.22</v>
      </c>
      <c r="N165" s="4">
        <v>552.22</v>
      </c>
      <c r="O165" s="58">
        <v>823</v>
      </c>
      <c r="P165" s="5">
        <v>-7.6800000000000002E-3</v>
      </c>
      <c r="Q165" s="5">
        <v>0.3392</v>
      </c>
      <c r="R165" s="77">
        <f t="shared" si="57"/>
        <v>-6.0187716069865877E-3</v>
      </c>
      <c r="S165" s="77">
        <f t="shared" si="58"/>
        <v>0</v>
      </c>
      <c r="T165" s="77">
        <f t="shared" si="59"/>
        <v>0</v>
      </c>
      <c r="U165" s="77">
        <f t="shared" si="60"/>
        <v>0</v>
      </c>
      <c r="V165" s="79">
        <f t="shared" si="61"/>
        <v>0</v>
      </c>
    </row>
    <row r="166" spans="1:22">
      <c r="A166" s="156">
        <v>143</v>
      </c>
      <c r="B166" s="131" t="s">
        <v>168</v>
      </c>
      <c r="C166" s="132" t="s">
        <v>79</v>
      </c>
      <c r="D166" s="4">
        <v>27605914.710000001</v>
      </c>
      <c r="E166" s="3">
        <f t="shared" si="55"/>
        <v>5.4014724001547553E-4</v>
      </c>
      <c r="F166" s="4">
        <v>1.72</v>
      </c>
      <c r="G166" s="4">
        <v>1.72</v>
      </c>
      <c r="H166" s="58">
        <v>8</v>
      </c>
      <c r="I166" s="5">
        <v>4.4330000000000003E-3</v>
      </c>
      <c r="J166" s="5">
        <v>5.7061000000000001E-2</v>
      </c>
      <c r="K166" s="4">
        <v>28279750.98</v>
      </c>
      <c r="L166" s="16">
        <f t="shared" si="56"/>
        <v>5.5274810268170986E-4</v>
      </c>
      <c r="M166" s="4">
        <v>1.75</v>
      </c>
      <c r="N166" s="4">
        <v>1.75</v>
      </c>
      <c r="O166" s="58">
        <v>8</v>
      </c>
      <c r="P166" s="5">
        <v>1.5468000000000001E-2</v>
      </c>
      <c r="Q166" s="5">
        <v>7.3412000000000005E-2</v>
      </c>
      <c r="R166" s="77">
        <f t="shared" si="57"/>
        <v>2.4409126706310812E-2</v>
      </c>
      <c r="S166" s="77">
        <f t="shared" si="58"/>
        <v>1.7441860465116296E-2</v>
      </c>
      <c r="T166" s="77">
        <f t="shared" si="59"/>
        <v>0</v>
      </c>
      <c r="U166" s="77">
        <f t="shared" si="60"/>
        <v>1.1035E-2</v>
      </c>
      <c r="V166" s="79">
        <f t="shared" si="61"/>
        <v>1.6351000000000004E-2</v>
      </c>
    </row>
    <row r="167" spans="1:22">
      <c r="A167" s="139">
        <v>144</v>
      </c>
      <c r="B167" s="131" t="s">
        <v>169</v>
      </c>
      <c r="C167" s="132" t="s">
        <v>37</v>
      </c>
      <c r="D167" s="4">
        <v>334257509.63999999</v>
      </c>
      <c r="E167" s="3">
        <f t="shared" si="55"/>
        <v>6.5402024596232702E-3</v>
      </c>
      <c r="F167" s="4">
        <v>3.426949</v>
      </c>
      <c r="G167" s="4">
        <v>3.4810409999999998</v>
      </c>
      <c r="H167" s="58">
        <v>118</v>
      </c>
      <c r="I167" s="5">
        <v>0.24529999999999999</v>
      </c>
      <c r="J167" s="5">
        <v>0.47349999999999998</v>
      </c>
      <c r="K167" s="4">
        <v>226294338.47999999</v>
      </c>
      <c r="L167" s="16">
        <f t="shared" si="56"/>
        <v>4.4230858443871854E-3</v>
      </c>
      <c r="M167" s="4">
        <v>2.3188040000000001</v>
      </c>
      <c r="N167" s="4">
        <v>2.3739780000000001</v>
      </c>
      <c r="O167" s="58">
        <v>119</v>
      </c>
      <c r="P167" s="5">
        <v>-0.47110000000000002</v>
      </c>
      <c r="Q167" s="5">
        <v>1E-3</v>
      </c>
      <c r="R167" s="77">
        <f t="shared" si="57"/>
        <v>-0.3229940032649613</v>
      </c>
      <c r="S167" s="77">
        <f t="shared" si="58"/>
        <v>-0.31802641795945513</v>
      </c>
      <c r="T167" s="77">
        <f t="shared" si="59"/>
        <v>8.4745762711864406E-3</v>
      </c>
      <c r="U167" s="77">
        <f t="shared" si="60"/>
        <v>-0.71640000000000004</v>
      </c>
      <c r="V167" s="79">
        <f t="shared" si="61"/>
        <v>-0.47249999999999998</v>
      </c>
    </row>
    <row r="168" spans="1:22">
      <c r="A168" s="159">
        <v>145</v>
      </c>
      <c r="B168" s="131" t="s">
        <v>170</v>
      </c>
      <c r="C168" s="132" t="s">
        <v>41</v>
      </c>
      <c r="D168" s="2">
        <v>2638984436.6500001</v>
      </c>
      <c r="E168" s="3">
        <f t="shared" si="55"/>
        <v>5.1635317100503064E-2</v>
      </c>
      <c r="F168" s="4">
        <v>5786.1</v>
      </c>
      <c r="G168" s="4">
        <v>5846.1</v>
      </c>
      <c r="H168" s="58">
        <v>2247</v>
      </c>
      <c r="I168" s="5">
        <v>2.7699999999999999E-2</v>
      </c>
      <c r="J168" s="5">
        <v>0.1643</v>
      </c>
      <c r="K168" s="2">
        <v>2668134970.1500001</v>
      </c>
      <c r="L168" s="3">
        <f t="shared" si="56"/>
        <v>5.2150619837216576E-2</v>
      </c>
      <c r="M168" s="4">
        <v>5869.47</v>
      </c>
      <c r="N168" s="4">
        <v>5930.75</v>
      </c>
      <c r="O168" s="58">
        <v>2245</v>
      </c>
      <c r="P168" s="5">
        <v>1.4500000000000001E-2</v>
      </c>
      <c r="Q168" s="5">
        <v>0.18110000000000001</v>
      </c>
      <c r="R168" s="77">
        <f t="shared" si="57"/>
        <v>1.1046118004774782E-2</v>
      </c>
      <c r="S168" s="77">
        <f t="shared" si="58"/>
        <v>1.4479738629171521E-2</v>
      </c>
      <c r="T168" s="77">
        <f t="shared" si="59"/>
        <v>-8.9007565643079659E-4</v>
      </c>
      <c r="U168" s="77">
        <f t="shared" si="60"/>
        <v>-1.3199999999999998E-2</v>
      </c>
      <c r="V168" s="79">
        <f t="shared" si="61"/>
        <v>1.6800000000000009E-2</v>
      </c>
    </row>
    <row r="169" spans="1:22">
      <c r="A169" s="159">
        <v>146</v>
      </c>
      <c r="B169" s="131" t="s">
        <v>272</v>
      </c>
      <c r="C169" s="131" t="s">
        <v>270</v>
      </c>
      <c r="D169" s="2">
        <v>82545907.609999999</v>
      </c>
      <c r="E169" s="3">
        <f t="shared" si="55"/>
        <v>1.6151228690843818E-3</v>
      </c>
      <c r="F169" s="4">
        <v>1056.53</v>
      </c>
      <c r="G169" s="4">
        <v>1073.51</v>
      </c>
      <c r="H169" s="58">
        <v>7</v>
      </c>
      <c r="I169" s="5">
        <v>-8.2106951297539199E-3</v>
      </c>
      <c r="J169" s="5">
        <v>7.0118E-2</v>
      </c>
      <c r="K169" s="2">
        <v>81446358.890000001</v>
      </c>
      <c r="L169" s="3">
        <f t="shared" si="56"/>
        <v>1.5919277499515348E-3</v>
      </c>
      <c r="M169" s="4">
        <v>1050.18</v>
      </c>
      <c r="N169" s="4">
        <v>1066.8499999999999</v>
      </c>
      <c r="O169" s="58">
        <v>7</v>
      </c>
      <c r="P169" s="5">
        <v>-5.1548119790409963E-3</v>
      </c>
      <c r="Q169" s="5">
        <v>6.3155000000000003E-2</v>
      </c>
      <c r="R169" s="77">
        <f>((K169-D169)/D169)</f>
        <v>-1.3320451029443818E-2</v>
      </c>
      <c r="S169" s="77">
        <f>((N169-G169)/G169)</f>
        <v>-6.2039477974123033E-3</v>
      </c>
      <c r="T169" s="77">
        <f t="shared" si="59"/>
        <v>0</v>
      </c>
      <c r="U169" s="77">
        <f>P169-I169</f>
        <v>3.0558831507129236E-3</v>
      </c>
      <c r="V169" s="79">
        <f>Q169-J169</f>
        <v>-6.962999999999997E-3</v>
      </c>
    </row>
    <row r="170" spans="1:22">
      <c r="A170" s="156">
        <v>147</v>
      </c>
      <c r="B170" s="131" t="s">
        <v>253</v>
      </c>
      <c r="C170" s="131" t="s">
        <v>254</v>
      </c>
      <c r="D170" s="2">
        <v>675422815.21000004</v>
      </c>
      <c r="E170" s="3">
        <f t="shared" si="55"/>
        <v>1.3215565334881239E-2</v>
      </c>
      <c r="F170" s="4">
        <v>1.2929999999999999</v>
      </c>
      <c r="G170" s="4">
        <v>1.2929999999999999</v>
      </c>
      <c r="H170" s="58">
        <v>42</v>
      </c>
      <c r="I170" s="5">
        <v>1.5E-3</v>
      </c>
      <c r="J170" s="5">
        <v>0.2107</v>
      </c>
      <c r="K170" s="2">
        <v>676209536.32000005</v>
      </c>
      <c r="L170" s="3">
        <f t="shared" si="56"/>
        <v>1.3217002458066155E-2</v>
      </c>
      <c r="M170" s="4">
        <v>1.294</v>
      </c>
      <c r="N170" s="4">
        <v>1.294</v>
      </c>
      <c r="O170" s="58">
        <v>42</v>
      </c>
      <c r="P170" s="5">
        <v>1E-3</v>
      </c>
      <c r="Q170" s="5">
        <v>0.21210000000000001</v>
      </c>
      <c r="R170" s="77">
        <f>((K170-D170)/D170)</f>
        <v>1.1647831436600344E-3</v>
      </c>
      <c r="S170" s="77">
        <f>((N170-G170)/G170)</f>
        <v>7.7339520494981587E-4</v>
      </c>
      <c r="T170" s="77">
        <f>((O170-H170)/H170)</f>
        <v>0</v>
      </c>
      <c r="U170" s="77">
        <f>P170-I170</f>
        <v>-5.0000000000000001E-4</v>
      </c>
      <c r="V170" s="79">
        <f>Q170-J170</f>
        <v>1.4000000000000123E-3</v>
      </c>
    </row>
    <row r="171" spans="1:22">
      <c r="A171" s="156">
        <v>148</v>
      </c>
      <c r="B171" s="131" t="s">
        <v>171</v>
      </c>
      <c r="C171" s="132" t="s">
        <v>44</v>
      </c>
      <c r="D171" s="4">
        <v>1825012912.51</v>
      </c>
      <c r="E171" s="3">
        <f t="shared" si="55"/>
        <v>3.5708857976286958E-2</v>
      </c>
      <c r="F171" s="4">
        <v>1.7230000000000001</v>
      </c>
      <c r="G171" s="4">
        <v>1.7331000000000001</v>
      </c>
      <c r="H171" s="58">
        <v>2162</v>
      </c>
      <c r="I171" s="5">
        <v>1.6299999999999999E-2</v>
      </c>
      <c r="J171" s="5">
        <v>0.1245</v>
      </c>
      <c r="K171" s="4">
        <v>1849855896.0699999</v>
      </c>
      <c r="L171" s="16">
        <f t="shared" si="56"/>
        <v>3.6156765931581292E-2</v>
      </c>
      <c r="M171" s="4">
        <v>1.7461</v>
      </c>
      <c r="N171" s="4">
        <v>1.7565</v>
      </c>
      <c r="O171" s="58">
        <v>2156</v>
      </c>
      <c r="P171" s="5">
        <v>1.34E-2</v>
      </c>
      <c r="Q171" s="5">
        <v>0.13689999999999999</v>
      </c>
      <c r="R171" s="77">
        <f t="shared" si="57"/>
        <v>1.361249741835118E-2</v>
      </c>
      <c r="S171" s="77">
        <f t="shared" si="58"/>
        <v>1.350181755236274E-2</v>
      </c>
      <c r="T171" s="77">
        <f t="shared" si="59"/>
        <v>-2.7752081406105457E-3</v>
      </c>
      <c r="U171" s="77">
        <f t="shared" si="60"/>
        <v>-2.8999999999999981E-3</v>
      </c>
      <c r="V171" s="79">
        <f t="shared" si="61"/>
        <v>1.2399999999999994E-2</v>
      </c>
    </row>
    <row r="172" spans="1:22">
      <c r="A172" s="156">
        <v>149</v>
      </c>
      <c r="B172" s="131" t="s">
        <v>172</v>
      </c>
      <c r="C172" s="132" t="s">
        <v>44</v>
      </c>
      <c r="D172" s="4">
        <v>1093138861.6300001</v>
      </c>
      <c r="E172" s="3">
        <f t="shared" si="55"/>
        <v>2.1388747493638234E-2</v>
      </c>
      <c r="F172" s="4">
        <v>1.4202999999999999</v>
      </c>
      <c r="G172" s="4">
        <v>1.4283999999999999</v>
      </c>
      <c r="H172" s="58">
        <v>769</v>
      </c>
      <c r="I172" s="5">
        <v>1.8599999999999998E-2</v>
      </c>
      <c r="J172" s="5">
        <v>0.1905</v>
      </c>
      <c r="K172" s="4">
        <v>1094829541.77</v>
      </c>
      <c r="L172" s="16">
        <f t="shared" si="56"/>
        <v>2.1399231994696059E-2</v>
      </c>
      <c r="M172" s="4">
        <v>1.4231</v>
      </c>
      <c r="N172" s="4">
        <v>1.4313</v>
      </c>
      <c r="O172" s="58">
        <v>757</v>
      </c>
      <c r="P172" s="5">
        <v>1.9E-3</v>
      </c>
      <c r="Q172" s="5">
        <v>0.1925</v>
      </c>
      <c r="R172" s="77">
        <f t="shared" si="57"/>
        <v>1.5466288861772431E-3</v>
      </c>
      <c r="S172" s="77">
        <f t="shared" si="58"/>
        <v>2.0302436292355956E-3</v>
      </c>
      <c r="T172" s="77">
        <f t="shared" si="59"/>
        <v>-1.5604681404421327E-2</v>
      </c>
      <c r="U172" s="77">
        <f t="shared" si="60"/>
        <v>-1.67E-2</v>
      </c>
      <c r="V172" s="79">
        <f t="shared" si="61"/>
        <v>2.0000000000000018E-3</v>
      </c>
    </row>
    <row r="173" spans="1:22">
      <c r="A173" s="155">
        <v>150</v>
      </c>
      <c r="B173" s="131" t="s">
        <v>173</v>
      </c>
      <c r="C173" s="132" t="s">
        <v>86</v>
      </c>
      <c r="D173" s="2">
        <v>9255588110.6000004</v>
      </c>
      <c r="E173" s="3">
        <f t="shared" si="55"/>
        <v>0.18109816049129712</v>
      </c>
      <c r="F173" s="4">
        <v>502.28</v>
      </c>
      <c r="G173" s="4">
        <v>507.72</v>
      </c>
      <c r="H173" s="58">
        <v>36</v>
      </c>
      <c r="I173" s="5">
        <v>7.9436239406973641E-3</v>
      </c>
      <c r="J173" s="5">
        <v>0.44358990090674966</v>
      </c>
      <c r="K173" s="2">
        <v>9349706664.0300007</v>
      </c>
      <c r="L173" s="16">
        <f t="shared" si="56"/>
        <v>0.18274675130018139</v>
      </c>
      <c r="M173" s="4">
        <v>507.37</v>
      </c>
      <c r="N173" s="4">
        <v>512.88</v>
      </c>
      <c r="O173" s="58">
        <v>36</v>
      </c>
      <c r="P173" s="5">
        <v>1.0200000000000001E-2</v>
      </c>
      <c r="Q173" s="5">
        <v>0.45829999999999999</v>
      </c>
      <c r="R173" s="77">
        <f t="shared" si="57"/>
        <v>1.0168835551596192E-2</v>
      </c>
      <c r="S173" s="77">
        <f t="shared" si="58"/>
        <v>1.016308201370828E-2</v>
      </c>
      <c r="T173" s="77">
        <f t="shared" si="59"/>
        <v>0</v>
      </c>
      <c r="U173" s="77">
        <f t="shared" si="60"/>
        <v>2.2563760593026366E-3</v>
      </c>
      <c r="V173" s="79">
        <f t="shared" si="61"/>
        <v>1.4710099093250328E-2</v>
      </c>
    </row>
    <row r="174" spans="1:22">
      <c r="A174" s="158">
        <v>151</v>
      </c>
      <c r="B174" s="131" t="s">
        <v>174</v>
      </c>
      <c r="C174" s="132" t="s">
        <v>39</v>
      </c>
      <c r="D174" s="2">
        <v>477275231.17000002</v>
      </c>
      <c r="E174" s="3">
        <f t="shared" si="55"/>
        <v>9.3385385542337496E-3</v>
      </c>
      <c r="F174" s="4">
        <v>242.42</v>
      </c>
      <c r="G174" s="4">
        <v>245.65</v>
      </c>
      <c r="H174" s="58">
        <v>690</v>
      </c>
      <c r="I174" s="5">
        <v>1.6000000000000001E-3</v>
      </c>
      <c r="J174" s="5">
        <v>0.25679999999999997</v>
      </c>
      <c r="K174" s="2">
        <v>476570952.81999999</v>
      </c>
      <c r="L174" s="16">
        <f t="shared" si="56"/>
        <v>9.3149225447836537E-3</v>
      </c>
      <c r="M174" s="4">
        <v>242.1</v>
      </c>
      <c r="N174" s="4">
        <v>245.24</v>
      </c>
      <c r="O174" s="58">
        <v>690</v>
      </c>
      <c r="P174" s="5">
        <v>-5.1000000000000004E-3</v>
      </c>
      <c r="Q174" s="5">
        <v>0.255</v>
      </c>
      <c r="R174" s="77">
        <f t="shared" si="57"/>
        <v>-1.4756230870676963E-3</v>
      </c>
      <c r="S174" s="77">
        <f t="shared" si="58"/>
        <v>-1.6690413189497113E-3</v>
      </c>
      <c r="T174" s="77">
        <f t="shared" si="59"/>
        <v>0</v>
      </c>
      <c r="U174" s="77">
        <f t="shared" si="60"/>
        <v>-6.7000000000000002E-3</v>
      </c>
      <c r="V174" s="79">
        <f t="shared" si="61"/>
        <v>-1.7999999999999683E-3</v>
      </c>
    </row>
    <row r="175" spans="1:22">
      <c r="A175" s="80"/>
      <c r="B175" s="129"/>
      <c r="C175" s="68" t="s">
        <v>45</v>
      </c>
      <c r="D175" s="69">
        <f>SUM(D146:D174)</f>
        <v>51108128793.195488</v>
      </c>
      <c r="E175" s="96">
        <f>(D175/$D$205)</f>
        <v>1.4771196660678025E-2</v>
      </c>
      <c r="F175" s="30"/>
      <c r="G175" s="36"/>
      <c r="H175" s="63">
        <f>SUM(H146:H174)</f>
        <v>69716</v>
      </c>
      <c r="I175" s="37"/>
      <c r="J175" s="37"/>
      <c r="K175" s="69">
        <f>SUM(K146:K174)</f>
        <v>51162095071.512878</v>
      </c>
      <c r="L175" s="96">
        <f>(K175/$K$205)</f>
        <v>1.4541554490168557E-2</v>
      </c>
      <c r="M175" s="30"/>
      <c r="N175" s="36"/>
      <c r="O175" s="63">
        <f>SUM(O146:O174)</f>
        <v>69699</v>
      </c>
      <c r="P175" s="37"/>
      <c r="Q175" s="37"/>
      <c r="R175" s="77">
        <f t="shared" si="57"/>
        <v>1.0559235799017452E-3</v>
      </c>
      <c r="S175" s="77" t="e">
        <f t="shared" si="58"/>
        <v>#DIV/0!</v>
      </c>
      <c r="T175" s="77">
        <f t="shared" si="59"/>
        <v>-2.4384646279189856E-4</v>
      </c>
      <c r="U175" s="77">
        <f t="shared" si="60"/>
        <v>0</v>
      </c>
      <c r="V175" s="79">
        <f t="shared" si="61"/>
        <v>0</v>
      </c>
    </row>
    <row r="176" spans="1:22" ht="8.25" customHeight="1">
      <c r="A176" s="161"/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</row>
    <row r="177" spans="1:24" ht="15" customHeight="1">
      <c r="A177" s="168" t="s">
        <v>175</v>
      </c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</row>
    <row r="178" spans="1:24">
      <c r="A178" s="159">
        <v>152</v>
      </c>
      <c r="B178" s="131" t="s">
        <v>176</v>
      </c>
      <c r="C178" s="132" t="s">
        <v>20</v>
      </c>
      <c r="D178" s="17">
        <v>983954207.74000001</v>
      </c>
      <c r="E178" s="3">
        <f>(D178/$D$181)</f>
        <v>0.18334592391085819</v>
      </c>
      <c r="F178" s="17">
        <v>65.214500000000001</v>
      </c>
      <c r="G178" s="17">
        <v>67.180800000000005</v>
      </c>
      <c r="H178" s="60">
        <v>1599</v>
      </c>
      <c r="I178" s="6">
        <v>0.41139999999999999</v>
      </c>
      <c r="J178" s="6">
        <v>0.27910000000000001</v>
      </c>
      <c r="K178" s="17">
        <v>975235429.64999998</v>
      </c>
      <c r="L178" s="16">
        <f>(K178/$K$181)</f>
        <v>0.18152196730968187</v>
      </c>
      <c r="M178" s="17">
        <v>64.639799999999994</v>
      </c>
      <c r="N178" s="17">
        <v>66.588700000000003</v>
      </c>
      <c r="O178" s="60">
        <v>1611</v>
      </c>
      <c r="P178" s="6">
        <v>-0.54349999999999998</v>
      </c>
      <c r="Q178" s="6">
        <v>0.2505</v>
      </c>
      <c r="R178" s="77">
        <f>((K178-D178)/D178)</f>
        <v>-8.8609592005564983E-3</v>
      </c>
      <c r="S178" s="77">
        <f t="shared" ref="S178:T181" si="71">((N178-G178)/G178)</f>
        <v>-8.8135300562065654E-3</v>
      </c>
      <c r="T178" s="77">
        <f t="shared" si="71"/>
        <v>7.5046904315196998E-3</v>
      </c>
      <c r="U178" s="77">
        <f t="shared" ref="U178:V181" si="72">P178-I178</f>
        <v>-0.95489999999999997</v>
      </c>
      <c r="V178" s="79">
        <f t="shared" si="72"/>
        <v>-2.8600000000000014E-2</v>
      </c>
    </row>
    <row r="179" spans="1:24">
      <c r="A179" s="158">
        <v>153</v>
      </c>
      <c r="B179" s="131" t="s">
        <v>177</v>
      </c>
      <c r="C179" s="132" t="s">
        <v>178</v>
      </c>
      <c r="D179" s="94">
        <v>919864867.25</v>
      </c>
      <c r="E179" s="3">
        <f>(D179/$D$181)</f>
        <v>0.17140378346108476</v>
      </c>
      <c r="F179" s="17">
        <v>26.075900000000001</v>
      </c>
      <c r="G179" s="17">
        <v>26.327999999999999</v>
      </c>
      <c r="H179" s="58">
        <v>1487</v>
      </c>
      <c r="I179" s="5">
        <v>9.4000000000000004E-3</v>
      </c>
      <c r="J179" s="5">
        <v>0.19700000000000001</v>
      </c>
      <c r="K179" s="94">
        <v>919045240.57000005</v>
      </c>
      <c r="L179" s="16">
        <f>(K179/$K$181)</f>
        <v>0.17106320693736321</v>
      </c>
      <c r="M179" s="17">
        <v>26.1768</v>
      </c>
      <c r="N179" s="17">
        <v>26.431000000000001</v>
      </c>
      <c r="O179" s="58">
        <v>1485</v>
      </c>
      <c r="P179" s="5">
        <v>5.1999999999999998E-3</v>
      </c>
      <c r="Q179" s="5">
        <v>0.2016</v>
      </c>
      <c r="R179" s="77">
        <f>((K179-D179)/D179)</f>
        <v>-8.9102944267268139E-4</v>
      </c>
      <c r="S179" s="77">
        <f t="shared" si="71"/>
        <v>3.9121847462777852E-3</v>
      </c>
      <c r="T179" s="77">
        <f t="shared" si="71"/>
        <v>-1.3449899125756557E-3</v>
      </c>
      <c r="U179" s="77">
        <f t="shared" si="72"/>
        <v>-4.2000000000000006E-3</v>
      </c>
      <c r="V179" s="79">
        <f t="shared" si="72"/>
        <v>4.599999999999993E-3</v>
      </c>
    </row>
    <row r="180" spans="1:24">
      <c r="A180" s="159">
        <v>154</v>
      </c>
      <c r="B180" s="131" t="s">
        <v>179</v>
      </c>
      <c r="C180" s="132" t="s">
        <v>41</v>
      </c>
      <c r="D180" s="9">
        <v>3462835316.6199999</v>
      </c>
      <c r="E180" s="3">
        <f>(D180/$D$181)</f>
        <v>0.64525029262805711</v>
      </c>
      <c r="F180" s="17">
        <v>2.54</v>
      </c>
      <c r="G180" s="17">
        <v>2.57</v>
      </c>
      <c r="H180" s="58">
        <v>10140</v>
      </c>
      <c r="I180" s="5">
        <v>7.7999999999999996E-3</v>
      </c>
      <c r="J180" s="5">
        <v>0.2356</v>
      </c>
      <c r="K180" s="9">
        <v>3478267039.04</v>
      </c>
      <c r="L180" s="16">
        <f>(K180/$K$181)</f>
        <v>0.64741482575295484</v>
      </c>
      <c r="M180" s="17">
        <v>2.5499999999999998</v>
      </c>
      <c r="N180" s="17">
        <v>2.58</v>
      </c>
      <c r="O180" s="58">
        <v>10145</v>
      </c>
      <c r="P180" s="5">
        <v>3.8999999999999998E-3</v>
      </c>
      <c r="Q180" s="5">
        <v>0.2404</v>
      </c>
      <c r="R180" s="77">
        <f>((K180-D180)/D180)</f>
        <v>4.4563835727142384E-3</v>
      </c>
      <c r="S180" s="77">
        <f t="shared" si="71"/>
        <v>3.8910505836576778E-3</v>
      </c>
      <c r="T180" s="77">
        <f t="shared" si="71"/>
        <v>4.9309664694280081E-4</v>
      </c>
      <c r="U180" s="77">
        <f t="shared" si="72"/>
        <v>-3.8999999999999998E-3</v>
      </c>
      <c r="V180" s="79">
        <f t="shared" si="72"/>
        <v>4.7999999999999987E-3</v>
      </c>
    </row>
    <row r="181" spans="1:24">
      <c r="A181" s="71"/>
      <c r="B181" s="129"/>
      <c r="C181" s="64" t="s">
        <v>45</v>
      </c>
      <c r="D181" s="69">
        <f>SUM(D178:D180)</f>
        <v>5366654391.6099997</v>
      </c>
      <c r="E181" s="96">
        <f>(D181/$D$205)</f>
        <v>1.5510626058944444E-3</v>
      </c>
      <c r="F181" s="30"/>
      <c r="G181" s="36"/>
      <c r="H181" s="63">
        <f>SUM(H178:H180)</f>
        <v>13226</v>
      </c>
      <c r="I181" s="37"/>
      <c r="J181" s="37"/>
      <c r="K181" s="69">
        <f>SUM(K178:K180)</f>
        <v>5372547709.2600002</v>
      </c>
      <c r="L181" s="96">
        <f>(K181/$K$205)</f>
        <v>1.5270132146862523E-3</v>
      </c>
      <c r="M181" s="30"/>
      <c r="N181" s="36"/>
      <c r="O181" s="63">
        <f>SUM(O178:O180)</f>
        <v>13241</v>
      </c>
      <c r="P181" s="37"/>
      <c r="Q181" s="37"/>
      <c r="R181" s="77">
        <f>((K181-D181)/D181)</f>
        <v>1.0981362353450477E-3</v>
      </c>
      <c r="S181" s="77" t="e">
        <f t="shared" si="71"/>
        <v>#DIV/0!</v>
      </c>
      <c r="T181" s="77">
        <f t="shared" si="71"/>
        <v>1.1341297444427642E-3</v>
      </c>
      <c r="U181" s="77">
        <f t="shared" si="72"/>
        <v>0</v>
      </c>
      <c r="V181" s="79">
        <f t="shared" si="72"/>
        <v>0</v>
      </c>
    </row>
    <row r="182" spans="1:24" ht="6" customHeight="1">
      <c r="A182" s="161"/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</row>
    <row r="183" spans="1:24" ht="15" customHeight="1">
      <c r="A183" s="168" t="s">
        <v>180</v>
      </c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</row>
    <row r="184" spans="1:24">
      <c r="A184" s="172" t="s">
        <v>229</v>
      </c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</row>
    <row r="185" spans="1:24">
      <c r="A185" s="153">
        <v>155</v>
      </c>
      <c r="B185" s="131" t="s">
        <v>181</v>
      </c>
      <c r="C185" s="132" t="s">
        <v>182</v>
      </c>
      <c r="D185" s="13">
        <v>4451426311.0299997</v>
      </c>
      <c r="E185" s="3">
        <f>(D185/$D$204)</f>
        <v>8.6498085656134913E-2</v>
      </c>
      <c r="F185" s="18">
        <v>2.09</v>
      </c>
      <c r="G185" s="18">
        <v>2.12</v>
      </c>
      <c r="H185" s="59">
        <v>14978</v>
      </c>
      <c r="I185" s="12">
        <v>7.7999999999999996E-3</v>
      </c>
      <c r="J185" s="12">
        <v>0.20880000000000001</v>
      </c>
      <c r="K185" s="13">
        <v>4424191110.4899998</v>
      </c>
      <c r="L185" s="3">
        <f>(K185/$K$204)</f>
        <v>8.5718037989043108E-2</v>
      </c>
      <c r="M185" s="18">
        <v>2.0699999999999998</v>
      </c>
      <c r="N185" s="18">
        <v>2.11</v>
      </c>
      <c r="O185" s="59">
        <v>14977</v>
      </c>
      <c r="P185" s="12">
        <v>-6.1000000000000004E-3</v>
      </c>
      <c r="Q185" s="12">
        <v>0.20169999999999999</v>
      </c>
      <c r="R185" s="77">
        <f>((K185-D185)/D185)</f>
        <v>-6.1183087480331903E-3</v>
      </c>
      <c r="S185" s="77">
        <f>((N185-G185)/G185)</f>
        <v>-4.7169811320755808E-3</v>
      </c>
      <c r="T185" s="77">
        <f>((O185-H185)/H185)</f>
        <v>-6.676458806249166E-5</v>
      </c>
      <c r="U185" s="77">
        <f>P185-I185</f>
        <v>-1.3899999999999999E-2</v>
      </c>
      <c r="V185" s="79">
        <f>Q185-J185</f>
        <v>-7.100000000000023E-3</v>
      </c>
    </row>
    <row r="186" spans="1:24">
      <c r="A186" s="159">
        <v>156</v>
      </c>
      <c r="B186" s="131" t="s">
        <v>183</v>
      </c>
      <c r="C186" s="132" t="s">
        <v>41</v>
      </c>
      <c r="D186" s="13">
        <v>667798022.03999996</v>
      </c>
      <c r="E186" s="3">
        <f>(D186/$D$204)</f>
        <v>1.2976346562962142E-2</v>
      </c>
      <c r="F186" s="18">
        <v>441.59</v>
      </c>
      <c r="G186" s="18">
        <v>447.19</v>
      </c>
      <c r="H186" s="59">
        <v>843</v>
      </c>
      <c r="I186" s="12">
        <v>-1.2999999999999999E-3</v>
      </c>
      <c r="J186" s="12">
        <v>0.1711</v>
      </c>
      <c r="K186" s="13">
        <v>645320527.88999999</v>
      </c>
      <c r="L186" s="3">
        <f>(K186/$K$204)</f>
        <v>1.2502988262335238E-2</v>
      </c>
      <c r="M186" s="18">
        <v>429.32</v>
      </c>
      <c r="N186" s="18">
        <v>434.74</v>
      </c>
      <c r="O186" s="59">
        <v>845</v>
      </c>
      <c r="P186" s="12">
        <v>-2.7799999999999998E-2</v>
      </c>
      <c r="Q186" s="12">
        <v>0.13850000000000001</v>
      </c>
      <c r="R186" s="77">
        <f>((K186-D186)/D186)</f>
        <v>-3.3659120584597378E-2</v>
      </c>
      <c r="S186" s="77">
        <f>((N186-G186)/G186)</f>
        <v>-2.784051521724544E-2</v>
      </c>
      <c r="T186" s="77">
        <f>((O186-H186)/H186)</f>
        <v>2.3724792408066431E-3</v>
      </c>
      <c r="U186" s="77">
        <f>P186-I186</f>
        <v>-2.6499999999999999E-2</v>
      </c>
      <c r="V186" s="79">
        <f>Q186-J186</f>
        <v>-3.259999999999999E-2</v>
      </c>
    </row>
    <row r="187" spans="1:24" ht="6" customHeight="1">
      <c r="A187" s="161"/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</row>
    <row r="188" spans="1:24" ht="15" customHeight="1">
      <c r="A188" s="172" t="s">
        <v>228</v>
      </c>
      <c r="B188" s="172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</row>
    <row r="189" spans="1:24">
      <c r="A189" s="158">
        <v>157</v>
      </c>
      <c r="B189" s="131" t="s">
        <v>184</v>
      </c>
      <c r="C189" s="132" t="s">
        <v>185</v>
      </c>
      <c r="D189" s="2">
        <v>372116219.49000001</v>
      </c>
      <c r="E189" s="3">
        <f t="shared" ref="E189:E200" si="73">(D189/$D$204)</f>
        <v>7.2307926445345123E-3</v>
      </c>
      <c r="F189" s="2">
        <v>1055.73</v>
      </c>
      <c r="G189" s="2">
        <v>1055.73</v>
      </c>
      <c r="H189" s="58">
        <v>22</v>
      </c>
      <c r="I189" s="5">
        <v>2.0999999999999999E-3</v>
      </c>
      <c r="J189" s="5">
        <v>9.7900000000000001E-2</v>
      </c>
      <c r="K189" s="2">
        <v>372911539.38</v>
      </c>
      <c r="L189" s="3">
        <f t="shared" ref="L189:L200" si="74">(K189/$K$204)</f>
        <v>7.2251050419897172E-3</v>
      </c>
      <c r="M189" s="2">
        <v>1057.98</v>
      </c>
      <c r="N189" s="2">
        <v>1057.98</v>
      </c>
      <c r="O189" s="58">
        <v>22</v>
      </c>
      <c r="P189" s="5">
        <v>2.0999999999999999E-3</v>
      </c>
      <c r="Q189" s="5">
        <v>0.1</v>
      </c>
      <c r="R189" s="77">
        <f>((K189-D189)/D189)</f>
        <v>2.1372889660386291E-3</v>
      </c>
      <c r="S189" s="77">
        <f>((N189-G189)/G189)</f>
        <v>2.1312267341081527E-3</v>
      </c>
      <c r="T189" s="77">
        <f>((O189-H189)/H189)</f>
        <v>0</v>
      </c>
      <c r="U189" s="77">
        <f>P189-I189</f>
        <v>0</v>
      </c>
      <c r="V189" s="79">
        <f>Q189-J189</f>
        <v>2.1000000000000046E-3</v>
      </c>
      <c r="X189" s="67"/>
    </row>
    <row r="190" spans="1:24">
      <c r="A190" s="156">
        <v>158</v>
      </c>
      <c r="B190" s="131" t="s">
        <v>186</v>
      </c>
      <c r="C190" s="132" t="s">
        <v>57</v>
      </c>
      <c r="D190" s="2">
        <v>129159536.8</v>
      </c>
      <c r="E190" s="3">
        <f t="shared" si="73"/>
        <v>2.5097692058274348E-3</v>
      </c>
      <c r="F190" s="17">
        <v>115.92</v>
      </c>
      <c r="G190" s="17">
        <v>115.92</v>
      </c>
      <c r="H190" s="58">
        <v>75</v>
      </c>
      <c r="I190" s="5">
        <v>2.7000000000000001E-3</v>
      </c>
      <c r="J190" s="5">
        <v>0.1459</v>
      </c>
      <c r="K190" s="2">
        <v>130098279.3</v>
      </c>
      <c r="L190" s="3">
        <f t="shared" si="74"/>
        <v>2.5206346129363812E-3</v>
      </c>
      <c r="M190" s="17">
        <v>116.23</v>
      </c>
      <c r="N190" s="17">
        <v>116.23</v>
      </c>
      <c r="O190" s="58">
        <v>75</v>
      </c>
      <c r="P190" s="5">
        <v>2.7000000000000001E-3</v>
      </c>
      <c r="Q190" s="5">
        <v>0.1452</v>
      </c>
      <c r="R190" s="77">
        <f t="shared" ref="R190:R205" si="75">((K190-D190)/D190)</f>
        <v>7.2680850617606119E-3</v>
      </c>
      <c r="S190" s="77">
        <f t="shared" ref="S190:S204" si="76">((N190-G190)/G190)</f>
        <v>2.6742581090407375E-3</v>
      </c>
      <c r="T190" s="77">
        <f t="shared" ref="T190:T204" si="77">((O190-H190)/H190)</f>
        <v>0</v>
      </c>
      <c r="U190" s="77">
        <f t="shared" ref="U190:U204" si="78">P190-I190</f>
        <v>0</v>
      </c>
      <c r="V190" s="79">
        <f t="shared" ref="V190:V204" si="79">Q190-J190</f>
        <v>-7.0000000000000617E-4</v>
      </c>
    </row>
    <row r="191" spans="1:24">
      <c r="A191" s="159">
        <v>159</v>
      </c>
      <c r="B191" s="178" t="s">
        <v>187</v>
      </c>
      <c r="C191" s="132" t="s">
        <v>63</v>
      </c>
      <c r="D191" s="9">
        <v>58789158.030000001</v>
      </c>
      <c r="E191" s="3">
        <f t="shared" si="73"/>
        <v>1.1423641034629093E-3</v>
      </c>
      <c r="F191" s="17">
        <v>104.75</v>
      </c>
      <c r="G191" s="17">
        <v>108.26</v>
      </c>
      <c r="H191" s="58">
        <v>14</v>
      </c>
      <c r="I191" s="5">
        <v>0</v>
      </c>
      <c r="J191" s="5">
        <v>0.1028</v>
      </c>
      <c r="K191" s="9">
        <v>58726536.549999997</v>
      </c>
      <c r="L191" s="3">
        <f t="shared" si="74"/>
        <v>1.1378178214368089E-3</v>
      </c>
      <c r="M191" s="17">
        <v>104.9</v>
      </c>
      <c r="N191" s="17">
        <v>108.02</v>
      </c>
      <c r="O191" s="58">
        <v>14</v>
      </c>
      <c r="P191" s="5">
        <v>1.5E-3</v>
      </c>
      <c r="Q191" s="5">
        <v>0.1043</v>
      </c>
      <c r="R191" s="77">
        <f t="shared" si="75"/>
        <v>-1.0651875634627825E-3</v>
      </c>
      <c r="S191" s="77">
        <f t="shared" si="76"/>
        <v>-2.2168852761870412E-3</v>
      </c>
      <c r="T191" s="77">
        <f t="shared" si="77"/>
        <v>0</v>
      </c>
      <c r="U191" s="77">
        <f t="shared" si="78"/>
        <v>1.5E-3</v>
      </c>
      <c r="V191" s="79">
        <f t="shared" si="79"/>
        <v>1.5000000000000013E-3</v>
      </c>
    </row>
    <row r="192" spans="1:24">
      <c r="A192" s="159">
        <v>160</v>
      </c>
      <c r="B192" s="131" t="s">
        <v>279</v>
      </c>
      <c r="C192" s="132" t="s">
        <v>66</v>
      </c>
      <c r="D192" s="9">
        <v>117764573.98</v>
      </c>
      <c r="E192" s="3">
        <v>0</v>
      </c>
      <c r="F192" s="17">
        <v>1.0112000000000001</v>
      </c>
      <c r="G192" s="17">
        <v>1.0112000000000001</v>
      </c>
      <c r="H192" s="58">
        <v>23</v>
      </c>
      <c r="I192" s="5">
        <v>1.2869999999999999E-3</v>
      </c>
      <c r="J192" s="5">
        <v>7.0999999999999994E-2</v>
      </c>
      <c r="K192" s="9">
        <v>117982490.5</v>
      </c>
      <c r="L192" s="3">
        <f t="shared" si="74"/>
        <v>2.2858930254486295E-3</v>
      </c>
      <c r="M192" s="17">
        <v>1.0130999999999999</v>
      </c>
      <c r="N192" s="17">
        <v>1.0130999999999999</v>
      </c>
      <c r="O192" s="58">
        <v>23</v>
      </c>
      <c r="P192" s="5">
        <v>8.7650000000000002E-3</v>
      </c>
      <c r="Q192" s="5">
        <v>7.5069999999999998E-2</v>
      </c>
      <c r="R192" s="77">
        <f t="shared" ref="R192" si="80">((K192-D192)/D192)</f>
        <v>1.8504420526074732E-3</v>
      </c>
      <c r="S192" s="77">
        <f t="shared" ref="S192" si="81">((N192-G192)/G192)</f>
        <v>1.8789556962023246E-3</v>
      </c>
      <c r="T192" s="77">
        <f t="shared" ref="T192" si="82">((O192-H192)/H192)</f>
        <v>0</v>
      </c>
      <c r="U192" s="77">
        <f t="shared" ref="U192" si="83">P192-I192</f>
        <v>7.4780000000000003E-3</v>
      </c>
      <c r="V192" s="79">
        <f t="shared" ref="V192" si="84">Q192-J192</f>
        <v>4.0700000000000042E-3</v>
      </c>
    </row>
    <row r="193" spans="1:22">
      <c r="A193" s="155">
        <v>161</v>
      </c>
      <c r="B193" s="131" t="s">
        <v>188</v>
      </c>
      <c r="C193" s="132" t="s">
        <v>26</v>
      </c>
      <c r="D193" s="2">
        <v>8513788293.3199997</v>
      </c>
      <c r="E193" s="3">
        <f t="shared" si="73"/>
        <v>0.16543605073929504</v>
      </c>
      <c r="F193" s="17">
        <v>148.22</v>
      </c>
      <c r="G193" s="17">
        <v>148.22</v>
      </c>
      <c r="H193" s="58">
        <v>690</v>
      </c>
      <c r="I193" s="5">
        <v>2.7000000000000001E-3</v>
      </c>
      <c r="J193" s="5">
        <v>0.1085</v>
      </c>
      <c r="K193" s="2">
        <v>8532741653.7399998</v>
      </c>
      <c r="L193" s="3">
        <f>(K193/$K$204)</f>
        <v>0.16532058741580191</v>
      </c>
      <c r="M193" s="17">
        <v>148.61000000000001</v>
      </c>
      <c r="N193" s="17">
        <v>148.61000000000001</v>
      </c>
      <c r="O193" s="58">
        <v>692</v>
      </c>
      <c r="P193" s="5">
        <v>2.5999999999999999E-3</v>
      </c>
      <c r="Q193" s="5">
        <v>0.1114</v>
      </c>
      <c r="R193" s="77">
        <f>((K193-D193)/D193)</f>
        <v>2.2261958797907939E-3</v>
      </c>
      <c r="S193" s="77">
        <f>((N193-G193)/G193)</f>
        <v>2.6312238564297312E-3</v>
      </c>
      <c r="T193" s="77">
        <f t="shared" si="77"/>
        <v>2.8985507246376812E-3</v>
      </c>
      <c r="U193" s="77">
        <f t="shared" si="78"/>
        <v>-1.0000000000000026E-4</v>
      </c>
      <c r="V193" s="79">
        <f t="shared" si="79"/>
        <v>2.8999999999999998E-3</v>
      </c>
    </row>
    <row r="194" spans="1:22">
      <c r="A194" s="156">
        <v>162</v>
      </c>
      <c r="B194" s="131" t="s">
        <v>246</v>
      </c>
      <c r="C194" s="132" t="s">
        <v>55</v>
      </c>
      <c r="D194" s="2">
        <v>335880090.01511103</v>
      </c>
      <c r="E194" s="3">
        <f t="shared" si="73"/>
        <v>6.526668704888639E-3</v>
      </c>
      <c r="F194" s="7">
        <v>1133.1108096832199</v>
      </c>
      <c r="G194" s="7">
        <v>1133.1108096832199</v>
      </c>
      <c r="H194" s="58">
        <v>90</v>
      </c>
      <c r="I194" s="5">
        <v>0.1504945546458418</v>
      </c>
      <c r="J194" s="5">
        <v>0.13981900666639469</v>
      </c>
      <c r="K194" s="2">
        <v>437415252.24135202</v>
      </c>
      <c r="L194" s="3">
        <f t="shared" si="74"/>
        <v>8.474854786383405E-3</v>
      </c>
      <c r="M194" s="7">
        <v>1135.98903934538</v>
      </c>
      <c r="N194" s="7">
        <v>1135.98903934538</v>
      </c>
      <c r="O194" s="58">
        <v>89</v>
      </c>
      <c r="P194" s="5">
        <v>0.13281163014095662</v>
      </c>
      <c r="Q194" s="5">
        <v>0.13998398664372538</v>
      </c>
      <c r="R194" s="77">
        <f t="shared" si="75"/>
        <v>0.30229586463929131</v>
      </c>
      <c r="S194" s="77">
        <f t="shared" si="76"/>
        <v>2.5401131447723947E-3</v>
      </c>
      <c r="T194" s="77">
        <f t="shared" si="77"/>
        <v>-1.1111111111111112E-2</v>
      </c>
      <c r="U194" s="77">
        <f t="shared" si="78"/>
        <v>-1.7682924504885178E-2</v>
      </c>
      <c r="V194" s="79">
        <f t="shared" si="79"/>
        <v>1.6497997733069814E-4</v>
      </c>
    </row>
    <row r="195" spans="1:22">
      <c r="A195" s="153">
        <v>163</v>
      </c>
      <c r="B195" s="131" t="s">
        <v>189</v>
      </c>
      <c r="C195" s="132" t="s">
        <v>182</v>
      </c>
      <c r="D195" s="2">
        <v>24233516966.830002</v>
      </c>
      <c r="E195" s="3">
        <f t="shared" si="73"/>
        <v>0.47089464811588422</v>
      </c>
      <c r="F195" s="7">
        <v>1239.29</v>
      </c>
      <c r="G195" s="7">
        <v>1239.29</v>
      </c>
      <c r="H195" s="58">
        <v>9078</v>
      </c>
      <c r="I195" s="5">
        <v>1.6000000000000001E-3</v>
      </c>
      <c r="J195" s="5">
        <v>0.1024</v>
      </c>
      <c r="K195" s="2">
        <v>24278636825.18</v>
      </c>
      <c r="L195" s="3">
        <f t="shared" si="74"/>
        <v>0.47039494039227131</v>
      </c>
      <c r="M195" s="7">
        <v>1242.42</v>
      </c>
      <c r="N195" s="7">
        <v>1242.42</v>
      </c>
      <c r="O195" s="58">
        <v>9071</v>
      </c>
      <c r="P195" s="5">
        <v>2.5000000000000001E-3</v>
      </c>
      <c r="Q195" s="5">
        <v>0.10489999999999999</v>
      </c>
      <c r="R195" s="77">
        <f t="shared" si="75"/>
        <v>1.8618782577764909E-3</v>
      </c>
      <c r="S195" s="77">
        <f t="shared" si="76"/>
        <v>2.5256396807850539E-3</v>
      </c>
      <c r="T195" s="77">
        <f t="shared" si="77"/>
        <v>-7.7109495483586689E-4</v>
      </c>
      <c r="U195" s="77">
        <f t="shared" si="78"/>
        <v>8.9999999999999998E-4</v>
      </c>
      <c r="V195" s="79">
        <f t="shared" si="79"/>
        <v>2.4999999999999883E-3</v>
      </c>
    </row>
    <row r="196" spans="1:22">
      <c r="A196" s="155">
        <v>164</v>
      </c>
      <c r="B196" s="131" t="s">
        <v>193</v>
      </c>
      <c r="C196" s="132" t="s">
        <v>194</v>
      </c>
      <c r="D196" s="2">
        <v>382970658.99000001</v>
      </c>
      <c r="E196" s="3">
        <f t="shared" si="73"/>
        <v>7.4417111618856596E-3</v>
      </c>
      <c r="F196" s="18">
        <v>123.44</v>
      </c>
      <c r="G196" s="18">
        <v>123.73</v>
      </c>
      <c r="H196" s="59">
        <v>165</v>
      </c>
      <c r="I196" s="5">
        <v>2.5000000000000001E-3</v>
      </c>
      <c r="J196" s="5">
        <v>0.2429</v>
      </c>
      <c r="K196" s="2">
        <v>380980990.88</v>
      </c>
      <c r="L196" s="3">
        <f t="shared" si="74"/>
        <v>7.3814494522905488E-3</v>
      </c>
      <c r="M196" s="18">
        <v>122.76</v>
      </c>
      <c r="N196" s="18">
        <v>123.04</v>
      </c>
      <c r="O196" s="59">
        <v>166</v>
      </c>
      <c r="P196" s="5">
        <v>-5.5999999999999999E-3</v>
      </c>
      <c r="Q196" s="5">
        <v>0.2359</v>
      </c>
      <c r="R196" s="77">
        <f>((K196-D196)/D196)</f>
        <v>-5.1953539084360189E-3</v>
      </c>
      <c r="S196" s="77">
        <f>((N196-G196)/G196)</f>
        <v>-5.5766588539561766E-3</v>
      </c>
      <c r="T196" s="77">
        <f>((O196-H196)/H196)</f>
        <v>6.0606060606060606E-3</v>
      </c>
      <c r="U196" s="77">
        <f>P196-I196</f>
        <v>-8.0999999999999996E-3</v>
      </c>
      <c r="V196" s="79">
        <f>Q196-J196</f>
        <v>-7.0000000000000062E-3</v>
      </c>
    </row>
    <row r="197" spans="1:22">
      <c r="A197" s="155">
        <v>165</v>
      </c>
      <c r="B197" s="131" t="s">
        <v>241</v>
      </c>
      <c r="C197" s="132" t="s">
        <v>194</v>
      </c>
      <c r="D197" s="2">
        <v>102844382.47</v>
      </c>
      <c r="E197" s="3">
        <f t="shared" si="73"/>
        <v>1.9984251299633403E-3</v>
      </c>
      <c r="F197" s="18">
        <v>106.98</v>
      </c>
      <c r="G197" s="18">
        <v>106.98</v>
      </c>
      <c r="H197" s="59">
        <v>72</v>
      </c>
      <c r="I197" s="5">
        <v>1.5E-3</v>
      </c>
      <c r="J197" s="5">
        <v>6.8199999999999997E-2</v>
      </c>
      <c r="K197" s="2">
        <v>103103556.68000001</v>
      </c>
      <c r="L197" s="3">
        <f t="shared" si="74"/>
        <v>1.9976159183871397E-3</v>
      </c>
      <c r="M197" s="18">
        <v>107.25</v>
      </c>
      <c r="N197" s="18">
        <v>107.25</v>
      </c>
      <c r="O197" s="59">
        <v>72</v>
      </c>
      <c r="P197" s="5">
        <v>2.5000000000000001E-3</v>
      </c>
      <c r="Q197" s="5" t="s">
        <v>294</v>
      </c>
      <c r="R197" s="77">
        <f>((K197-D197)/D197)</f>
        <v>2.5200619010533726E-3</v>
      </c>
      <c r="S197" s="77">
        <f>((N197-G197)/G197)</f>
        <v>2.523836231071191E-3</v>
      </c>
      <c r="T197" s="77">
        <f>((O197-H197)/H197)</f>
        <v>0</v>
      </c>
      <c r="U197" s="77">
        <f>P197-I197</f>
        <v>1E-3</v>
      </c>
      <c r="V197" s="79" t="e">
        <f>Q197-J197</f>
        <v>#VALUE!</v>
      </c>
    </row>
    <row r="198" spans="1:22" ht="13.5" customHeight="1">
      <c r="A198" s="155">
        <v>166</v>
      </c>
      <c r="B198" s="131" t="s">
        <v>190</v>
      </c>
      <c r="C198" s="132" t="s">
        <v>77</v>
      </c>
      <c r="D198" s="2">
        <v>1060019098.4</v>
      </c>
      <c r="E198" s="3">
        <f t="shared" si="73"/>
        <v>2.059780761580806E-2</v>
      </c>
      <c r="F198" s="14">
        <v>105.43</v>
      </c>
      <c r="G198" s="14">
        <v>105.43</v>
      </c>
      <c r="H198" s="58">
        <v>575</v>
      </c>
      <c r="I198" s="5">
        <v>2.3E-3</v>
      </c>
      <c r="J198" s="5">
        <v>8.5999999999999993E-2</v>
      </c>
      <c r="K198" s="2">
        <v>1070833273.26</v>
      </c>
      <c r="L198" s="3">
        <f t="shared" si="74"/>
        <v>2.0747233766550813E-2</v>
      </c>
      <c r="M198" s="14">
        <v>105.69</v>
      </c>
      <c r="N198" s="14">
        <v>105.69</v>
      </c>
      <c r="O198" s="58">
        <v>579</v>
      </c>
      <c r="P198" s="5">
        <v>2.5000000000000001E-3</v>
      </c>
      <c r="Q198" s="5">
        <v>8.8499999999999995E-2</v>
      </c>
      <c r="R198" s="77">
        <f t="shared" si="75"/>
        <v>1.0201867944004975E-2</v>
      </c>
      <c r="S198" s="77">
        <f t="shared" si="76"/>
        <v>2.4660912453759926E-3</v>
      </c>
      <c r="T198" s="77">
        <f t="shared" si="77"/>
        <v>6.956521739130435E-3</v>
      </c>
      <c r="U198" s="77">
        <f t="shared" si="78"/>
        <v>2.0000000000000009E-4</v>
      </c>
      <c r="V198" s="79">
        <f t="shared" si="79"/>
        <v>2.5000000000000022E-3</v>
      </c>
    </row>
    <row r="199" spans="1:22" ht="15.75" customHeight="1">
      <c r="A199" s="159">
        <v>167</v>
      </c>
      <c r="B199" s="131" t="s">
        <v>191</v>
      </c>
      <c r="C199" s="132" t="s">
        <v>41</v>
      </c>
      <c r="D199" s="2">
        <v>7004489482.9200001</v>
      </c>
      <c r="E199" s="3">
        <f t="shared" si="73"/>
        <v>0.13610804468892107</v>
      </c>
      <c r="F199" s="14">
        <v>132.41999999999999</v>
      </c>
      <c r="G199" s="14">
        <v>132.41999999999999</v>
      </c>
      <c r="H199" s="58">
        <v>1235</v>
      </c>
      <c r="I199" s="5">
        <v>1.6999999999999999E-3</v>
      </c>
      <c r="J199" s="5">
        <v>3.2199999999999999E-2</v>
      </c>
      <c r="K199" s="2">
        <v>7023996422.4399996</v>
      </c>
      <c r="L199" s="3">
        <f t="shared" si="74"/>
        <v>0.13608887526265365</v>
      </c>
      <c r="M199" s="14">
        <v>132.63999999999999</v>
      </c>
      <c r="N199" s="14">
        <v>132.63999999999999</v>
      </c>
      <c r="O199" s="58">
        <v>1235</v>
      </c>
      <c r="P199" s="5">
        <v>1.6999999999999999E-3</v>
      </c>
      <c r="Q199" s="5">
        <v>3.39E-2</v>
      </c>
      <c r="R199" s="77">
        <f t="shared" si="75"/>
        <v>2.7849195244801107E-3</v>
      </c>
      <c r="S199" s="77">
        <f t="shared" si="76"/>
        <v>1.661380456124444E-3</v>
      </c>
      <c r="T199" s="77">
        <f t="shared" si="77"/>
        <v>0</v>
      </c>
      <c r="U199" s="77">
        <f t="shared" si="78"/>
        <v>0</v>
      </c>
      <c r="V199" s="79">
        <f t="shared" si="79"/>
        <v>1.7000000000000001E-3</v>
      </c>
    </row>
    <row r="200" spans="1:22">
      <c r="A200" s="156">
        <v>168</v>
      </c>
      <c r="B200" s="131" t="s">
        <v>192</v>
      </c>
      <c r="C200" s="132" t="s">
        <v>44</v>
      </c>
      <c r="D200" s="2">
        <v>3822193871.1199999</v>
      </c>
      <c r="E200" s="3">
        <f t="shared" si="73"/>
        <v>7.4271127894284389E-2</v>
      </c>
      <c r="F200" s="14">
        <v>1.1821999999999999</v>
      </c>
      <c r="G200" s="14">
        <v>1.1821999999999999</v>
      </c>
      <c r="H200" s="58">
        <v>1032</v>
      </c>
      <c r="I200" s="5">
        <v>9.7100000000000006E-2</v>
      </c>
      <c r="J200" s="5">
        <v>9.74E-2</v>
      </c>
      <c r="K200" s="2">
        <v>3826540226.7399998</v>
      </c>
      <c r="L200" s="3">
        <f t="shared" si="74"/>
        <v>7.4138641919103937E-2</v>
      </c>
      <c r="M200" s="14">
        <v>1.1842999999999999</v>
      </c>
      <c r="N200" s="14">
        <v>1.1842999999999999</v>
      </c>
      <c r="O200" s="58">
        <v>1055</v>
      </c>
      <c r="P200" s="5">
        <v>9.69E-2</v>
      </c>
      <c r="Q200" s="5">
        <v>9.7199999999999995E-2</v>
      </c>
      <c r="R200" s="77">
        <f t="shared" si="75"/>
        <v>1.1371363584773613E-3</v>
      </c>
      <c r="S200" s="77">
        <f t="shared" si="76"/>
        <v>1.7763491794958474E-3</v>
      </c>
      <c r="T200" s="77">
        <f t="shared" si="77"/>
        <v>2.2286821705426358E-2</v>
      </c>
      <c r="U200" s="77">
        <f t="shared" si="78"/>
        <v>-2.0000000000000573E-4</v>
      </c>
      <c r="V200" s="79">
        <f t="shared" si="79"/>
        <v>-2.0000000000000573E-4</v>
      </c>
    </row>
    <row r="201" spans="1:22" ht="6" customHeight="1">
      <c r="A201" s="174"/>
      <c r="B201" s="175"/>
      <c r="C201" s="175"/>
      <c r="D201" s="175"/>
      <c r="E201" s="175"/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  <c r="R201" s="175"/>
      <c r="S201" s="175"/>
      <c r="T201" s="175"/>
      <c r="U201" s="175"/>
      <c r="V201" s="176"/>
    </row>
    <row r="202" spans="1:22">
      <c r="A202" s="172" t="s">
        <v>282</v>
      </c>
      <c r="B202" s="172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</row>
    <row r="203" spans="1:22">
      <c r="A203" s="153">
        <v>169</v>
      </c>
      <c r="B203" s="131" t="s">
        <v>283</v>
      </c>
      <c r="C203" s="132" t="s">
        <v>182</v>
      </c>
      <c r="D203" s="2">
        <v>209958113.31999999</v>
      </c>
      <c r="E203" s="3">
        <f t="shared" ref="E203" si="85">(D203/$D$204)</f>
        <v>4.0798102902778674E-3</v>
      </c>
      <c r="F203" s="7">
        <v>1128.47</v>
      </c>
      <c r="G203" s="7">
        <v>1128.47</v>
      </c>
      <c r="H203" s="58">
        <v>66</v>
      </c>
      <c r="I203" s="5">
        <v>4.3700000000000003E-2</v>
      </c>
      <c r="J203" s="5">
        <v>0.12839999999999999</v>
      </c>
      <c r="K203" s="2">
        <v>209824818.66</v>
      </c>
      <c r="L203" s="3">
        <f t="shared" ref="L203" si="86">(K203/$K$204)</f>
        <v>4.0653243333672248E-3</v>
      </c>
      <c r="M203" s="7">
        <v>1127.67</v>
      </c>
      <c r="N203" s="7">
        <v>1127.67</v>
      </c>
      <c r="O203" s="58">
        <v>66</v>
      </c>
      <c r="P203" s="5">
        <v>-6.9999999999999999E-4</v>
      </c>
      <c r="Q203" s="5">
        <v>0.12770000000000001</v>
      </c>
      <c r="R203" s="77">
        <f t="shared" ref="R203" si="87">((K203-D203)/D203)</f>
        <v>-6.3486310622747988E-4</v>
      </c>
      <c r="S203" s="77">
        <f t="shared" ref="S203" si="88">((N203-G203)/G203)</f>
        <v>-7.089244729589218E-4</v>
      </c>
      <c r="T203" s="77">
        <f t="shared" ref="T203" si="89">((O203-H203)/H203)</f>
        <v>0</v>
      </c>
      <c r="U203" s="77">
        <f t="shared" ref="U203" si="90">P203-I203</f>
        <v>-4.4400000000000002E-2</v>
      </c>
      <c r="V203" s="79">
        <f t="shared" ref="V203" si="91">Q203-J203</f>
        <v>-6.9999999999997842E-4</v>
      </c>
    </row>
    <row r="204" spans="1:22">
      <c r="A204" s="81"/>
      <c r="B204" s="129"/>
      <c r="C204" s="64" t="s">
        <v>45</v>
      </c>
      <c r="D204" s="57">
        <f>SUM(D185:D203)</f>
        <v>51462714778.755112</v>
      </c>
      <c r="E204" s="96">
        <f>(D204/$D$205)</f>
        <v>1.4873678583798615E-2</v>
      </c>
      <c r="F204" s="30"/>
      <c r="G204" s="34"/>
      <c r="H204" s="57">
        <f>SUM(H185:H203)</f>
        <v>28958</v>
      </c>
      <c r="I204" s="35"/>
      <c r="J204" s="35"/>
      <c r="K204" s="57">
        <f>SUM(K185:K203)</f>
        <v>51613303503.931358</v>
      </c>
      <c r="L204" s="96">
        <f>(K204/$K$205)</f>
        <v>1.4669799277589121E-2</v>
      </c>
      <c r="M204" s="30"/>
      <c r="N204" s="34"/>
      <c r="O204" s="57">
        <f>SUM(O185:O203)</f>
        <v>28981</v>
      </c>
      <c r="P204" s="35"/>
      <c r="Q204" s="35"/>
      <c r="R204" s="77">
        <f t="shared" si="75"/>
        <v>2.9261714199036548E-3</v>
      </c>
      <c r="S204" s="77" t="e">
        <f t="shared" si="76"/>
        <v>#DIV/0!</v>
      </c>
      <c r="T204" s="77">
        <f t="shared" si="77"/>
        <v>7.9425374680571858E-4</v>
      </c>
      <c r="U204" s="77">
        <f t="shared" si="78"/>
        <v>0</v>
      </c>
      <c r="V204" s="79">
        <f t="shared" si="79"/>
        <v>0</v>
      </c>
    </row>
    <row r="205" spans="1:22">
      <c r="A205" s="82"/>
      <c r="B205" s="38"/>
      <c r="C205" s="65" t="s">
        <v>195</v>
      </c>
      <c r="D205" s="66">
        <f>SUM(D23,D62,D101,D135,D143,D175,D181,D204)</f>
        <v>3459985671252.2798</v>
      </c>
      <c r="E205" s="39"/>
      <c r="F205" s="39"/>
      <c r="G205" s="40"/>
      <c r="H205" s="66">
        <f>SUM(H23,H62,H101,H135,H143,H175,H181,H204)</f>
        <v>773688</v>
      </c>
      <c r="I205" s="41"/>
      <c r="J205" s="41"/>
      <c r="K205" s="66">
        <f>SUM(K23,K62,K101,K135,K143,K175,K181,K204)</f>
        <v>3518337403755.7822</v>
      </c>
      <c r="L205" s="39"/>
      <c r="M205" s="39"/>
      <c r="N205" s="40"/>
      <c r="O205" s="66">
        <f>SUM(O23,O62,O101,O135,O143,O175,O181,O204)</f>
        <v>776772</v>
      </c>
      <c r="P205" s="42"/>
      <c r="Q205" s="66"/>
      <c r="R205" s="25">
        <f t="shared" si="75"/>
        <v>1.6864732414450457E-2</v>
      </c>
      <c r="S205" s="25"/>
      <c r="T205" s="25"/>
      <c r="U205" s="25"/>
      <c r="V205" s="25"/>
    </row>
    <row r="206" spans="1:22" ht="6.75" customHeight="1">
      <c r="A206" s="161"/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9"/>
    </row>
    <row r="207" spans="1:22" ht="15.75">
      <c r="A207" s="168" t="s">
        <v>196</v>
      </c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</row>
    <row r="208" spans="1:22">
      <c r="A208" s="158">
        <v>1</v>
      </c>
      <c r="B208" s="131" t="s">
        <v>197</v>
      </c>
      <c r="C208" s="132" t="s">
        <v>198</v>
      </c>
      <c r="D208" s="2">
        <v>103175705234</v>
      </c>
      <c r="E208" s="3">
        <f>(D208/$D$210)</f>
        <v>0.93324560108562038</v>
      </c>
      <c r="F208" s="14">
        <v>107.39</v>
      </c>
      <c r="G208" s="14">
        <v>107.39</v>
      </c>
      <c r="H208" s="62">
        <v>0</v>
      </c>
      <c r="I208" s="20">
        <v>0</v>
      </c>
      <c r="J208" s="20">
        <v>0.13800000000000001</v>
      </c>
      <c r="K208" s="2">
        <v>103175705234</v>
      </c>
      <c r="L208" s="3">
        <f>(K208/$K$210)</f>
        <v>0.93298870781745524</v>
      </c>
      <c r="M208" s="14">
        <v>107.39</v>
      </c>
      <c r="N208" s="14">
        <v>107.39</v>
      </c>
      <c r="O208" s="62">
        <v>0</v>
      </c>
      <c r="P208" s="20">
        <v>0</v>
      </c>
      <c r="Q208" s="20">
        <v>0.13800000000000001</v>
      </c>
      <c r="R208" s="77">
        <f>((K208-D208)/D208)</f>
        <v>0</v>
      </c>
      <c r="S208" s="77">
        <f>((N208-G208)/G208)</f>
        <v>0</v>
      </c>
      <c r="T208" s="77" t="e">
        <f>((O208-H208)/H208)</f>
        <v>#DIV/0!</v>
      </c>
      <c r="U208" s="77">
        <f>P208-I208</f>
        <v>0</v>
      </c>
      <c r="V208" s="79">
        <f>Q208-J208</f>
        <v>0</v>
      </c>
    </row>
    <row r="209" spans="1:22">
      <c r="A209" s="156">
        <v>2</v>
      </c>
      <c r="B209" s="131" t="s">
        <v>199</v>
      </c>
      <c r="C209" s="132" t="s">
        <v>44</v>
      </c>
      <c r="D209" s="2">
        <v>7380085346.7200003</v>
      </c>
      <c r="E209" s="3">
        <f>(D209/$D$210)</f>
        <v>6.6754398914379662E-2</v>
      </c>
      <c r="F209" s="21">
        <v>1000000</v>
      </c>
      <c r="G209" s="21">
        <v>1000000</v>
      </c>
      <c r="H209" s="62">
        <v>0</v>
      </c>
      <c r="I209" s="20">
        <v>0.19719999999999999</v>
      </c>
      <c r="J209" s="20">
        <v>0.19719999999999999</v>
      </c>
      <c r="K209" s="2">
        <v>7410526270.7299995</v>
      </c>
      <c r="L209" s="3">
        <f>(K209/$K$210)</f>
        <v>6.7011292182544771E-2</v>
      </c>
      <c r="M209" s="21">
        <v>1000000</v>
      </c>
      <c r="N209" s="21">
        <v>1000000</v>
      </c>
      <c r="O209" s="62">
        <v>0</v>
      </c>
      <c r="P209" s="20">
        <v>0.19719999999999999</v>
      </c>
      <c r="Q209" s="20">
        <v>0.19719999999999999</v>
      </c>
      <c r="R209" s="77">
        <f>((K209-D209)/D209)</f>
        <v>4.1247387502813121E-3</v>
      </c>
      <c r="S209" s="77">
        <f>((N209-G209)/G209)</f>
        <v>0</v>
      </c>
      <c r="T209" s="77" t="e">
        <f>((O209-H209)/H209)</f>
        <v>#DIV/0!</v>
      </c>
      <c r="U209" s="77">
        <f>P209-I209</f>
        <v>0</v>
      </c>
      <c r="V209" s="79">
        <f>Q209-J209</f>
        <v>0</v>
      </c>
    </row>
    <row r="210" spans="1:22">
      <c r="A210" s="38"/>
      <c r="B210" s="38"/>
      <c r="C210" s="65" t="s">
        <v>200</v>
      </c>
      <c r="D210" s="70">
        <f>SUM(D208:D209)</f>
        <v>110555790580.72</v>
      </c>
      <c r="E210" s="24"/>
      <c r="F210" s="22"/>
      <c r="G210" s="22"/>
      <c r="H210" s="70">
        <f>SUM(H208:H209)</f>
        <v>0</v>
      </c>
      <c r="I210" s="23"/>
      <c r="J210" s="23"/>
      <c r="K210" s="70">
        <f>SUM(K208:K209)</f>
        <v>110586231504.73</v>
      </c>
      <c r="L210" s="24"/>
      <c r="M210" s="22"/>
      <c r="N210" s="22"/>
      <c r="O210" s="23"/>
      <c r="P210" s="23"/>
      <c r="Q210" s="70"/>
      <c r="R210" s="25">
        <f>((K210-D210)/D210)</f>
        <v>2.7534445595383535E-4</v>
      </c>
      <c r="S210" s="26"/>
      <c r="T210" s="26"/>
      <c r="U210" s="25"/>
      <c r="V210" s="83"/>
    </row>
    <row r="211" spans="1:22" ht="8.25" customHeight="1">
      <c r="A211" s="173"/>
      <c r="B211" s="173"/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</row>
    <row r="212" spans="1:22" ht="15.75">
      <c r="A212" s="168" t="s">
        <v>201</v>
      </c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</row>
    <row r="213" spans="1:22">
      <c r="A213" s="156">
        <v>1</v>
      </c>
      <c r="B213" s="131" t="s">
        <v>202</v>
      </c>
      <c r="C213" s="132" t="s">
        <v>73</v>
      </c>
      <c r="D213" s="27">
        <v>957607819.25000012</v>
      </c>
      <c r="E213" s="10">
        <f t="shared" ref="E213:E224" si="92">(D213/$D$225)</f>
        <v>7.6020947043245427E-2</v>
      </c>
      <c r="F213" s="21">
        <v>220.58</v>
      </c>
      <c r="G213" s="21">
        <v>225.66</v>
      </c>
      <c r="H213" s="61">
        <v>61</v>
      </c>
      <c r="I213" s="28">
        <v>9.8892042853220286E-3</v>
      </c>
      <c r="J213" s="28">
        <v>0.26</v>
      </c>
      <c r="K213" s="27">
        <v>962857210.76000011</v>
      </c>
      <c r="L213" s="10">
        <f t="shared" ref="L213:L224" si="93">(K213/$K$225)</f>
        <v>7.5643846132652223E-2</v>
      </c>
      <c r="M213" s="21">
        <v>221.71</v>
      </c>
      <c r="N213" s="21">
        <v>226.9</v>
      </c>
      <c r="O213" s="61">
        <v>61</v>
      </c>
      <c r="P213" s="28">
        <v>5.1000000000000004E-3</v>
      </c>
      <c r="Q213" s="28">
        <v>0.26650000000000001</v>
      </c>
      <c r="R213" s="77">
        <f>((K213-D213)/D213)</f>
        <v>5.4817759467663098E-3</v>
      </c>
      <c r="S213" s="77">
        <f>((N213-G213)/G213)</f>
        <v>5.4949924665426263E-3</v>
      </c>
      <c r="T213" s="77">
        <f>((O213-H213)/H213)</f>
        <v>0</v>
      </c>
      <c r="U213" s="77">
        <f>P213-I213</f>
        <v>-4.7892042853220282E-3</v>
      </c>
      <c r="V213" s="79">
        <f>Q213-J213</f>
        <v>6.5000000000000058E-3</v>
      </c>
    </row>
    <row r="214" spans="1:22">
      <c r="A214" s="154">
        <v>2</v>
      </c>
      <c r="B214" s="131" t="s">
        <v>203</v>
      </c>
      <c r="C214" s="132" t="s">
        <v>182</v>
      </c>
      <c r="D214" s="27">
        <v>1030906753.92</v>
      </c>
      <c r="E214" s="10">
        <f t="shared" si="92"/>
        <v>8.1839878675652691E-2</v>
      </c>
      <c r="F214" s="21">
        <v>29.32</v>
      </c>
      <c r="G214" s="21">
        <v>32.409999999999997</v>
      </c>
      <c r="H214" s="61">
        <v>212</v>
      </c>
      <c r="I214" s="28">
        <v>3.5999999999999999E-3</v>
      </c>
      <c r="J214" s="28">
        <v>0.36799999999999999</v>
      </c>
      <c r="K214" s="27">
        <v>997421117.96000004</v>
      </c>
      <c r="L214" s="10">
        <f t="shared" si="93"/>
        <v>7.8359250710571274E-2</v>
      </c>
      <c r="M214" s="21">
        <v>28.37</v>
      </c>
      <c r="N214" s="21">
        <v>31.36</v>
      </c>
      <c r="O214" s="61">
        <v>212</v>
      </c>
      <c r="P214" s="28">
        <v>-3.2500000000000001E-2</v>
      </c>
      <c r="Q214" s="28">
        <v>0.32350000000000001</v>
      </c>
      <c r="R214" s="77">
        <f t="shared" ref="R214:R225" si="94">((K214-D214)/D214)</f>
        <v>-3.2481731090296513E-2</v>
      </c>
      <c r="S214" s="77">
        <f t="shared" ref="S214:S225" si="95">((N214-G214)/G214)</f>
        <v>-3.2397408207343326E-2</v>
      </c>
      <c r="T214" s="77">
        <f t="shared" ref="T214:T225" si="96">((O214-H214)/H214)</f>
        <v>0</v>
      </c>
      <c r="U214" s="77">
        <f t="shared" ref="U214:U225" si="97">P214-I214</f>
        <v>-3.61E-2</v>
      </c>
      <c r="V214" s="79">
        <f t="shared" ref="V214:V225" si="98">Q214-J214</f>
        <v>-4.4499999999999984E-2</v>
      </c>
    </row>
    <row r="215" spans="1:22">
      <c r="A215" s="155">
        <v>3</v>
      </c>
      <c r="B215" s="131" t="s">
        <v>204</v>
      </c>
      <c r="C215" s="132" t="s">
        <v>35</v>
      </c>
      <c r="D215" s="27">
        <v>290562430.36000001</v>
      </c>
      <c r="E215" s="10">
        <f t="shared" si="92"/>
        <v>2.306667791043546E-2</v>
      </c>
      <c r="F215" s="21">
        <v>21.82</v>
      </c>
      <c r="G215" s="21">
        <v>22.02</v>
      </c>
      <c r="H215" s="61">
        <v>164</v>
      </c>
      <c r="I215" s="28">
        <v>8.8068439350026395E-3</v>
      </c>
      <c r="J215" s="28">
        <v>-5.7915813072903166E-2</v>
      </c>
      <c r="K215" s="27">
        <v>299054631.12</v>
      </c>
      <c r="L215" s="10">
        <f t="shared" si="93"/>
        <v>2.3494285807801857E-2</v>
      </c>
      <c r="M215" s="21">
        <v>22.312709999999999</v>
      </c>
      <c r="N215" s="21">
        <v>22.520223000000001</v>
      </c>
      <c r="O215" s="61">
        <v>164</v>
      </c>
      <c r="P215" s="28">
        <v>0.13510963196378856</v>
      </c>
      <c r="Q215" s="28">
        <v>-3.0941632738824332E-2</v>
      </c>
      <c r="R215" s="77">
        <f t="shared" si="94"/>
        <v>2.9226768063160654E-2</v>
      </c>
      <c r="S215" s="77">
        <f t="shared" si="95"/>
        <v>2.2716757493188095E-2</v>
      </c>
      <c r="T215" s="77">
        <f t="shared" si="96"/>
        <v>0</v>
      </c>
      <c r="U215" s="77">
        <f t="shared" si="97"/>
        <v>0.12630278802878592</v>
      </c>
      <c r="V215" s="79">
        <f t="shared" si="98"/>
        <v>2.6974180334078834E-2</v>
      </c>
    </row>
    <row r="216" spans="1:22">
      <c r="A216" s="155">
        <v>4</v>
      </c>
      <c r="B216" s="131" t="s">
        <v>205</v>
      </c>
      <c r="C216" s="132" t="s">
        <v>35</v>
      </c>
      <c r="D216" s="27">
        <v>639703155.11000001</v>
      </c>
      <c r="E216" s="10">
        <f t="shared" si="92"/>
        <v>5.0783670204470631E-2</v>
      </c>
      <c r="F216" s="21">
        <v>47.6</v>
      </c>
      <c r="G216" s="21">
        <v>47.91</v>
      </c>
      <c r="H216" s="61">
        <v>198</v>
      </c>
      <c r="I216" s="28">
        <v>3.8817072161894117E-3</v>
      </c>
      <c r="J216" s="28">
        <v>0.30145763168908002</v>
      </c>
      <c r="K216" s="27">
        <v>679843789.81000006</v>
      </c>
      <c r="L216" s="10">
        <f t="shared" si="93"/>
        <v>5.3409787511520389E-2</v>
      </c>
      <c r="M216" s="21">
        <v>51.014504000000002</v>
      </c>
      <c r="N216" s="21">
        <v>51.343502000000001</v>
      </c>
      <c r="O216" s="61">
        <v>198</v>
      </c>
      <c r="P216" s="28">
        <v>0.33954796419005362</v>
      </c>
      <c r="Q216" s="28">
        <v>0.38145609264985092</v>
      </c>
      <c r="R216" s="77">
        <f t="shared" si="94"/>
        <v>6.2748845897278208E-2</v>
      </c>
      <c r="S216" s="77">
        <f t="shared" si="95"/>
        <v>7.1665664788144526E-2</v>
      </c>
      <c r="T216" s="77">
        <f t="shared" si="96"/>
        <v>0</v>
      </c>
      <c r="U216" s="77">
        <f t="shared" si="97"/>
        <v>0.33566625697386421</v>
      </c>
      <c r="V216" s="79">
        <f t="shared" si="98"/>
        <v>7.9998460960770901E-2</v>
      </c>
    </row>
    <row r="217" spans="1:22">
      <c r="A217" s="159">
        <v>5</v>
      </c>
      <c r="B217" s="131" t="s">
        <v>206</v>
      </c>
      <c r="C217" s="132" t="s">
        <v>207</v>
      </c>
      <c r="D217" s="27">
        <v>1336799914.0699999</v>
      </c>
      <c r="E217" s="10">
        <f t="shared" si="92"/>
        <v>0.10612360658721771</v>
      </c>
      <c r="F217" s="21">
        <v>36220</v>
      </c>
      <c r="G217" s="21">
        <v>42080</v>
      </c>
      <c r="H217" s="61">
        <v>225</v>
      </c>
      <c r="I217" s="28">
        <v>0.01</v>
      </c>
      <c r="J217" s="28">
        <v>1.29</v>
      </c>
      <c r="K217" s="27">
        <v>1383725808.55</v>
      </c>
      <c r="L217" s="10">
        <f t="shared" si="93"/>
        <v>0.10870806281766104</v>
      </c>
      <c r="M217" s="21">
        <v>38040</v>
      </c>
      <c r="N217" s="21">
        <v>44000</v>
      </c>
      <c r="O217" s="61">
        <v>225</v>
      </c>
      <c r="P217" s="28">
        <v>0.04</v>
      </c>
      <c r="Q217" s="28">
        <v>1.37</v>
      </c>
      <c r="R217" s="77">
        <f t="shared" si="94"/>
        <v>3.510315491951984E-2</v>
      </c>
      <c r="S217" s="77">
        <f t="shared" si="95"/>
        <v>4.5627376425855515E-2</v>
      </c>
      <c r="T217" s="77">
        <f t="shared" si="96"/>
        <v>0</v>
      </c>
      <c r="U217" s="77">
        <f t="shared" si="97"/>
        <v>0.03</v>
      </c>
      <c r="V217" s="79">
        <f t="shared" si="98"/>
        <v>8.0000000000000071E-2</v>
      </c>
    </row>
    <row r="218" spans="1:22">
      <c r="A218" s="159">
        <v>6</v>
      </c>
      <c r="B218" s="131" t="s">
        <v>208</v>
      </c>
      <c r="C218" s="132" t="s">
        <v>209</v>
      </c>
      <c r="D218" s="27">
        <v>1078437745</v>
      </c>
      <c r="E218" s="10">
        <f t="shared" si="92"/>
        <v>8.5613188461944587E-2</v>
      </c>
      <c r="F218" s="21">
        <v>950.4</v>
      </c>
      <c r="G218" s="21">
        <v>950.4</v>
      </c>
      <c r="H218" s="61">
        <v>126</v>
      </c>
      <c r="I218" s="28">
        <v>1.9400000000000001E-2</v>
      </c>
      <c r="J218" s="28">
        <v>0.17219999999999999</v>
      </c>
      <c r="K218" s="27">
        <v>1094125081.24</v>
      </c>
      <c r="L218" s="10">
        <f t="shared" si="93"/>
        <v>8.595649320616007E-2</v>
      </c>
      <c r="M218" s="21">
        <v>840</v>
      </c>
      <c r="N218" s="21">
        <v>840</v>
      </c>
      <c r="O218" s="61">
        <v>126</v>
      </c>
      <c r="P218" s="28">
        <v>1.4500000000000001E-2</v>
      </c>
      <c r="Q218" s="28">
        <v>0.1888</v>
      </c>
      <c r="R218" s="77">
        <f t="shared" si="94"/>
        <v>1.4546353104508605E-2</v>
      </c>
      <c r="S218" s="77">
        <f t="shared" si="95"/>
        <v>-0.11616161616161615</v>
      </c>
      <c r="T218" s="77">
        <f t="shared" si="96"/>
        <v>0</v>
      </c>
      <c r="U218" s="77">
        <f t="shared" si="97"/>
        <v>-4.8999999999999998E-3</v>
      </c>
      <c r="V218" s="79">
        <f t="shared" si="98"/>
        <v>1.6600000000000004E-2</v>
      </c>
    </row>
    <row r="219" spans="1:22">
      <c r="A219" s="159">
        <v>7</v>
      </c>
      <c r="B219" s="131" t="s">
        <v>210</v>
      </c>
      <c r="C219" s="132" t="s">
        <v>209</v>
      </c>
      <c r="D219" s="27">
        <v>874459524.00999999</v>
      </c>
      <c r="E219" s="10">
        <f t="shared" si="92"/>
        <v>6.9420111062053452E-2</v>
      </c>
      <c r="F219" s="21">
        <v>520</v>
      </c>
      <c r="G219" s="21">
        <v>520</v>
      </c>
      <c r="H219" s="61">
        <v>572</v>
      </c>
      <c r="I219" s="28">
        <v>1.0500000000000001E-2</v>
      </c>
      <c r="J219" s="28">
        <v>0.3095</v>
      </c>
      <c r="K219" s="27">
        <v>883956629.17999995</v>
      </c>
      <c r="L219" s="10">
        <f t="shared" si="93"/>
        <v>6.9445270283484115E-2</v>
      </c>
      <c r="M219" s="21">
        <v>495</v>
      </c>
      <c r="N219" s="21">
        <v>495</v>
      </c>
      <c r="O219" s="61">
        <v>572</v>
      </c>
      <c r="P219" s="28">
        <v>1.09E-2</v>
      </c>
      <c r="Q219" s="28">
        <v>0.3236</v>
      </c>
      <c r="R219" s="77">
        <f t="shared" si="94"/>
        <v>1.086054289448319E-2</v>
      </c>
      <c r="S219" s="77">
        <f t="shared" si="95"/>
        <v>-4.807692307692308E-2</v>
      </c>
      <c r="T219" s="77">
        <f t="shared" si="96"/>
        <v>0</v>
      </c>
      <c r="U219" s="77">
        <f t="shared" si="97"/>
        <v>3.9999999999999931E-4</v>
      </c>
      <c r="V219" s="79">
        <f t="shared" si="98"/>
        <v>1.4100000000000001E-2</v>
      </c>
    </row>
    <row r="220" spans="1:22">
      <c r="A220" s="155">
        <v>8</v>
      </c>
      <c r="B220" s="131" t="s">
        <v>211</v>
      </c>
      <c r="C220" s="132" t="s">
        <v>212</v>
      </c>
      <c r="D220" s="27">
        <v>50457691.950000003</v>
      </c>
      <c r="E220" s="10">
        <f t="shared" si="92"/>
        <v>4.0056497561387688E-3</v>
      </c>
      <c r="F220" s="21">
        <v>15.62</v>
      </c>
      <c r="G220" s="21">
        <v>15.72</v>
      </c>
      <c r="H220" s="61">
        <v>61</v>
      </c>
      <c r="I220" s="28">
        <v>0</v>
      </c>
      <c r="J220" s="28">
        <v>0.43230000000000002</v>
      </c>
      <c r="K220" s="27">
        <v>50996958.560000002</v>
      </c>
      <c r="L220" s="10">
        <f t="shared" si="93"/>
        <v>4.0064155343459557E-3</v>
      </c>
      <c r="M220" s="21">
        <v>15.6</v>
      </c>
      <c r="N220" s="21">
        <v>15.7</v>
      </c>
      <c r="O220" s="61">
        <v>61</v>
      </c>
      <c r="P220" s="28">
        <v>0</v>
      </c>
      <c r="Q220" s="28">
        <v>0.43230000000000002</v>
      </c>
      <c r="R220" s="77">
        <f t="shared" si="94"/>
        <v>1.0687500540737662E-2</v>
      </c>
      <c r="S220" s="77">
        <f t="shared" si="95"/>
        <v>-1.2722646310433427E-3</v>
      </c>
      <c r="T220" s="77">
        <f t="shared" si="96"/>
        <v>0</v>
      </c>
      <c r="U220" s="77">
        <f t="shared" si="97"/>
        <v>0</v>
      </c>
      <c r="V220" s="79">
        <f t="shared" si="98"/>
        <v>0</v>
      </c>
    </row>
    <row r="221" spans="1:22">
      <c r="A221" s="155">
        <v>9</v>
      </c>
      <c r="B221" s="131" t="s">
        <v>213</v>
      </c>
      <c r="C221" s="132" t="s">
        <v>212</v>
      </c>
      <c r="D221" s="29">
        <v>571167446.12</v>
      </c>
      <c r="E221" s="10">
        <f t="shared" si="92"/>
        <v>4.534287346183264E-2</v>
      </c>
      <c r="F221" s="21">
        <v>9.06</v>
      </c>
      <c r="G221" s="21">
        <v>9.16</v>
      </c>
      <c r="H221" s="61">
        <v>102</v>
      </c>
      <c r="I221" s="28">
        <v>1.12E-2</v>
      </c>
      <c r="J221" s="28">
        <v>1.9300000000000001E-2</v>
      </c>
      <c r="K221" s="29">
        <v>586486994.25</v>
      </c>
      <c r="L221" s="10">
        <f t="shared" si="93"/>
        <v>4.607550471251215E-2</v>
      </c>
      <c r="M221" s="21">
        <v>9.2899999999999991</v>
      </c>
      <c r="N221" s="21">
        <v>9.39</v>
      </c>
      <c r="O221" s="61">
        <v>104</v>
      </c>
      <c r="P221" s="28">
        <v>4.4400000000000002E-2</v>
      </c>
      <c r="Q221" s="28">
        <v>6.4600000000000005E-2</v>
      </c>
      <c r="R221" s="77">
        <f t="shared" si="94"/>
        <v>2.6821465813689632E-2</v>
      </c>
      <c r="S221" s="77">
        <f t="shared" si="95"/>
        <v>2.5109170305676901E-2</v>
      </c>
      <c r="T221" s="77">
        <f t="shared" si="96"/>
        <v>1.9607843137254902E-2</v>
      </c>
      <c r="U221" s="77">
        <f t="shared" si="97"/>
        <v>3.32E-2</v>
      </c>
      <c r="V221" s="79">
        <f t="shared" si="98"/>
        <v>4.5300000000000007E-2</v>
      </c>
    </row>
    <row r="222" spans="1:22" ht="15" customHeight="1">
      <c r="A222" s="155">
        <v>10</v>
      </c>
      <c r="B222" s="131" t="s">
        <v>214</v>
      </c>
      <c r="C222" s="132" t="s">
        <v>212</v>
      </c>
      <c r="D222" s="27">
        <v>446543148.19</v>
      </c>
      <c r="E222" s="10">
        <f t="shared" si="92"/>
        <v>3.5449410853456834E-2</v>
      </c>
      <c r="F222" s="21">
        <v>125.85</v>
      </c>
      <c r="G222" s="21">
        <v>127.85</v>
      </c>
      <c r="H222" s="61">
        <v>266</v>
      </c>
      <c r="I222" s="28">
        <v>0</v>
      </c>
      <c r="J222" s="28">
        <v>0.37159999999999999</v>
      </c>
      <c r="K222" s="27">
        <v>447283880.67000002</v>
      </c>
      <c r="L222" s="10">
        <f t="shared" si="93"/>
        <v>3.5139450241340638E-2</v>
      </c>
      <c r="M222" s="21">
        <v>126.06</v>
      </c>
      <c r="N222" s="21">
        <v>128.06</v>
      </c>
      <c r="O222" s="61">
        <v>270</v>
      </c>
      <c r="P222" s="28">
        <v>9.9000000000000008E-3</v>
      </c>
      <c r="Q222" s="28">
        <v>0.3851</v>
      </c>
      <c r="R222" s="77">
        <f t="shared" si="94"/>
        <v>1.6588150170985139E-3</v>
      </c>
      <c r="S222" s="77">
        <f t="shared" si="95"/>
        <v>1.6425498631209071E-3</v>
      </c>
      <c r="T222" s="77">
        <f t="shared" si="96"/>
        <v>1.5037593984962405E-2</v>
      </c>
      <c r="U222" s="77">
        <f t="shared" si="97"/>
        <v>9.9000000000000008E-3</v>
      </c>
      <c r="V222" s="79">
        <f t="shared" si="98"/>
        <v>1.3500000000000012E-2</v>
      </c>
    </row>
    <row r="223" spans="1:22">
      <c r="A223" s="155">
        <v>11</v>
      </c>
      <c r="B223" s="131" t="s">
        <v>215</v>
      </c>
      <c r="C223" s="132" t="s">
        <v>212</v>
      </c>
      <c r="D223" s="27">
        <v>5254183110.1599998</v>
      </c>
      <c r="E223" s="10">
        <f t="shared" si="92"/>
        <v>0.41711018638697051</v>
      </c>
      <c r="F223" s="21">
        <v>36.729999999999997</v>
      </c>
      <c r="G223" s="21">
        <v>36.93</v>
      </c>
      <c r="H223" s="61">
        <v>282</v>
      </c>
      <c r="I223" s="28">
        <v>-1.4E-3</v>
      </c>
      <c r="J223" s="28">
        <v>0.32590000000000002</v>
      </c>
      <c r="K223" s="27">
        <v>5281268614.46</v>
      </c>
      <c r="L223" s="10">
        <f t="shared" si="93"/>
        <v>0.41490624569565082</v>
      </c>
      <c r="M223" s="21">
        <v>36.869999999999997</v>
      </c>
      <c r="N223" s="21">
        <v>37.07</v>
      </c>
      <c r="O223" s="61">
        <v>283</v>
      </c>
      <c r="P223" s="28">
        <v>8.3999999999999995E-3</v>
      </c>
      <c r="Q223" s="28">
        <v>0.33700000000000002</v>
      </c>
      <c r="R223" s="77">
        <f t="shared" si="94"/>
        <v>5.1550362315361687E-3</v>
      </c>
      <c r="S223" s="77">
        <f t="shared" si="95"/>
        <v>3.7909558624424741E-3</v>
      </c>
      <c r="T223" s="77">
        <f t="shared" si="96"/>
        <v>3.5460992907801418E-3</v>
      </c>
      <c r="U223" s="77">
        <f t="shared" si="97"/>
        <v>9.7999999999999997E-3</v>
      </c>
      <c r="V223" s="79">
        <f t="shared" si="98"/>
        <v>1.1099999999999999E-2</v>
      </c>
    </row>
    <row r="224" spans="1:22">
      <c r="A224" s="155">
        <v>12</v>
      </c>
      <c r="B224" s="131" t="s">
        <v>216</v>
      </c>
      <c r="C224" s="132" t="s">
        <v>212</v>
      </c>
      <c r="D224" s="29">
        <v>65802276.009999998</v>
      </c>
      <c r="E224" s="10">
        <f t="shared" si="92"/>
        <v>5.2237995965812795E-3</v>
      </c>
      <c r="F224" s="21">
        <v>38.39</v>
      </c>
      <c r="G224" s="21">
        <v>38.590000000000003</v>
      </c>
      <c r="H224" s="61">
        <v>58</v>
      </c>
      <c r="I224" s="28">
        <v>0</v>
      </c>
      <c r="J224" s="28">
        <v>0.81130000000000002</v>
      </c>
      <c r="K224" s="29">
        <v>61803371.409999996</v>
      </c>
      <c r="L224" s="10">
        <f t="shared" si="93"/>
        <v>4.8553873462993573E-3</v>
      </c>
      <c r="M224" s="21">
        <v>38.380000000000003</v>
      </c>
      <c r="N224" s="21">
        <v>38.58</v>
      </c>
      <c r="O224" s="61">
        <v>59</v>
      </c>
      <c r="P224" s="28">
        <v>0</v>
      </c>
      <c r="Q224" s="28">
        <v>0.81130000000000002</v>
      </c>
      <c r="R224" s="77">
        <f t="shared" si="94"/>
        <v>-6.0771524063883239E-2</v>
      </c>
      <c r="S224" s="77">
        <f t="shared" si="95"/>
        <v>-2.5913449080085813E-4</v>
      </c>
      <c r="T224" s="77">
        <f t="shared" si="96"/>
        <v>1.7241379310344827E-2</v>
      </c>
      <c r="U224" s="77">
        <f t="shared" si="97"/>
        <v>0</v>
      </c>
      <c r="V224" s="79">
        <f t="shared" si="98"/>
        <v>0</v>
      </c>
    </row>
    <row r="225" spans="1:22">
      <c r="A225" s="127"/>
      <c r="B225" s="127"/>
      <c r="C225" s="128" t="s">
        <v>217</v>
      </c>
      <c r="D225" s="70">
        <f>SUM(D213:D224)</f>
        <v>12596631014.15</v>
      </c>
      <c r="E225" s="24"/>
      <c r="F225" s="24"/>
      <c r="G225" s="22"/>
      <c r="H225" s="70">
        <f>SUM(H213:H224)</f>
        <v>2327</v>
      </c>
      <c r="I225" s="23"/>
      <c r="J225" s="23"/>
      <c r="K225" s="70">
        <f>SUM(K213:K224)</f>
        <v>12728824087.970001</v>
      </c>
      <c r="L225" s="24"/>
      <c r="M225" s="24"/>
      <c r="N225" s="22"/>
      <c r="O225" s="70">
        <f>SUM(O213:O224)</f>
        <v>2335</v>
      </c>
      <c r="P225" s="23"/>
      <c r="Q225" s="23"/>
      <c r="R225" s="77">
        <f t="shared" si="94"/>
        <v>1.0494319764666202E-2</v>
      </c>
      <c r="S225" s="77" t="e">
        <f t="shared" si="95"/>
        <v>#DIV/0!</v>
      </c>
      <c r="T225" s="77">
        <f t="shared" si="96"/>
        <v>3.4379028792436614E-3</v>
      </c>
      <c r="U225" s="77">
        <f t="shared" si="97"/>
        <v>0</v>
      </c>
      <c r="V225" s="79">
        <f t="shared" si="98"/>
        <v>0</v>
      </c>
    </row>
    <row r="226" spans="1:22">
      <c r="A226" s="84"/>
      <c r="B226" s="84"/>
      <c r="C226" s="85" t="s">
        <v>218</v>
      </c>
      <c r="D226" s="86">
        <f>SUM(D205,D210,D225)</f>
        <v>3583138092847.1499</v>
      </c>
      <c r="E226" s="87"/>
      <c r="F226" s="87"/>
      <c r="G226" s="88"/>
      <c r="H226" s="86">
        <f>SUM(H205,H210,H225)</f>
        <v>776015</v>
      </c>
      <c r="I226" s="89"/>
      <c r="J226" s="89"/>
      <c r="K226" s="86">
        <f>SUM(K205,K210,K225)</f>
        <v>3641652459348.4824</v>
      </c>
      <c r="L226" s="87"/>
      <c r="M226" s="87"/>
      <c r="N226" s="88"/>
      <c r="O226" s="86">
        <f>SUM(O205,O210,O225)</f>
        <v>779107</v>
      </c>
      <c r="P226" s="90"/>
      <c r="Q226" s="86"/>
      <c r="R226" s="91"/>
      <c r="S226" s="92"/>
      <c r="T226" s="92"/>
      <c r="U226" s="93"/>
      <c r="V226" s="93"/>
    </row>
    <row r="227" spans="1:22">
      <c r="A227" s="105" t="s">
        <v>247</v>
      </c>
      <c r="B227" s="106" t="s">
        <v>293</v>
      </c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</row>
    <row r="229" spans="1:22">
      <c r="B229" s="109"/>
      <c r="C229" s="109"/>
      <c r="D229" s="108"/>
      <c r="K229" s="108"/>
    </row>
    <row r="230" spans="1:22">
      <c r="B230" s="121"/>
      <c r="C230" s="122"/>
      <c r="D230" s="123"/>
      <c r="F230" s="124"/>
      <c r="G230" s="124"/>
      <c r="I230" s="125"/>
      <c r="J230" s="126"/>
    </row>
    <row r="233" spans="1:22">
      <c r="B233" s="109"/>
    </row>
  </sheetData>
  <sheetProtection password="CA3B" sheet="1" objects="1" scenarios="1"/>
  <mergeCells count="33">
    <mergeCell ref="A211:V211"/>
    <mergeCell ref="A212:V212"/>
    <mergeCell ref="A184:V184"/>
    <mergeCell ref="A187:V187"/>
    <mergeCell ref="A188:V188"/>
    <mergeCell ref="A206:U206"/>
    <mergeCell ref="A207:V207"/>
    <mergeCell ref="A202:V202"/>
    <mergeCell ref="A201:V201"/>
    <mergeCell ref="A183:V183"/>
    <mergeCell ref="A103:V103"/>
    <mergeCell ref="A104:V104"/>
    <mergeCell ref="A120:V120"/>
    <mergeCell ref="A121:V121"/>
    <mergeCell ref="A136:V136"/>
    <mergeCell ref="A137:V137"/>
    <mergeCell ref="A144:V144"/>
    <mergeCell ref="A145:V145"/>
    <mergeCell ref="A176:V176"/>
    <mergeCell ref="A177:V177"/>
    <mergeCell ref="A182:V182"/>
    <mergeCell ref="A102:V102"/>
    <mergeCell ref="A1:V1"/>
    <mergeCell ref="U2:V2"/>
    <mergeCell ref="A4:V4"/>
    <mergeCell ref="A5:V5"/>
    <mergeCell ref="A24:V24"/>
    <mergeCell ref="A25:V25"/>
    <mergeCell ref="A63:V63"/>
    <mergeCell ref="A64:V64"/>
    <mergeCell ref="R2:T2"/>
    <mergeCell ref="K2:Q2"/>
    <mergeCell ref="D2:J2"/>
  </mergeCells>
  <pageMargins left="0.7" right="0.7" top="0.75" bottom="0.75" header="0.3" footer="0.3"/>
  <pageSetup paperSize="9" orientation="portrait" horizontalDpi="300" verticalDpi="300" r:id="rId1"/>
  <ignoredErrors>
    <ignoredError sqref="L87 E87 E69 L44 E44" formula="1"/>
    <ignoredError sqref="S143 S23 T35 S62 S101 S135 T153 S175 S181 S204 S225 T208:T20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activeCell="E6" sqref="E6"/>
    </sheetView>
  </sheetViews>
  <sheetFormatPr defaultRowHeight="15"/>
  <cols>
    <col min="1" max="1" width="34" customWidth="1"/>
    <col min="2" max="2" width="18.28515625" customWidth="1"/>
    <col min="3" max="3" width="17.42578125" customWidth="1"/>
  </cols>
  <sheetData>
    <row r="1" spans="1:5">
      <c r="A1" s="140"/>
      <c r="B1" s="140"/>
      <c r="C1" s="140"/>
      <c r="D1" s="140"/>
    </row>
    <row r="2" spans="1:5" ht="26.25">
      <c r="A2" s="180" t="s">
        <v>219</v>
      </c>
      <c r="B2" s="181" t="s">
        <v>290</v>
      </c>
      <c r="C2" s="181" t="s">
        <v>295</v>
      </c>
      <c r="D2" s="182"/>
    </row>
    <row r="3" spans="1:5">
      <c r="A3" s="183" t="s">
        <v>14</v>
      </c>
      <c r="B3" s="184">
        <f t="shared" ref="B3:C10" si="0">B13</f>
        <v>28.146858775669202</v>
      </c>
      <c r="C3" s="184">
        <f t="shared" si="0"/>
        <v>28.730451829155498</v>
      </c>
      <c r="D3" s="182"/>
    </row>
    <row r="4" spans="1:5" ht="17.25" customHeight="1">
      <c r="A4" s="180" t="s">
        <v>46</v>
      </c>
      <c r="B4" s="185">
        <f t="shared" si="0"/>
        <v>1367.4830099164885</v>
      </c>
      <c r="C4" s="185">
        <f t="shared" si="0"/>
        <v>1391.8427059920152</v>
      </c>
      <c r="D4" s="182"/>
    </row>
    <row r="5" spans="1:5" ht="19.5" customHeight="1">
      <c r="A5" s="180" t="s">
        <v>220</v>
      </c>
      <c r="B5" s="184">
        <f t="shared" si="0"/>
        <v>215.54277371089728</v>
      </c>
      <c r="C5" s="184">
        <f t="shared" si="0"/>
        <v>215.01607890225301</v>
      </c>
      <c r="D5" s="182"/>
    </row>
    <row r="6" spans="1:5">
      <c r="A6" s="180" t="s">
        <v>127</v>
      </c>
      <c r="B6" s="185">
        <f t="shared" si="0"/>
        <v>1643.5874943518052</v>
      </c>
      <c r="C6" s="185">
        <f t="shared" si="0"/>
        <v>1677.1837162520171</v>
      </c>
      <c r="D6" s="182"/>
    </row>
    <row r="7" spans="1:5">
      <c r="A7" s="180" t="s">
        <v>221</v>
      </c>
      <c r="B7" s="184">
        <f t="shared" si="0"/>
        <v>97.288036533859156</v>
      </c>
      <c r="C7" s="184">
        <f t="shared" si="0"/>
        <v>97.41650449563835</v>
      </c>
      <c r="D7" s="182"/>
    </row>
    <row r="8" spans="1:5">
      <c r="A8" s="180" t="s">
        <v>151</v>
      </c>
      <c r="B8" s="186">
        <f t="shared" si="0"/>
        <v>51.10812879319549</v>
      </c>
      <c r="C8" s="186">
        <f t="shared" si="0"/>
        <v>51.16209507151288</v>
      </c>
      <c r="D8" s="182"/>
    </row>
    <row r="9" spans="1:5">
      <c r="A9" s="180" t="s">
        <v>175</v>
      </c>
      <c r="B9" s="184">
        <f t="shared" si="0"/>
        <v>5.36665439161</v>
      </c>
      <c r="C9" s="184">
        <f t="shared" si="0"/>
        <v>5.37254770926</v>
      </c>
      <c r="D9" s="182"/>
    </row>
    <row r="10" spans="1:5">
      <c r="A10" s="180" t="s">
        <v>222</v>
      </c>
      <c r="B10" s="184">
        <f t="shared" si="0"/>
        <v>51.462714778755114</v>
      </c>
      <c r="C10" s="184">
        <f t="shared" si="0"/>
        <v>51.613303503931355</v>
      </c>
      <c r="D10" s="182"/>
    </row>
    <row r="11" spans="1:5">
      <c r="A11" s="180"/>
      <c r="B11" s="184"/>
      <c r="C11" s="184"/>
      <c r="D11" s="182"/>
    </row>
    <row r="12" spans="1:5">
      <c r="A12" s="140"/>
      <c r="B12" s="140"/>
      <c r="C12" s="140"/>
      <c r="D12" s="140"/>
    </row>
    <row r="13" spans="1:5">
      <c r="A13" s="146" t="s">
        <v>14</v>
      </c>
      <c r="B13" s="147">
        <f>'Weekly Valuation'!D23/1000000000</f>
        <v>28.146858775669202</v>
      </c>
      <c r="C13" s="148">
        <f>'Weekly Valuation'!K23/1000000000</f>
        <v>28.730451829155498</v>
      </c>
      <c r="D13" s="140"/>
      <c r="E13" s="97"/>
    </row>
    <row r="14" spans="1:5">
      <c r="A14" s="149" t="s">
        <v>46</v>
      </c>
      <c r="B14" s="147">
        <f>'Weekly Valuation'!D62/1000000000</f>
        <v>1367.4830099164885</v>
      </c>
      <c r="C14" s="150">
        <f>'Weekly Valuation'!K62/1000000000</f>
        <v>1391.8427059920152</v>
      </c>
      <c r="D14" s="140"/>
      <c r="E14" s="97"/>
    </row>
    <row r="15" spans="1:5">
      <c r="A15" s="149" t="s">
        <v>220</v>
      </c>
      <c r="B15" s="147">
        <f>'Weekly Valuation'!D101/1000000000</f>
        <v>215.54277371089728</v>
      </c>
      <c r="C15" s="148">
        <f>'Weekly Valuation'!K101/1000000000</f>
        <v>215.01607890225301</v>
      </c>
      <c r="D15" s="140"/>
      <c r="E15" s="97"/>
    </row>
    <row r="16" spans="1:5">
      <c r="A16" s="149" t="s">
        <v>127</v>
      </c>
      <c r="B16" s="147">
        <f>'Weekly Valuation'!D135/1000000000</f>
        <v>1643.5874943518052</v>
      </c>
      <c r="C16" s="150">
        <f>'Weekly Valuation'!K135/1000000000</f>
        <v>1677.1837162520171</v>
      </c>
      <c r="D16" s="140"/>
      <c r="E16" s="97"/>
    </row>
    <row r="17" spans="1:5">
      <c r="A17" s="149" t="s">
        <v>221</v>
      </c>
      <c r="B17" s="147">
        <f>'Weekly Valuation'!D143/1000000000</f>
        <v>97.288036533859156</v>
      </c>
      <c r="C17" s="148">
        <f>'Weekly Valuation'!K143/1000000000</f>
        <v>97.41650449563835</v>
      </c>
      <c r="D17" s="140"/>
      <c r="E17" s="97"/>
    </row>
    <row r="18" spans="1:5">
      <c r="A18" s="149" t="s">
        <v>151</v>
      </c>
      <c r="B18" s="147">
        <f>'Weekly Valuation'!D175/1000000000</f>
        <v>51.10812879319549</v>
      </c>
      <c r="C18" s="151">
        <f>'Weekly Valuation'!K175/1000000000</f>
        <v>51.16209507151288</v>
      </c>
      <c r="D18" s="140"/>
      <c r="E18" s="97"/>
    </row>
    <row r="19" spans="1:5">
      <c r="A19" s="149" t="s">
        <v>175</v>
      </c>
      <c r="B19" s="147">
        <f>'Weekly Valuation'!D181/1000000000</f>
        <v>5.36665439161</v>
      </c>
      <c r="C19" s="148">
        <f>'Weekly Valuation'!K181/1000000000</f>
        <v>5.37254770926</v>
      </c>
      <c r="D19" s="140"/>
      <c r="E19" s="97"/>
    </row>
    <row r="20" spans="1:5">
      <c r="A20" s="149" t="s">
        <v>222</v>
      </c>
      <c r="B20" s="147">
        <f>'Weekly Valuation'!D204/1000000000</f>
        <v>51.462714778755114</v>
      </c>
      <c r="C20" s="148">
        <f>'Weekly Valuation'!K204/1000000000</f>
        <v>51.613303503931355</v>
      </c>
      <c r="D20" s="140"/>
      <c r="E20" s="97"/>
    </row>
    <row r="21" spans="1:5" ht="16.5">
      <c r="A21" s="143"/>
      <c r="B21" s="140"/>
      <c r="C21" s="144"/>
      <c r="D21" s="140"/>
      <c r="E21" s="97"/>
    </row>
    <row r="22" spans="1:5" ht="16.5">
      <c r="A22" s="143"/>
      <c r="B22" s="140"/>
      <c r="C22" s="142"/>
      <c r="D22" s="140"/>
      <c r="E22" s="97"/>
    </row>
    <row r="23" spans="1:5" ht="16.5">
      <c r="A23" s="111"/>
      <c r="B23" s="102"/>
      <c r="C23" s="138"/>
      <c r="D23" s="97"/>
      <c r="E23" s="97"/>
    </row>
    <row r="24" spans="1:5" ht="16.5">
      <c r="A24" s="111"/>
      <c r="B24" s="102"/>
      <c r="C24" s="102"/>
      <c r="D24" s="97"/>
      <c r="E24" s="97"/>
    </row>
    <row r="25" spans="1:5" ht="16.5">
      <c r="A25" s="111"/>
      <c r="B25" s="102"/>
      <c r="C25" s="102"/>
      <c r="D25" s="97"/>
      <c r="E25" s="97"/>
    </row>
    <row r="26" spans="1:5" ht="16.5">
      <c r="A26" s="111"/>
      <c r="B26" s="102"/>
      <c r="C26" s="102"/>
      <c r="D26" s="97"/>
      <c r="E26" s="97"/>
    </row>
    <row r="27" spans="1:5" ht="16.5">
      <c r="A27" s="111"/>
      <c r="B27" s="102"/>
      <c r="C27" s="102"/>
      <c r="D27" s="97"/>
      <c r="E27" s="97"/>
    </row>
    <row r="28" spans="1:5">
      <c r="A28" s="97"/>
      <c r="B28" s="97"/>
      <c r="C28" s="97"/>
      <c r="D28" s="97"/>
    </row>
    <row r="29" spans="1:5">
      <c r="B29" s="97"/>
      <c r="C29" s="97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J10" sqref="J10"/>
    </sheetView>
  </sheetViews>
  <sheetFormatPr defaultRowHeight="15"/>
  <cols>
    <col min="1" max="1" width="26.7109375" customWidth="1"/>
    <col min="2" max="2" width="17.42578125" customWidth="1"/>
  </cols>
  <sheetData>
    <row r="1" spans="1:6" ht="16.5">
      <c r="A1" s="141" t="s">
        <v>219</v>
      </c>
      <c r="B1" s="152">
        <v>45562</v>
      </c>
      <c r="C1" s="95"/>
      <c r="D1" s="97"/>
    </row>
    <row r="2" spans="1:6" ht="16.5">
      <c r="A2" s="143" t="s">
        <v>175</v>
      </c>
      <c r="B2" s="142">
        <f>'Weekly Valuation'!K181</f>
        <v>5372547709.2600002</v>
      </c>
      <c r="C2" s="95"/>
      <c r="D2" s="97"/>
    </row>
    <row r="3" spans="1:6" ht="16.5">
      <c r="A3" s="143" t="s">
        <v>14</v>
      </c>
      <c r="B3" s="142">
        <f>'Weekly Valuation'!K23</f>
        <v>28730451829.155499</v>
      </c>
      <c r="C3" s="95"/>
      <c r="D3" s="97"/>
    </row>
    <row r="4" spans="1:6" ht="16.5">
      <c r="A4" s="143" t="s">
        <v>151</v>
      </c>
      <c r="B4" s="145">
        <f>'Weekly Valuation'!K175</f>
        <v>51162095071.512878</v>
      </c>
      <c r="C4" s="95"/>
      <c r="D4" s="97"/>
    </row>
    <row r="5" spans="1:6" ht="16.5">
      <c r="A5" s="143" t="s">
        <v>222</v>
      </c>
      <c r="B5" s="142">
        <f>'Weekly Valuation'!K204</f>
        <v>51613303503.931358</v>
      </c>
      <c r="C5" s="95"/>
      <c r="D5" s="97"/>
    </row>
    <row r="6" spans="1:6" ht="16.5">
      <c r="A6" s="143" t="s">
        <v>221</v>
      </c>
      <c r="B6" s="142">
        <f>'Weekly Valuation'!K143</f>
        <v>97416504495.638351</v>
      </c>
      <c r="C6" s="95"/>
      <c r="D6" s="97"/>
    </row>
    <row r="7" spans="1:6" ht="16.5">
      <c r="A7" s="143" t="s">
        <v>220</v>
      </c>
      <c r="B7" s="142">
        <f>'Weekly Valuation'!K101</f>
        <v>215016078902.25302</v>
      </c>
      <c r="C7" s="95"/>
      <c r="D7" s="97"/>
    </row>
    <row r="8" spans="1:6" ht="16.5">
      <c r="A8" s="143" t="s">
        <v>46</v>
      </c>
      <c r="B8" s="144">
        <f>'Weekly Valuation'!K62</f>
        <v>1391842705992.0151</v>
      </c>
      <c r="C8" s="95"/>
      <c r="D8" s="97"/>
    </row>
    <row r="9" spans="1:6" ht="16.5">
      <c r="A9" s="143" t="s">
        <v>127</v>
      </c>
      <c r="B9" s="144">
        <f>'Weekly Valuation'!K135</f>
        <v>1677183716252.0171</v>
      </c>
      <c r="C9" s="95"/>
      <c r="D9" s="97"/>
      <c r="F9" t="s">
        <v>281</v>
      </c>
    </row>
    <row r="10" spans="1:6">
      <c r="A10" s="140"/>
      <c r="B10" s="140"/>
      <c r="C10" s="95"/>
      <c r="D10" s="97"/>
    </row>
    <row r="11" spans="1:6" ht="16.5">
      <c r="A11" s="179"/>
      <c r="B11" s="187"/>
      <c r="C11" s="97"/>
      <c r="D11" s="97"/>
    </row>
    <row r="12" spans="1:6" ht="16.5">
      <c r="A12" s="102"/>
      <c r="B12" s="97"/>
      <c r="C12" s="97"/>
      <c r="D12" s="97"/>
    </row>
    <row r="13" spans="1:6" ht="16.5">
      <c r="A13" s="102"/>
      <c r="B13" s="102"/>
      <c r="C13" s="97"/>
      <c r="D13" s="97"/>
    </row>
    <row r="14" spans="1:6" ht="16.5">
      <c r="A14" s="102"/>
      <c r="B14" s="102"/>
      <c r="C14" s="97"/>
      <c r="D14" s="97"/>
    </row>
    <row r="15" spans="1:6" ht="16.5" customHeight="1">
      <c r="A15" s="138"/>
      <c r="B15" s="138"/>
      <c r="C15" s="97"/>
      <c r="D15" s="97"/>
    </row>
    <row r="16" spans="1:6" ht="16.5">
      <c r="A16" s="102"/>
      <c r="B16" s="102"/>
      <c r="C16" s="97"/>
      <c r="D16" s="97"/>
    </row>
    <row r="17" spans="1:17" ht="16.5">
      <c r="A17" s="102"/>
      <c r="B17" s="102"/>
      <c r="C17" s="97"/>
      <c r="D17" s="97"/>
    </row>
    <row r="18" spans="1:17" ht="16.5">
      <c r="A18" s="114"/>
      <c r="B18" s="102"/>
      <c r="C18" s="97"/>
      <c r="D18" s="97"/>
    </row>
    <row r="19" spans="1:17" ht="16.5">
      <c r="A19" s="114"/>
      <c r="B19" s="114"/>
      <c r="C19" s="97"/>
    </row>
    <row r="20" spans="1:17" ht="16.5">
      <c r="A20" s="114"/>
      <c r="B20" s="114"/>
      <c r="C20" s="97"/>
    </row>
    <row r="21" spans="1:17" ht="16.5">
      <c r="A21" s="111"/>
      <c r="B21" s="114"/>
      <c r="C21" s="97"/>
    </row>
    <row r="22" spans="1:17" ht="16.5">
      <c r="A22" s="97"/>
      <c r="B22" s="114"/>
      <c r="C22" s="97"/>
    </row>
    <row r="23" spans="1:17">
      <c r="A23" s="97"/>
      <c r="B23" s="97"/>
      <c r="C23" s="97"/>
    </row>
    <row r="24" spans="1:17">
      <c r="A24" s="97"/>
      <c r="B24" s="97"/>
      <c r="C24" s="97"/>
    </row>
    <row r="25" spans="1:17">
      <c r="A25" s="97"/>
      <c r="B25" s="97"/>
      <c r="C25" s="97"/>
    </row>
    <row r="26" spans="1:17">
      <c r="A26" s="97"/>
      <c r="B26" s="97"/>
    </row>
    <row r="32" spans="1:17" ht="16.5" customHeight="1">
      <c r="A32" s="177" t="s">
        <v>296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03"/>
    </row>
    <row r="33" spans="1:17" ht="15" customHeight="1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03"/>
    </row>
  </sheetData>
  <sheetProtection password="CA3B" sheet="1" objects="1" scenario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7"/>
  <sheetViews>
    <sheetView zoomScale="110" zoomScaleNormal="110" workbookViewId="0">
      <selection activeCell="F6" sqref="F6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5"/>
      <c r="B1" s="95"/>
      <c r="C1" s="95"/>
      <c r="D1" s="95"/>
      <c r="E1" s="95"/>
      <c r="F1" s="95"/>
      <c r="G1" s="95"/>
      <c r="H1" s="95"/>
      <c r="I1" s="95"/>
      <c r="J1" s="95"/>
      <c r="K1" s="97"/>
      <c r="L1" s="97"/>
      <c r="M1" s="97"/>
    </row>
    <row r="2" spans="1:13">
      <c r="A2" s="133" t="s">
        <v>230</v>
      </c>
      <c r="B2" s="134">
        <v>45513</v>
      </c>
      <c r="C2" s="134">
        <v>45520</v>
      </c>
      <c r="D2" s="134">
        <v>45527</v>
      </c>
      <c r="E2" s="134">
        <v>45534</v>
      </c>
      <c r="F2" s="134">
        <v>45541</v>
      </c>
      <c r="G2" s="134">
        <v>45548</v>
      </c>
      <c r="H2" s="134">
        <v>45555</v>
      </c>
      <c r="I2" s="134">
        <v>45562</v>
      </c>
      <c r="J2" s="95"/>
      <c r="K2" s="97"/>
      <c r="L2" s="97"/>
      <c r="M2" s="97"/>
    </row>
    <row r="3" spans="1:13">
      <c r="A3" s="133" t="s">
        <v>231</v>
      </c>
      <c r="B3" s="135">
        <f t="shared" ref="B3:I3" si="0">B4</f>
        <v>3244.6913921078954</v>
      </c>
      <c r="C3" s="135">
        <f t="shared" si="0"/>
        <v>3279.8332952209639</v>
      </c>
      <c r="D3" s="135">
        <f t="shared" si="0"/>
        <v>3320.1554533474555</v>
      </c>
      <c r="E3" s="135">
        <f t="shared" si="0"/>
        <v>3346.0742802577015</v>
      </c>
      <c r="F3" s="135">
        <f t="shared" si="0"/>
        <v>3400.7528613225991</v>
      </c>
      <c r="G3" s="135">
        <f t="shared" si="0"/>
        <v>3452.8102334622345</v>
      </c>
      <c r="H3" s="135">
        <f t="shared" si="0"/>
        <v>3459.9856712522796</v>
      </c>
      <c r="I3" s="135">
        <f t="shared" si="0"/>
        <v>3518.3374037557824</v>
      </c>
      <c r="J3" s="95"/>
      <c r="K3" s="97"/>
      <c r="L3" s="97"/>
      <c r="M3" s="97"/>
    </row>
    <row r="4" spans="1:13">
      <c r="A4" s="95"/>
      <c r="B4" s="136">
        <f>'NAV Trend'!C10/1000000000</f>
        <v>3244.6913921078954</v>
      </c>
      <c r="C4" s="136">
        <f>'NAV Trend'!D10/1000000000</f>
        <v>3279.8332952209639</v>
      </c>
      <c r="D4" s="136">
        <f>'NAV Trend'!E10/1000000000</f>
        <v>3320.1554533474555</v>
      </c>
      <c r="E4" s="136">
        <f>'NAV Trend'!F10/1000000000</f>
        <v>3346.0742802577015</v>
      </c>
      <c r="F4" s="136">
        <f>'NAV Trend'!G10/1000000000</f>
        <v>3400.7528613225991</v>
      </c>
      <c r="G4" s="136">
        <f>'NAV Trend'!H10/1000000000</f>
        <v>3452.8102334622345</v>
      </c>
      <c r="H4" s="137">
        <f>'NAV Trend'!I10/1000000000</f>
        <v>3459.9856712522796</v>
      </c>
      <c r="I4" s="137">
        <f>'NAV Trend'!J10/1000000000</f>
        <v>3518.3374037557824</v>
      </c>
      <c r="J4" s="95"/>
      <c r="K4" s="97"/>
      <c r="L4" s="97"/>
      <c r="M4" s="97"/>
    </row>
    <row r="5" spans="1:13">
      <c r="A5" s="95"/>
      <c r="B5" s="95"/>
      <c r="C5" s="95"/>
      <c r="D5" s="95"/>
      <c r="E5" s="95"/>
      <c r="F5" s="95"/>
      <c r="G5" s="95"/>
      <c r="H5" s="95"/>
      <c r="I5" s="95"/>
      <c r="J5" s="95"/>
      <c r="K5" s="97"/>
      <c r="L5" s="97"/>
    </row>
    <row r="6" spans="1:13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3">
      <c r="A7" s="97"/>
      <c r="B7" s="97"/>
      <c r="C7" s="97"/>
      <c r="D7" s="97"/>
      <c r="E7" s="97"/>
      <c r="F7" s="97"/>
      <c r="G7" s="97"/>
      <c r="H7" s="97"/>
      <c r="I7" s="97"/>
      <c r="J7" s="97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8"/>
  <sheetViews>
    <sheetView workbookViewId="0">
      <selection activeCell="F7" sqref="F7"/>
    </sheetView>
  </sheetViews>
  <sheetFormatPr defaultRowHeight="15"/>
  <cols>
    <col min="1" max="1" width="16.5703125" customWidth="1"/>
    <col min="2" max="2" width="11.140625" bestFit="1" customWidth="1"/>
    <col min="3" max="3" width="11.42578125" bestFit="1" customWidth="1"/>
    <col min="4" max="4" width="11.5703125" bestFit="1" customWidth="1"/>
    <col min="5" max="5" width="11.140625" bestFit="1" customWidth="1"/>
    <col min="6" max="7" width="11.28515625" bestFit="1" customWidth="1"/>
    <col min="8" max="8" width="11.7109375" bestFit="1" customWidth="1"/>
    <col min="9" max="9" width="11.140625" customWidth="1"/>
  </cols>
  <sheetData>
    <row r="1" spans="1:12">
      <c r="A1" s="95"/>
      <c r="B1" s="95"/>
      <c r="C1" s="95"/>
      <c r="D1" s="95"/>
      <c r="E1" s="95"/>
      <c r="F1" s="95"/>
      <c r="G1" s="95"/>
      <c r="H1" s="95"/>
      <c r="I1" s="95"/>
      <c r="J1" s="95"/>
      <c r="K1" s="97"/>
      <c r="L1" s="97"/>
    </row>
    <row r="2" spans="1:12">
      <c r="A2" s="133" t="s">
        <v>230</v>
      </c>
      <c r="B2" s="134">
        <v>45513</v>
      </c>
      <c r="C2" s="134">
        <v>45520</v>
      </c>
      <c r="D2" s="134">
        <v>45527</v>
      </c>
      <c r="E2" s="134">
        <v>45534</v>
      </c>
      <c r="F2" s="134">
        <v>45541</v>
      </c>
      <c r="G2" s="134">
        <v>45548</v>
      </c>
      <c r="H2" s="134">
        <v>45555</v>
      </c>
      <c r="I2" s="134">
        <v>45562</v>
      </c>
      <c r="J2" s="95"/>
      <c r="K2" s="97"/>
      <c r="L2" s="97"/>
    </row>
    <row r="3" spans="1:12">
      <c r="A3" s="133" t="s">
        <v>262</v>
      </c>
      <c r="B3" s="135">
        <f t="shared" ref="B3:I3" si="0">B4</f>
        <v>12.203531382445654</v>
      </c>
      <c r="C3" s="135">
        <f t="shared" si="0"/>
        <v>12.119077784973646</v>
      </c>
      <c r="D3" s="135">
        <f t="shared" si="0"/>
        <v>12.021932386157646</v>
      </c>
      <c r="E3" s="135">
        <f t="shared" si="0"/>
        <v>12.190662825377647</v>
      </c>
      <c r="F3" s="135">
        <f t="shared" si="0"/>
        <v>12.168273401887646</v>
      </c>
      <c r="G3" s="135">
        <f t="shared" si="0"/>
        <v>12.348780151517646</v>
      </c>
      <c r="H3" s="135">
        <f t="shared" si="0"/>
        <v>12.596631014149999</v>
      </c>
      <c r="I3" s="135">
        <f t="shared" si="0"/>
        <v>12.728824087970001</v>
      </c>
      <c r="J3" s="95"/>
      <c r="K3" s="97"/>
      <c r="L3" s="97"/>
    </row>
    <row r="4" spans="1:12">
      <c r="A4" s="95"/>
      <c r="B4" s="136">
        <f>'NAV Trend'!C16/1000000000</f>
        <v>12.203531382445654</v>
      </c>
      <c r="C4" s="136">
        <f>'NAV Trend'!D16/1000000000</f>
        <v>12.119077784973646</v>
      </c>
      <c r="D4" s="136">
        <f>'NAV Trend'!E16/1000000000</f>
        <v>12.021932386157646</v>
      </c>
      <c r="E4" s="136">
        <f>'NAV Trend'!F16/1000000000</f>
        <v>12.190662825377647</v>
      </c>
      <c r="F4" s="136">
        <f>'NAV Trend'!G16/1000000000</f>
        <v>12.168273401887646</v>
      </c>
      <c r="G4" s="136">
        <f>'NAV Trend'!H16/1000000000</f>
        <v>12.348780151517646</v>
      </c>
      <c r="H4" s="136">
        <f>'NAV Trend'!I16/1000000000</f>
        <v>12.596631014149999</v>
      </c>
      <c r="I4" s="137">
        <f>'NAV Trend'!J16/1000000000</f>
        <v>12.728824087970001</v>
      </c>
      <c r="J4" s="95"/>
      <c r="K4" s="97"/>
      <c r="L4" s="97"/>
    </row>
    <row r="5" spans="1:12">
      <c r="A5" s="95"/>
      <c r="B5" s="95"/>
      <c r="C5" s="95"/>
      <c r="D5" s="95"/>
      <c r="E5" s="95"/>
      <c r="F5" s="95"/>
      <c r="G5" s="95"/>
      <c r="H5" s="95"/>
      <c r="I5" s="95"/>
      <c r="J5" s="95"/>
      <c r="K5" s="97"/>
      <c r="L5" s="97"/>
    </row>
    <row r="6" spans="1:12">
      <c r="A6" s="95"/>
      <c r="B6" s="95"/>
      <c r="C6" s="95"/>
      <c r="D6" s="95"/>
      <c r="E6" s="95"/>
      <c r="F6" s="95"/>
      <c r="G6" s="95"/>
      <c r="H6" s="95"/>
      <c r="I6" s="95"/>
      <c r="J6" s="95"/>
      <c r="K6" s="97"/>
      <c r="L6" s="97"/>
    </row>
    <row r="7" spans="1:12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2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</row>
  </sheetData>
  <sheetProtection password="CA3B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D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3" t="s">
        <v>219</v>
      </c>
      <c r="B1" s="44">
        <v>45506</v>
      </c>
      <c r="C1" s="44">
        <v>45513</v>
      </c>
      <c r="D1" s="44">
        <v>45520</v>
      </c>
      <c r="E1" s="44">
        <v>45527</v>
      </c>
      <c r="F1" s="44">
        <v>45534</v>
      </c>
      <c r="G1" s="44">
        <v>45541</v>
      </c>
      <c r="H1" s="44">
        <v>45548</v>
      </c>
      <c r="I1" s="44">
        <v>45555</v>
      </c>
      <c r="J1" s="44">
        <v>45562</v>
      </c>
    </row>
    <row r="2" spans="1:11" ht="16.5">
      <c r="A2" s="45" t="s">
        <v>14</v>
      </c>
      <c r="B2" s="120">
        <v>27041982230.700104</v>
      </c>
      <c r="C2" s="120">
        <v>27433680041.348602</v>
      </c>
      <c r="D2" s="120">
        <v>27391940327.104202</v>
      </c>
      <c r="E2" s="120">
        <v>27464171302.260002</v>
      </c>
      <c r="F2" s="120">
        <v>28027790368.7999</v>
      </c>
      <c r="G2" s="120">
        <v>27785128483.915298</v>
      </c>
      <c r="H2" s="120">
        <v>27732432482.203999</v>
      </c>
      <c r="I2" s="120">
        <v>28146858775.669201</v>
      </c>
      <c r="J2" s="120">
        <v>28730451829.155499</v>
      </c>
    </row>
    <row r="3" spans="1:11" ht="16.5">
      <c r="A3" s="45" t="s">
        <v>46</v>
      </c>
      <c r="B3" s="120">
        <v>1197584357066.3213</v>
      </c>
      <c r="C3" s="120">
        <v>1218572512276.3979</v>
      </c>
      <c r="D3" s="120">
        <v>1238391247596.4695</v>
      </c>
      <c r="E3" s="120">
        <v>1261933383053.9299</v>
      </c>
      <c r="F3" s="120">
        <v>1275703699629.3594</v>
      </c>
      <c r="G3" s="120">
        <v>1307622955124.6592</v>
      </c>
      <c r="H3" s="120">
        <v>1334285121601.7297</v>
      </c>
      <c r="I3" s="120">
        <v>1367483009916.4885</v>
      </c>
      <c r="J3" s="120">
        <v>1391842705992.0151</v>
      </c>
    </row>
    <row r="4" spans="1:11" ht="16.5">
      <c r="A4" s="45" t="s">
        <v>220</v>
      </c>
      <c r="B4" s="119">
        <v>222265413610.996</v>
      </c>
      <c r="C4" s="119">
        <v>220342612965.04529</v>
      </c>
      <c r="D4" s="119">
        <v>217819038959.14166</v>
      </c>
      <c r="E4" s="119">
        <v>216796049169.53281</v>
      </c>
      <c r="F4" s="119">
        <v>218570980192.58582</v>
      </c>
      <c r="G4" s="119">
        <v>218520520561.22519</v>
      </c>
      <c r="H4" s="119">
        <v>218027725773.40811</v>
      </c>
      <c r="I4" s="119">
        <v>215542773710.89728</v>
      </c>
      <c r="J4" s="119">
        <v>215016078902.25302</v>
      </c>
    </row>
    <row r="5" spans="1:11" ht="16.5">
      <c r="A5" s="45" t="s">
        <v>127</v>
      </c>
      <c r="B5" s="120">
        <v>1602267920125.6169</v>
      </c>
      <c r="C5" s="120">
        <v>1574721850668.9399</v>
      </c>
      <c r="D5" s="120">
        <v>1593037556995.613</v>
      </c>
      <c r="E5" s="120">
        <v>1610214165564.0437</v>
      </c>
      <c r="F5" s="120">
        <v>1619684731793.4424</v>
      </c>
      <c r="G5" s="120">
        <v>1642482618309.0815</v>
      </c>
      <c r="H5" s="120">
        <v>1668230249491.24</v>
      </c>
      <c r="I5" s="120">
        <v>1643587494351.8052</v>
      </c>
      <c r="J5" s="120">
        <v>1677183716252.0171</v>
      </c>
    </row>
    <row r="6" spans="1:11" ht="16.5">
      <c r="A6" s="45" t="s">
        <v>221</v>
      </c>
      <c r="B6" s="46">
        <v>98122255921.538315</v>
      </c>
      <c r="C6" s="46">
        <v>98421099303.410858</v>
      </c>
      <c r="D6" s="46">
        <v>97679677536.488846</v>
      </c>
      <c r="E6" s="46">
        <v>97725390745.223068</v>
      </c>
      <c r="F6" s="46">
        <v>97021700017.900894</v>
      </c>
      <c r="G6" s="46">
        <v>97137104575.276978</v>
      </c>
      <c r="H6" s="46">
        <v>97204373692.430328</v>
      </c>
      <c r="I6" s="46">
        <v>97288036533.859161</v>
      </c>
      <c r="J6" s="46">
        <v>97416504495.638351</v>
      </c>
    </row>
    <row r="7" spans="1:11" ht="16.5">
      <c r="A7" s="45" t="s">
        <v>151</v>
      </c>
      <c r="B7" s="47">
        <v>48930496510.281784</v>
      </c>
      <c r="C7" s="47">
        <v>49553288389.12748</v>
      </c>
      <c r="D7" s="47">
        <v>49479509081.395515</v>
      </c>
      <c r="E7" s="47">
        <v>49723971071.59124</v>
      </c>
      <c r="F7" s="47">
        <v>50541815917.121063</v>
      </c>
      <c r="G7" s="47">
        <v>50358393707.296288</v>
      </c>
      <c r="H7" s="47">
        <v>50669138356.32399</v>
      </c>
      <c r="I7" s="47">
        <v>51108128793.195488</v>
      </c>
      <c r="J7" s="47">
        <v>51162095071.512878</v>
      </c>
    </row>
    <row r="8" spans="1:11" ht="16.5">
      <c r="A8" s="45" t="s">
        <v>175</v>
      </c>
      <c r="B8" s="46">
        <v>5230729086.9300003</v>
      </c>
      <c r="C8" s="46">
        <v>5343194037.2600002</v>
      </c>
      <c r="D8" s="46">
        <v>5322624044.9300003</v>
      </c>
      <c r="E8" s="46">
        <v>5264954956.3800001</v>
      </c>
      <c r="F8" s="46">
        <v>5284717995.9899998</v>
      </c>
      <c r="G8" s="46">
        <v>5291480610.9799995</v>
      </c>
      <c r="H8" s="46">
        <v>5333158647.2600002</v>
      </c>
      <c r="I8" s="46">
        <v>5366654391.6099997</v>
      </c>
      <c r="J8" s="46">
        <v>5372547709.2600002</v>
      </c>
    </row>
    <row r="9" spans="1:11" ht="16.5">
      <c r="A9" s="45" t="s">
        <v>222</v>
      </c>
      <c r="B9" s="46">
        <v>49967671576.897987</v>
      </c>
      <c r="C9" s="46">
        <v>50303154426.365845</v>
      </c>
      <c r="D9" s="46">
        <v>50711700679.821404</v>
      </c>
      <c r="E9" s="46">
        <v>51033367484.494461</v>
      </c>
      <c r="F9" s="46">
        <v>51238844342.502098</v>
      </c>
      <c r="G9" s="46">
        <v>51554659950.165176</v>
      </c>
      <c r="H9" s="46">
        <v>51328033417.638184</v>
      </c>
      <c r="I9" s="46">
        <v>51462714778.755112</v>
      </c>
      <c r="J9" s="46">
        <v>51613303503.931358</v>
      </c>
    </row>
    <row r="10" spans="1:11" ht="15.75">
      <c r="A10" s="48" t="s">
        <v>223</v>
      </c>
      <c r="B10" s="49">
        <f t="shared" ref="B10:I10" si="0">SUM(B2:B9)</f>
        <v>3251410826129.2827</v>
      </c>
      <c r="C10" s="49">
        <f t="shared" si="0"/>
        <v>3244691392107.8955</v>
      </c>
      <c r="D10" s="49">
        <f t="shared" si="0"/>
        <v>3279833295220.9639</v>
      </c>
      <c r="E10" s="49">
        <f t="shared" si="0"/>
        <v>3320155453347.4556</v>
      </c>
      <c r="F10" s="49">
        <f t="shared" si="0"/>
        <v>3346074280257.7017</v>
      </c>
      <c r="G10" s="49">
        <f t="shared" si="0"/>
        <v>3400752861322.5991</v>
      </c>
      <c r="H10" s="49">
        <f t="shared" si="0"/>
        <v>3452810233462.2344</v>
      </c>
      <c r="I10" s="49">
        <f t="shared" si="0"/>
        <v>3459985671252.2798</v>
      </c>
      <c r="J10" s="49">
        <f>SUM(J2:J9)</f>
        <v>3518337403755.7822</v>
      </c>
    </row>
    <row r="11" spans="1:11" ht="16.5">
      <c r="A11" s="50"/>
      <c r="B11" s="51"/>
      <c r="C11" s="51"/>
      <c r="D11" s="51"/>
      <c r="E11" s="51"/>
      <c r="F11" s="51"/>
      <c r="G11" s="51"/>
      <c r="H11" s="51"/>
      <c r="I11" s="50"/>
      <c r="J11" s="50"/>
    </row>
    <row r="12" spans="1:11" ht="15.75">
      <c r="A12" s="52" t="s">
        <v>224</v>
      </c>
      <c r="B12" s="53" t="s">
        <v>225</v>
      </c>
      <c r="C12" s="54">
        <f>(B10+C10)/2</f>
        <v>3248051109118.5889</v>
      </c>
      <c r="D12" s="55">
        <f t="shared" ref="D12:J12" si="1">(C10+D10)/2</f>
        <v>3262262343664.4297</v>
      </c>
      <c r="E12" s="55">
        <f t="shared" si="1"/>
        <v>3299994374284.21</v>
      </c>
      <c r="F12" s="55">
        <f t="shared" si="1"/>
        <v>3333114866802.5786</v>
      </c>
      <c r="G12" s="55">
        <f>(F10+G10)/2</f>
        <v>3373413570790.1504</v>
      </c>
      <c r="H12" s="55">
        <f t="shared" si="1"/>
        <v>3426781547392.417</v>
      </c>
      <c r="I12" s="55">
        <f t="shared" si="1"/>
        <v>3456397952357.2568</v>
      </c>
      <c r="J12" s="55">
        <f t="shared" si="1"/>
        <v>3489161537504.0313</v>
      </c>
    </row>
    <row r="13" spans="1:11">
      <c r="C13" s="97"/>
      <c r="D13" s="97"/>
      <c r="E13" s="97"/>
      <c r="F13" s="97"/>
      <c r="G13" s="97"/>
      <c r="H13" s="97"/>
      <c r="I13" s="97"/>
      <c r="J13" s="97"/>
      <c r="K13" s="97"/>
    </row>
    <row r="14" spans="1:11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</row>
    <row r="15" spans="1:11" ht="16.5">
      <c r="A15" s="97"/>
      <c r="B15" s="44">
        <v>45506</v>
      </c>
      <c r="C15" s="44">
        <v>45513</v>
      </c>
      <c r="D15" s="44">
        <v>45520</v>
      </c>
      <c r="E15" s="44">
        <v>45527</v>
      </c>
      <c r="F15" s="44">
        <v>45534</v>
      </c>
      <c r="G15" s="44">
        <v>45541</v>
      </c>
      <c r="H15" s="44">
        <v>45548</v>
      </c>
      <c r="I15" s="44">
        <v>45555</v>
      </c>
      <c r="J15" s="44">
        <v>45562</v>
      </c>
      <c r="K15" s="97"/>
    </row>
    <row r="16" spans="1:11" ht="16.5">
      <c r="A16" s="116" t="s">
        <v>261</v>
      </c>
      <c r="B16" s="118">
        <v>12159294190.102655</v>
      </c>
      <c r="C16" s="118">
        <v>12203531382.445654</v>
      </c>
      <c r="D16" s="118">
        <v>12119077784.973646</v>
      </c>
      <c r="E16" s="118">
        <v>12021932386.157646</v>
      </c>
      <c r="F16" s="118">
        <v>12190662825.377647</v>
      </c>
      <c r="G16" s="118">
        <v>12168273401.887646</v>
      </c>
      <c r="H16" s="118">
        <v>12348780151.517647</v>
      </c>
      <c r="I16" s="118">
        <v>12596631014.15</v>
      </c>
      <c r="J16" s="118">
        <v>12728824087.970001</v>
      </c>
      <c r="K16" s="97"/>
    </row>
    <row r="17" spans="1:11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</row>
    <row r="18" spans="1:11">
      <c r="A18" s="97"/>
      <c r="B18" s="97"/>
      <c r="C18" s="117"/>
      <c r="D18" s="117"/>
      <c r="E18" s="117"/>
      <c r="F18" s="117"/>
      <c r="G18" s="117"/>
      <c r="H18" s="117"/>
      <c r="I18" s="117"/>
      <c r="J18" s="117"/>
      <c r="K18" s="97"/>
    </row>
    <row r="19" spans="1:11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</row>
    <row r="20" spans="1:11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</row>
    <row r="21" spans="1:11">
      <c r="B21" s="97"/>
      <c r="C21" s="97"/>
      <c r="D21" s="97"/>
      <c r="E21" s="97"/>
      <c r="F21" s="97"/>
      <c r="G21" s="97"/>
      <c r="H21" s="97"/>
      <c r="I21" s="97"/>
      <c r="J21" s="97"/>
      <c r="K21" s="97"/>
    </row>
    <row r="22" spans="1:11">
      <c r="B22" s="97"/>
      <c r="C22" s="97"/>
      <c r="D22" s="97"/>
      <c r="E22" s="97"/>
      <c r="F22" s="97"/>
      <c r="G22" s="97"/>
      <c r="H22" s="97"/>
      <c r="I22" s="97"/>
      <c r="J22" s="97"/>
      <c r="K22" s="95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USER</cp:lastModifiedBy>
  <dcterms:created xsi:type="dcterms:W3CDTF">2023-10-09T09:40:10Z</dcterms:created>
  <dcterms:modified xsi:type="dcterms:W3CDTF">2024-10-03T12:56:20Z</dcterms:modified>
</cp:coreProperties>
</file>