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1" l="1"/>
  <c r="F132" i="1"/>
  <c r="G130" i="1"/>
  <c r="F130" i="1"/>
  <c r="G128" i="1"/>
  <c r="F128" i="1"/>
  <c r="G127" i="1"/>
  <c r="F127" i="1"/>
  <c r="G126" i="1"/>
  <c r="F126" i="1"/>
  <c r="G125" i="1"/>
  <c r="F125" i="1"/>
  <c r="G124" i="1"/>
  <c r="F124" i="1"/>
  <c r="G121" i="1"/>
  <c r="F121" i="1"/>
  <c r="G120" i="1"/>
  <c r="F120" i="1"/>
  <c r="D132" i="1"/>
  <c r="D130" i="1"/>
  <c r="D128" i="1"/>
  <c r="D126" i="1"/>
  <c r="D125" i="1"/>
  <c r="D121" i="1"/>
  <c r="D120" i="1"/>
  <c r="G117" i="1"/>
  <c r="F117" i="1"/>
  <c r="G116" i="1"/>
  <c r="F116" i="1"/>
  <c r="G115" i="1"/>
  <c r="F115" i="1"/>
  <c r="G114" i="1"/>
  <c r="F114" i="1"/>
  <c r="G113" i="1"/>
  <c r="F113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D117" i="1"/>
  <c r="D116" i="1"/>
  <c r="D115" i="1"/>
  <c r="D114" i="1"/>
  <c r="D113" i="1"/>
  <c r="D109" i="1"/>
  <c r="D108" i="1"/>
  <c r="D107" i="1"/>
  <c r="D106" i="1"/>
  <c r="D105" i="1"/>
  <c r="D104" i="1"/>
  <c r="D103" i="1"/>
  <c r="N107" i="1" l="1"/>
  <c r="M107" i="1"/>
  <c r="K107" i="1"/>
  <c r="N106" i="1"/>
  <c r="M106" i="1"/>
  <c r="K106" i="1"/>
  <c r="N127" i="1"/>
  <c r="M127" i="1"/>
  <c r="N126" i="1"/>
  <c r="M126" i="1"/>
  <c r="K126" i="1"/>
  <c r="N120" i="1" l="1"/>
  <c r="M120" i="1"/>
  <c r="K120" i="1"/>
  <c r="N113" i="1"/>
  <c r="M113" i="1"/>
  <c r="K113" i="1"/>
  <c r="N128" i="1" l="1"/>
  <c r="M128" i="1"/>
  <c r="K128" i="1"/>
  <c r="N105" i="1"/>
  <c r="M105" i="1"/>
  <c r="K105" i="1"/>
  <c r="N104" i="1" l="1"/>
  <c r="M104" i="1"/>
  <c r="K104" i="1"/>
  <c r="N130" i="1"/>
  <c r="M130" i="1"/>
  <c r="K130" i="1"/>
  <c r="N132" i="1" l="1"/>
  <c r="M132" i="1"/>
  <c r="K132" i="1"/>
  <c r="N117" i="1"/>
  <c r="M117" i="1"/>
  <c r="K117" i="1"/>
  <c r="N114" i="1" l="1"/>
  <c r="M114" i="1"/>
  <c r="K114" i="1"/>
  <c r="N103" i="1" l="1"/>
  <c r="M103" i="1"/>
  <c r="K103" i="1"/>
  <c r="N108" i="1" l="1"/>
  <c r="M108" i="1"/>
  <c r="K108" i="1"/>
  <c r="N124" i="1" l="1"/>
  <c r="M124" i="1"/>
  <c r="N121" i="1"/>
  <c r="M121" i="1"/>
  <c r="K121" i="1"/>
  <c r="N109" i="1"/>
  <c r="M109" i="1"/>
  <c r="K109" i="1"/>
  <c r="N125" i="1"/>
  <c r="M125" i="1"/>
  <c r="K125" i="1"/>
  <c r="N116" i="1" l="1"/>
  <c r="M116" i="1"/>
  <c r="K116" i="1"/>
  <c r="R146" i="1" l="1"/>
  <c r="R105" i="1"/>
  <c r="S85" i="1" l="1"/>
  <c r="R209" i="1" l="1"/>
  <c r="R210" i="1"/>
  <c r="V124" i="1" l="1"/>
  <c r="U124" i="1"/>
  <c r="T124" i="1"/>
  <c r="R124" i="1"/>
  <c r="S131" i="1"/>
  <c r="V131" i="1"/>
  <c r="U131" i="1"/>
  <c r="T131" i="1"/>
  <c r="R131" i="1"/>
  <c r="V51" i="1"/>
  <c r="U51" i="1"/>
  <c r="T51" i="1"/>
  <c r="S51" i="1"/>
  <c r="R51" i="1"/>
  <c r="S124" i="1" l="1"/>
  <c r="V115" i="1" l="1"/>
  <c r="U115" i="1"/>
  <c r="T115" i="1"/>
  <c r="S115" i="1"/>
  <c r="R115" i="1"/>
  <c r="R213" i="1"/>
  <c r="R163" i="1"/>
  <c r="R103" i="1" l="1"/>
  <c r="R159" i="1"/>
  <c r="S159" i="1"/>
  <c r="T159" i="1"/>
  <c r="U159" i="1"/>
  <c r="V159" i="1"/>
  <c r="R82" i="1" l="1"/>
  <c r="V194" i="1"/>
  <c r="U194" i="1"/>
  <c r="T194" i="1"/>
  <c r="S194" i="1"/>
  <c r="R194" i="1"/>
  <c r="V193" i="1"/>
  <c r="U193" i="1"/>
  <c r="T193" i="1"/>
  <c r="S193" i="1"/>
  <c r="R193" i="1"/>
  <c r="R52" i="1" l="1"/>
  <c r="V52" i="1"/>
  <c r="U52" i="1"/>
  <c r="T52" i="1"/>
  <c r="S52" i="1"/>
  <c r="K61" i="1"/>
  <c r="E47" i="1" l="1"/>
  <c r="E48" i="1"/>
  <c r="L40" i="1"/>
  <c r="L51" i="1"/>
  <c r="E51" i="1"/>
  <c r="C14" i="2"/>
  <c r="L38" i="1"/>
  <c r="L58" i="1"/>
  <c r="E52" i="1"/>
  <c r="L52" i="1"/>
  <c r="U166" i="1" l="1"/>
  <c r="V166" i="1"/>
  <c r="R166" i="1"/>
  <c r="S166" i="1"/>
  <c r="T166" i="1"/>
  <c r="R54" i="1"/>
  <c r="V54" i="1"/>
  <c r="U54" i="1"/>
  <c r="T54" i="1"/>
  <c r="S54" i="1"/>
  <c r="V177" i="1" l="1"/>
  <c r="R107" i="1" l="1"/>
  <c r="S107" i="1"/>
  <c r="T107" i="1"/>
  <c r="U107" i="1"/>
  <c r="V107" i="1"/>
  <c r="R32" i="1"/>
  <c r="R70" i="1"/>
  <c r="S70" i="1"/>
  <c r="T70" i="1"/>
  <c r="U70" i="1"/>
  <c r="V70" i="1"/>
  <c r="V32" i="1"/>
  <c r="U32" i="1"/>
  <c r="T32" i="1"/>
  <c r="S32" i="1"/>
  <c r="T104" i="1" l="1"/>
  <c r="U104" i="1"/>
  <c r="V104" i="1"/>
  <c r="S104" i="1"/>
  <c r="R104" i="1"/>
  <c r="R89" i="1" l="1"/>
  <c r="O133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6" i="1"/>
  <c r="S106" i="1"/>
  <c r="T106" i="1"/>
  <c r="U106" i="1"/>
  <c r="V106" i="1"/>
  <c r="R158" i="1" l="1"/>
  <c r="S59" i="1" l="1"/>
  <c r="D141" i="1" l="1"/>
  <c r="I4" i="6"/>
  <c r="I3" i="6" s="1"/>
  <c r="H4" i="6"/>
  <c r="G4" i="6"/>
  <c r="G3" i="6" s="1"/>
  <c r="F4" i="6"/>
  <c r="E4" i="6"/>
  <c r="D4" i="6"/>
  <c r="C4" i="6"/>
  <c r="B4" i="6"/>
  <c r="H3" i="6"/>
  <c r="F3" i="6"/>
  <c r="E3" i="6"/>
  <c r="D3" i="6"/>
  <c r="C3" i="6"/>
  <c r="B3" i="6"/>
  <c r="R109" i="1" l="1"/>
  <c r="S109" i="1"/>
  <c r="T109" i="1"/>
  <c r="U109" i="1"/>
  <c r="V109" i="1"/>
  <c r="R110" i="1"/>
  <c r="S110" i="1"/>
  <c r="T110" i="1"/>
  <c r="U110" i="1"/>
  <c r="V110" i="1"/>
  <c r="R97" i="1" l="1"/>
  <c r="S97" i="1"/>
  <c r="T97" i="1"/>
  <c r="U97" i="1"/>
  <c r="V97" i="1"/>
  <c r="R59" i="1"/>
  <c r="V59" i="1"/>
  <c r="U59" i="1"/>
  <c r="T59" i="1"/>
  <c r="R188" i="1"/>
  <c r="R147" i="1" l="1"/>
  <c r="R126" i="1" l="1"/>
  <c r="S126" i="1"/>
  <c r="T126" i="1"/>
  <c r="U126" i="1"/>
  <c r="V126" i="1"/>
  <c r="R83" i="1"/>
  <c r="S83" i="1"/>
  <c r="T83" i="1"/>
  <c r="U83" i="1"/>
  <c r="V83" i="1"/>
  <c r="V203" i="1" l="1"/>
  <c r="T164" i="1"/>
  <c r="S164" i="1"/>
  <c r="R129" i="1" l="1"/>
  <c r="V160" i="1" l="1"/>
  <c r="T151" i="1" l="1"/>
  <c r="R145" i="1"/>
  <c r="S145" i="1"/>
  <c r="T145" i="1"/>
  <c r="U145" i="1"/>
  <c r="V145" i="1"/>
  <c r="R167" i="1"/>
  <c r="S167" i="1"/>
  <c r="T167" i="1"/>
  <c r="U167" i="1"/>
  <c r="V167" i="1"/>
  <c r="R125" i="1" l="1"/>
  <c r="S125" i="1"/>
  <c r="S190" i="1" l="1"/>
  <c r="V125" i="1"/>
  <c r="U125" i="1"/>
  <c r="T125" i="1"/>
  <c r="R72" i="1" l="1"/>
  <c r="V80" i="1" l="1"/>
  <c r="U80" i="1"/>
  <c r="T80" i="1"/>
  <c r="S80" i="1"/>
  <c r="R80" i="1"/>
  <c r="V86" i="1" l="1"/>
  <c r="U86" i="1"/>
  <c r="T86" i="1"/>
  <c r="S86" i="1"/>
  <c r="R86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1" i="1"/>
  <c r="U191" i="1"/>
  <c r="T191" i="1"/>
  <c r="S191" i="1"/>
  <c r="R191" i="1"/>
  <c r="T34" i="1" l="1"/>
  <c r="S22" i="1" l="1"/>
  <c r="T22" i="1"/>
  <c r="V108" i="1" l="1"/>
  <c r="R108" i="1"/>
  <c r="S108" i="1"/>
  <c r="T108" i="1"/>
  <c r="U108" i="1"/>
  <c r="R13" i="1" l="1"/>
  <c r="R50" i="1" l="1"/>
  <c r="V50" i="1"/>
  <c r="U50" i="1"/>
  <c r="T50" i="1"/>
  <c r="S50" i="1"/>
  <c r="V137" i="1" l="1"/>
  <c r="U137" i="1"/>
  <c r="T137" i="1"/>
  <c r="S137" i="1"/>
  <c r="R137" i="1"/>
  <c r="R77" i="1" l="1"/>
  <c r="S183" i="1" l="1"/>
  <c r="D178" i="1" l="1"/>
  <c r="B19" i="2" s="1"/>
  <c r="B9" i="2" s="1"/>
  <c r="D133" i="1"/>
  <c r="E124" i="1" s="1"/>
  <c r="E107" i="1" l="1"/>
  <c r="E115" i="1"/>
  <c r="E106" i="1"/>
  <c r="E104" i="1"/>
  <c r="B16" i="2"/>
  <c r="B6" i="2" s="1"/>
  <c r="E121" i="1"/>
  <c r="E126" i="1"/>
  <c r="E109" i="1"/>
  <c r="E125" i="1"/>
  <c r="R96" i="1"/>
  <c r="S96" i="1"/>
  <c r="T96" i="1"/>
  <c r="U96" i="1"/>
  <c r="V96" i="1"/>
  <c r="D219" i="1"/>
  <c r="D198" i="1"/>
  <c r="D61" i="1"/>
  <c r="B20" i="2" l="1"/>
  <c r="B10" i="2" s="1"/>
  <c r="E194" i="1"/>
  <c r="E193" i="1"/>
  <c r="B14" i="2"/>
  <c r="B4" i="2" s="1"/>
  <c r="E137" i="1"/>
  <c r="B17" i="2"/>
  <c r="B7" i="2" s="1"/>
  <c r="E187" i="1"/>
  <c r="E188" i="1"/>
  <c r="E190" i="1"/>
  <c r="E191" i="1"/>
  <c r="E192" i="1"/>
  <c r="E195" i="1"/>
  <c r="E196" i="1"/>
  <c r="E197" i="1"/>
  <c r="R176" i="1"/>
  <c r="R88" i="1" l="1"/>
  <c r="S88" i="1"/>
  <c r="T88" i="1"/>
  <c r="V88" i="1"/>
  <c r="U88" i="1"/>
  <c r="D23" i="1" l="1"/>
  <c r="B13" i="2" s="1"/>
  <c r="B3" i="2" l="1"/>
  <c r="E10" i="1"/>
  <c r="R122" i="1"/>
  <c r="R20" i="1" l="1"/>
  <c r="R208" i="1" l="1"/>
  <c r="S208" i="1"/>
  <c r="T208" i="1"/>
  <c r="U208" i="1"/>
  <c r="V208" i="1"/>
  <c r="S209" i="1"/>
  <c r="T209" i="1"/>
  <c r="U209" i="1"/>
  <c r="V209" i="1"/>
  <c r="S210" i="1"/>
  <c r="T210" i="1"/>
  <c r="U210" i="1"/>
  <c r="V210" i="1"/>
  <c r="R211" i="1"/>
  <c r="S211" i="1"/>
  <c r="T211" i="1"/>
  <c r="U211" i="1"/>
  <c r="V211" i="1"/>
  <c r="R212" i="1"/>
  <c r="S212" i="1"/>
  <c r="T212" i="1"/>
  <c r="U212" i="1"/>
  <c r="V212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S219" i="1"/>
  <c r="U219" i="1"/>
  <c r="V219" i="1"/>
  <c r="V207" i="1"/>
  <c r="U207" i="1"/>
  <c r="T207" i="1"/>
  <c r="S207" i="1"/>
  <c r="R207" i="1"/>
  <c r="U203" i="1"/>
  <c r="T203" i="1"/>
  <c r="S203" i="1"/>
  <c r="R203" i="1"/>
  <c r="V202" i="1"/>
  <c r="U202" i="1"/>
  <c r="T202" i="1"/>
  <c r="S202" i="1"/>
  <c r="R202" i="1"/>
  <c r="R187" i="1"/>
  <c r="S187" i="1"/>
  <c r="T187" i="1"/>
  <c r="U187" i="1"/>
  <c r="V187" i="1"/>
  <c r="S188" i="1"/>
  <c r="T188" i="1"/>
  <c r="U188" i="1"/>
  <c r="V188" i="1"/>
  <c r="R190" i="1"/>
  <c r="T190" i="1"/>
  <c r="U190" i="1"/>
  <c r="V190" i="1"/>
  <c r="R192" i="1"/>
  <c r="S192" i="1"/>
  <c r="T192" i="1"/>
  <c r="U192" i="1"/>
  <c r="V192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S198" i="1"/>
  <c r="U198" i="1"/>
  <c r="V198" i="1"/>
  <c r="V186" i="1"/>
  <c r="U186" i="1"/>
  <c r="T186" i="1"/>
  <c r="S186" i="1"/>
  <c r="R186" i="1"/>
  <c r="V183" i="1"/>
  <c r="U183" i="1"/>
  <c r="T183" i="1"/>
  <c r="R183" i="1"/>
  <c r="V182" i="1"/>
  <c r="U182" i="1"/>
  <c r="T182" i="1"/>
  <c r="S182" i="1"/>
  <c r="R182" i="1"/>
  <c r="S176" i="1"/>
  <c r="T176" i="1"/>
  <c r="U176" i="1"/>
  <c r="V176" i="1"/>
  <c r="R177" i="1"/>
  <c r="S177" i="1"/>
  <c r="T177" i="1"/>
  <c r="U177" i="1"/>
  <c r="S178" i="1"/>
  <c r="U178" i="1"/>
  <c r="V178" i="1"/>
  <c r="V175" i="1"/>
  <c r="U175" i="1"/>
  <c r="T175" i="1"/>
  <c r="S175" i="1"/>
  <c r="R175" i="1"/>
  <c r="S146" i="1"/>
  <c r="T146" i="1"/>
  <c r="U146" i="1"/>
  <c r="V146" i="1"/>
  <c r="S147" i="1"/>
  <c r="T147" i="1"/>
  <c r="U147" i="1"/>
  <c r="V147" i="1"/>
  <c r="R148" i="1"/>
  <c r="S148" i="1"/>
  <c r="T148" i="1"/>
  <c r="U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S158" i="1"/>
  <c r="T158" i="1"/>
  <c r="U158" i="1"/>
  <c r="V158" i="1"/>
  <c r="R160" i="1"/>
  <c r="S160" i="1"/>
  <c r="T160" i="1"/>
  <c r="U160" i="1"/>
  <c r="R161" i="1"/>
  <c r="S161" i="1"/>
  <c r="T161" i="1"/>
  <c r="U161" i="1"/>
  <c r="V161" i="1"/>
  <c r="R162" i="1"/>
  <c r="S162" i="1"/>
  <c r="T162" i="1"/>
  <c r="U162" i="1"/>
  <c r="V162" i="1"/>
  <c r="S163" i="1"/>
  <c r="T163" i="1"/>
  <c r="U163" i="1"/>
  <c r="V163" i="1"/>
  <c r="R164" i="1"/>
  <c r="U164" i="1"/>
  <c r="V164" i="1"/>
  <c r="R165" i="1"/>
  <c r="S165" i="1"/>
  <c r="T165" i="1"/>
  <c r="U165" i="1"/>
  <c r="V165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S172" i="1"/>
  <c r="U172" i="1"/>
  <c r="V172" i="1"/>
  <c r="V144" i="1"/>
  <c r="U144" i="1"/>
  <c r="T144" i="1"/>
  <c r="S144" i="1"/>
  <c r="R144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S141" i="1"/>
  <c r="U141" i="1"/>
  <c r="V141" i="1"/>
  <c r="V136" i="1"/>
  <c r="U136" i="1"/>
  <c r="T136" i="1"/>
  <c r="S136" i="1"/>
  <c r="R136" i="1"/>
  <c r="R121" i="1"/>
  <c r="S121" i="1"/>
  <c r="T121" i="1"/>
  <c r="U121" i="1"/>
  <c r="V121" i="1"/>
  <c r="S122" i="1"/>
  <c r="T122" i="1"/>
  <c r="U122" i="1"/>
  <c r="V122" i="1"/>
  <c r="R123" i="1"/>
  <c r="S123" i="1"/>
  <c r="T123" i="1"/>
  <c r="U123" i="1"/>
  <c r="V123" i="1"/>
  <c r="R127" i="1"/>
  <c r="S127" i="1"/>
  <c r="T127" i="1"/>
  <c r="U127" i="1"/>
  <c r="V127" i="1"/>
  <c r="R128" i="1"/>
  <c r="S128" i="1"/>
  <c r="T128" i="1"/>
  <c r="U128" i="1"/>
  <c r="V128" i="1"/>
  <c r="S129" i="1"/>
  <c r="T129" i="1"/>
  <c r="U129" i="1"/>
  <c r="V129" i="1"/>
  <c r="R130" i="1"/>
  <c r="S130" i="1"/>
  <c r="T130" i="1"/>
  <c r="U130" i="1"/>
  <c r="V130" i="1"/>
  <c r="R132" i="1"/>
  <c r="S132" i="1"/>
  <c r="T132" i="1"/>
  <c r="U132" i="1"/>
  <c r="V132" i="1"/>
  <c r="S133" i="1"/>
  <c r="U133" i="1"/>
  <c r="V133" i="1"/>
  <c r="V120" i="1"/>
  <c r="U120" i="1"/>
  <c r="T120" i="1"/>
  <c r="S120" i="1"/>
  <c r="R120" i="1"/>
  <c r="S105" i="1"/>
  <c r="T105" i="1"/>
  <c r="U105" i="1"/>
  <c r="V105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6" i="1"/>
  <c r="S116" i="1"/>
  <c r="T116" i="1"/>
  <c r="U116" i="1"/>
  <c r="V116" i="1"/>
  <c r="R117" i="1"/>
  <c r="S117" i="1"/>
  <c r="T117" i="1"/>
  <c r="U117" i="1"/>
  <c r="V117" i="1"/>
  <c r="V103" i="1"/>
  <c r="U103" i="1"/>
  <c r="T103" i="1"/>
  <c r="S103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R69" i="1"/>
  <c r="S69" i="1"/>
  <c r="T69" i="1"/>
  <c r="U69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S82" i="1"/>
  <c r="T82" i="1"/>
  <c r="U82" i="1"/>
  <c r="V82" i="1"/>
  <c r="R84" i="1"/>
  <c r="S84" i="1"/>
  <c r="T84" i="1"/>
  <c r="U84" i="1"/>
  <c r="V84" i="1"/>
  <c r="R85" i="1"/>
  <c r="T85" i="1"/>
  <c r="U85" i="1"/>
  <c r="V85" i="1"/>
  <c r="R87" i="1"/>
  <c r="S87" i="1"/>
  <c r="T87" i="1"/>
  <c r="U87" i="1"/>
  <c r="V87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8" i="1"/>
  <c r="S98" i="1"/>
  <c r="T98" i="1"/>
  <c r="U98" i="1"/>
  <c r="V98" i="1"/>
  <c r="S99" i="1"/>
  <c r="U99" i="1"/>
  <c r="V99" i="1"/>
  <c r="V64" i="1"/>
  <c r="U64" i="1"/>
  <c r="T64" i="1"/>
  <c r="S64" i="1"/>
  <c r="R64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3" i="1"/>
  <c r="S53" i="1"/>
  <c r="T53" i="1"/>
  <c r="U53" i="1"/>
  <c r="V53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60" i="1"/>
  <c r="S60" i="1"/>
  <c r="T60" i="1"/>
  <c r="U60" i="1"/>
  <c r="V60" i="1"/>
  <c r="S61" i="1"/>
  <c r="U61" i="1"/>
  <c r="V61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9" i="1" l="1"/>
  <c r="V148" i="1"/>
  <c r="O198" i="1" l="1"/>
  <c r="O219" i="1"/>
  <c r="K219" i="1"/>
  <c r="L211" i="1" s="1"/>
  <c r="H219" i="1"/>
  <c r="K204" i="1"/>
  <c r="H204" i="1"/>
  <c r="D204" i="1"/>
  <c r="H198" i="1"/>
  <c r="K198" i="1"/>
  <c r="L189" i="1" s="1"/>
  <c r="H178" i="1"/>
  <c r="O178" i="1"/>
  <c r="K178" i="1"/>
  <c r="O172" i="1"/>
  <c r="K172" i="1"/>
  <c r="L161" i="1" s="1"/>
  <c r="H172" i="1"/>
  <c r="D172" i="1"/>
  <c r="E159" i="1" s="1"/>
  <c r="O141" i="1"/>
  <c r="K141" i="1"/>
  <c r="H141" i="1"/>
  <c r="T141" i="1" s="1"/>
  <c r="H133" i="1"/>
  <c r="K133" i="1"/>
  <c r="L124" i="1" s="1"/>
  <c r="O99" i="1"/>
  <c r="K99" i="1"/>
  <c r="L78" i="1" s="1"/>
  <c r="H99" i="1"/>
  <c r="D99" i="1"/>
  <c r="O61" i="1"/>
  <c r="H61" i="1"/>
  <c r="O23" i="1"/>
  <c r="H23" i="1"/>
  <c r="B5" i="3" l="1"/>
  <c r="L190" i="1"/>
  <c r="L81" i="1"/>
  <c r="L95" i="1"/>
  <c r="L115" i="1"/>
  <c r="L131" i="1"/>
  <c r="B4" i="3"/>
  <c r="L154" i="1"/>
  <c r="L159" i="1"/>
  <c r="L160" i="1"/>
  <c r="L166" i="1"/>
  <c r="L145" i="1"/>
  <c r="L194" i="1"/>
  <c r="L193" i="1"/>
  <c r="E70" i="1"/>
  <c r="B15" i="2"/>
  <c r="B5" i="2" s="1"/>
  <c r="L70" i="1"/>
  <c r="C15" i="2"/>
  <c r="C5" i="2" s="1"/>
  <c r="B18" i="2"/>
  <c r="B8" i="2" s="1"/>
  <c r="E166" i="1"/>
  <c r="E54" i="1"/>
  <c r="L54" i="1"/>
  <c r="L104" i="1"/>
  <c r="L107" i="1"/>
  <c r="E32" i="1"/>
  <c r="L32" i="1"/>
  <c r="L164" i="1"/>
  <c r="L165" i="1"/>
  <c r="L167" i="1"/>
  <c r="E60" i="1"/>
  <c r="E59" i="1"/>
  <c r="C18" i="2"/>
  <c r="C8" i="2" s="1"/>
  <c r="C16" i="2"/>
  <c r="C6" i="2" s="1"/>
  <c r="L106" i="1"/>
  <c r="L137" i="1"/>
  <c r="C17" i="2"/>
  <c r="C7" i="2" s="1"/>
  <c r="B6" i="3"/>
  <c r="C19" i="2"/>
  <c r="C9" i="2" s="1"/>
  <c r="B2" i="3"/>
  <c r="C20" i="2"/>
  <c r="C10" i="2" s="1"/>
  <c r="B7" i="3"/>
  <c r="B8" i="3"/>
  <c r="C4" i="2"/>
  <c r="E97" i="1"/>
  <c r="B9" i="3"/>
  <c r="L83" i="1"/>
  <c r="L97" i="1"/>
  <c r="L59" i="1"/>
  <c r="L187" i="1"/>
  <c r="L188" i="1"/>
  <c r="L191" i="1"/>
  <c r="L192" i="1"/>
  <c r="L195" i="1"/>
  <c r="L196" i="1"/>
  <c r="L197" i="1"/>
  <c r="L125" i="1"/>
  <c r="L126" i="1"/>
  <c r="E80" i="1"/>
  <c r="E83" i="1"/>
  <c r="E165" i="1"/>
  <c r="E167" i="1"/>
  <c r="L90" i="1"/>
  <c r="L98" i="1"/>
  <c r="L80" i="1"/>
  <c r="E145" i="1"/>
  <c r="L109" i="1"/>
  <c r="L122" i="1"/>
  <c r="L186" i="1"/>
  <c r="E86" i="1"/>
  <c r="L86" i="1"/>
  <c r="L57" i="1"/>
  <c r="L37" i="1"/>
  <c r="L217" i="1"/>
  <c r="L218" i="1"/>
  <c r="E50" i="1"/>
  <c r="L49" i="1"/>
  <c r="L53" i="1"/>
  <c r="L50" i="1"/>
  <c r="L55" i="1"/>
  <c r="L103" i="1"/>
  <c r="L120" i="1"/>
  <c r="L168" i="1"/>
  <c r="L91" i="1"/>
  <c r="L67" i="1"/>
  <c r="L108" i="1"/>
  <c r="L26" i="1"/>
  <c r="T198" i="1"/>
  <c r="L96" i="1"/>
  <c r="E88" i="1"/>
  <c r="E96" i="1"/>
  <c r="T219" i="1"/>
  <c r="L88" i="1"/>
  <c r="T61" i="1"/>
  <c r="T178" i="1"/>
  <c r="R178" i="1"/>
  <c r="T99" i="1"/>
  <c r="T172" i="1"/>
  <c r="T23" i="1"/>
  <c r="R141" i="1"/>
  <c r="R219" i="1"/>
  <c r="T133" i="1"/>
  <c r="O199" i="1"/>
  <c r="O220" i="1" s="1"/>
  <c r="R172" i="1"/>
  <c r="R133" i="1"/>
  <c r="R99" i="1"/>
  <c r="L66" i="1"/>
  <c r="L68" i="1"/>
  <c r="L71" i="1"/>
  <c r="L73" i="1"/>
  <c r="L75" i="1"/>
  <c r="L77" i="1"/>
  <c r="L79" i="1"/>
  <c r="L82" i="1"/>
  <c r="L85" i="1"/>
  <c r="L89" i="1"/>
  <c r="L93" i="1"/>
  <c r="L65" i="1"/>
  <c r="L69" i="1"/>
  <c r="L72" i="1"/>
  <c r="L74" i="1"/>
  <c r="L76" i="1"/>
  <c r="L84" i="1"/>
  <c r="L87" i="1"/>
  <c r="L92" i="1"/>
  <c r="L94" i="1"/>
  <c r="E28" i="1"/>
  <c r="E30" i="1"/>
  <c r="E33" i="1"/>
  <c r="E35" i="1"/>
  <c r="E37" i="1"/>
  <c r="E39" i="1"/>
  <c r="E41" i="1"/>
  <c r="E43" i="1"/>
  <c r="E45" i="1"/>
  <c r="E49" i="1"/>
  <c r="E55" i="1"/>
  <c r="E57" i="1"/>
  <c r="E27" i="1"/>
  <c r="E29" i="1"/>
  <c r="E31" i="1"/>
  <c r="E34" i="1"/>
  <c r="E36" i="1"/>
  <c r="E38" i="1"/>
  <c r="E40" i="1"/>
  <c r="E42" i="1"/>
  <c r="E44" i="1"/>
  <c r="E46" i="1"/>
  <c r="E53" i="1"/>
  <c r="E56" i="1"/>
  <c r="E58" i="1"/>
  <c r="E26" i="1"/>
  <c r="R198" i="1"/>
  <c r="H199" i="1"/>
  <c r="H220" i="1" s="1"/>
  <c r="J10" i="4"/>
  <c r="I12" i="4"/>
  <c r="H12" i="4"/>
  <c r="G12" i="4"/>
  <c r="F12" i="4"/>
  <c r="E12" i="4"/>
  <c r="C12" i="4"/>
  <c r="E215" i="1"/>
  <c r="L216" i="1"/>
  <c r="L215" i="1"/>
  <c r="L213" i="1"/>
  <c r="L212" i="1"/>
  <c r="L209" i="1"/>
  <c r="L208" i="1"/>
  <c r="L207" i="1"/>
  <c r="L202" i="1"/>
  <c r="E202" i="1"/>
  <c r="L183" i="1"/>
  <c r="L175" i="1"/>
  <c r="E177" i="1"/>
  <c r="E171" i="1"/>
  <c r="E168" i="1"/>
  <c r="L158" i="1"/>
  <c r="L156" i="1"/>
  <c r="L153" i="1"/>
  <c r="L150" i="1"/>
  <c r="L148" i="1"/>
  <c r="L144" i="1"/>
  <c r="L139" i="1"/>
  <c r="E140" i="1"/>
  <c r="L140" i="1"/>
  <c r="E95" i="1"/>
  <c r="E94" i="1"/>
  <c r="E92" i="1"/>
  <c r="E90" i="1"/>
  <c r="E87" i="1"/>
  <c r="E84" i="1"/>
  <c r="E81" i="1"/>
  <c r="E78" i="1"/>
  <c r="E76" i="1"/>
  <c r="E74" i="1"/>
  <c r="E72" i="1"/>
  <c r="E69" i="1"/>
  <c r="E67" i="1"/>
  <c r="E65" i="1"/>
  <c r="L56" i="1"/>
  <c r="R61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6" i="1"/>
  <c r="L146" i="1"/>
  <c r="L149" i="1"/>
  <c r="L152" i="1"/>
  <c r="L157" i="1"/>
  <c r="L162" i="1"/>
  <c r="E19" i="1"/>
  <c r="L64" i="1"/>
  <c r="E68" i="1"/>
  <c r="E136" i="1"/>
  <c r="E144" i="1"/>
  <c r="E146" i="1"/>
  <c r="E147" i="1"/>
  <c r="E152" i="1"/>
  <c r="E153" i="1"/>
  <c r="E154" i="1"/>
  <c r="E155" i="1"/>
  <c r="E161" i="1"/>
  <c r="E164" i="1"/>
  <c r="E170" i="1"/>
  <c r="E12" i="1"/>
  <c r="E14" i="1"/>
  <c r="E17" i="1"/>
  <c r="E21" i="1"/>
  <c r="L30" i="1"/>
  <c r="L39" i="1"/>
  <c r="L45" i="1"/>
  <c r="K199" i="1"/>
  <c r="L138" i="1"/>
  <c r="E148" i="1"/>
  <c r="E149" i="1"/>
  <c r="E150" i="1"/>
  <c r="E151" i="1"/>
  <c r="E156" i="1"/>
  <c r="E157" i="1"/>
  <c r="E158" i="1"/>
  <c r="E160" i="1"/>
  <c r="E162" i="1"/>
  <c r="E163" i="1"/>
  <c r="E169" i="1"/>
  <c r="L182" i="1"/>
  <c r="L113" i="1"/>
  <c r="L112" i="1"/>
  <c r="L35" i="1"/>
  <c r="L46" i="1"/>
  <c r="E139" i="1"/>
  <c r="L170" i="1"/>
  <c r="L177" i="1"/>
  <c r="E210" i="1"/>
  <c r="E214" i="1"/>
  <c r="E218" i="1"/>
  <c r="D12" i="4"/>
  <c r="E105" i="1"/>
  <c r="L41" i="1"/>
  <c r="L31" i="1"/>
  <c r="L43" i="1"/>
  <c r="L147" i="1"/>
  <c r="L151" i="1"/>
  <c r="L155" i="1"/>
  <c r="E176" i="1"/>
  <c r="E186" i="1"/>
  <c r="E203" i="1"/>
  <c r="L210" i="1"/>
  <c r="L214" i="1"/>
  <c r="L29" i="1"/>
  <c r="E7" i="1"/>
  <c r="E18" i="1"/>
  <c r="E22" i="1"/>
  <c r="L28" i="1"/>
  <c r="L48" i="1"/>
  <c r="E64" i="1"/>
  <c r="E73" i="1"/>
  <c r="E77" i="1"/>
  <c r="E82" i="1"/>
  <c r="E89" i="1"/>
  <c r="E93" i="1"/>
  <c r="E98" i="1"/>
  <c r="E138" i="1"/>
  <c r="L163" i="1"/>
  <c r="L169" i="1"/>
  <c r="L176" i="1"/>
  <c r="L203" i="1"/>
  <c r="R204" i="1"/>
  <c r="E209" i="1"/>
  <c r="E213" i="1"/>
  <c r="E217" i="1"/>
  <c r="E175" i="1"/>
  <c r="E183" i="1"/>
  <c r="E208" i="1"/>
  <c r="E212" i="1"/>
  <c r="E216" i="1"/>
  <c r="L47" i="1"/>
  <c r="L60" i="1"/>
  <c r="L27" i="1"/>
  <c r="L36" i="1"/>
  <c r="E182" i="1"/>
  <c r="E13" i="1"/>
  <c r="E16" i="1"/>
  <c r="L33" i="1"/>
  <c r="L44" i="1"/>
  <c r="E66" i="1"/>
  <c r="E71" i="1"/>
  <c r="E75" i="1"/>
  <c r="E79" i="1"/>
  <c r="E85" i="1"/>
  <c r="E91" i="1"/>
  <c r="L171" i="1"/>
  <c r="E207" i="1"/>
  <c r="E211" i="1"/>
  <c r="L123" i="1" l="1"/>
  <c r="L105" i="1"/>
  <c r="L110" i="1"/>
  <c r="L117" i="1"/>
  <c r="L128" i="1"/>
  <c r="L111" i="1"/>
  <c r="K220" i="1"/>
  <c r="L23" i="1"/>
  <c r="L172" i="1"/>
  <c r="L61" i="1"/>
  <c r="L141" i="1"/>
  <c r="L99" i="1"/>
  <c r="L133" i="1"/>
  <c r="L198" i="1"/>
  <c r="L178" i="1"/>
  <c r="L116" i="1"/>
  <c r="L114" i="1"/>
  <c r="L132" i="1"/>
  <c r="L127" i="1"/>
  <c r="L129" i="1"/>
  <c r="L130" i="1"/>
  <c r="L121" i="1"/>
  <c r="E130" i="1"/>
  <c r="E127" i="1"/>
  <c r="E114" i="1"/>
  <c r="E111" i="1"/>
  <c r="E117" i="1"/>
  <c r="E112" i="1"/>
  <c r="E122" i="1"/>
  <c r="E113" i="1"/>
  <c r="D199" i="1"/>
  <c r="E132" i="1"/>
  <c r="E103" i="1"/>
  <c r="E116" i="1"/>
  <c r="E110" i="1"/>
  <c r="E129" i="1"/>
  <c r="E128" i="1"/>
  <c r="E123" i="1"/>
  <c r="E120" i="1"/>
  <c r="E133" i="1" l="1"/>
  <c r="R199" i="1"/>
  <c r="E61" i="1"/>
  <c r="E172" i="1"/>
  <c r="D220" i="1"/>
  <c r="E99" i="1"/>
  <c r="E23" i="1"/>
  <c r="E198" i="1"/>
  <c r="E141" i="1"/>
  <c r="E178" i="1"/>
</calcChain>
</file>

<file path=xl/sharedStrings.xml><?xml version="1.0" encoding="utf-8"?>
<sst xmlns="http://schemas.openxmlformats.org/spreadsheetml/2006/main" count="460" uniqueCount="290">
  <si>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</si>
  <si>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</si>
  <si>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</si>
  <si>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</si>
  <si>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</si>
  <si>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</si>
  <si>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</si>
  <si>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</si>
  <si>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</si>
  <si>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</si>
  <si>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</si>
  <si>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</si>
  <si>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</si>
  <si>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</si>
  <si>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</si>
  <si>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</si>
  <si>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</si>
  <si>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</si>
  <si>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</si>
  <si>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</si>
  <si>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</si>
  <si>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</si>
  <si>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</si>
  <si>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</si>
  <si>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</si>
  <si>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</si>
  <si>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</si>
  <si>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</si>
  <si>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</si>
  <si>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</si>
  <si>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</si>
  <si>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</si>
  <si>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</si>
  <si>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</si>
  <si>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</si>
  <si>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</si>
  <si>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</si>
  <si>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</si>
  <si>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</si>
  <si>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</si>
  <si>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</si>
  <si>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</si>
  <si>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</si>
  <si>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</si>
  <si>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</si>
  <si>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</si>
  <si>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</si>
  <si>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</si>
  <si>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</si>
  <si>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</si>
  <si>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</si>
  <si>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</si>
  <si>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</si>
  <si>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</si>
  <si>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</si>
  <si>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</si>
  <si>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</si>
  <si>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</si>
  <si>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</si>
  <si>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</si>
  <si>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</si>
  <si>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</si>
  <si>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</si>
  <si>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</si>
  <si>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</si>
  <si>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</si>
  <si>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</si>
  <si>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</si>
  <si>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</si>
  <si>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</si>
  <si>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</si>
  <si>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</si>
  <si>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</si>
  <si>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</si>
  <si>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</si>
  <si>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</si>
  <si>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</si>
  <si>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</si>
  <si>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</si>
  <si>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</si>
  <si>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</si>
  <si>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</si>
  <si>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</si>
  <si>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</si>
  <si>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</si>
  <si>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</si>
  <si>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</si>
  <si>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</si>
  <si>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</si>
  <si>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</si>
  <si>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</si>
  <si>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</si>
  <si>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</si>
  <si>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</si>
  <si>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</si>
  <si>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</si>
  <si>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</si>
  <si>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</si>
  <si>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</si>
  <si>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</si>
  <si>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</si>
  <si>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</si>
  <si>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</si>
  <si>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</si>
  <si>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</si>
  <si>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</si>
  <si>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</si>
  <si>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</si>
  <si>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</si>
  <si>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</si>
  <si>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</si>
  <si>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</si>
  <si>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</si>
  <si>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</si>
  <si>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</si>
  <si>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</si>
  <si>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</si>
  <si>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</si>
  <si>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</si>
  <si>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</si>
  <si>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</si>
  <si>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</si>
  <si>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</si>
  <si>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</si>
  <si>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</si>
  <si>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</si>
  <si>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</si>
  <si>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</si>
  <si>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</si>
  <si>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</si>
  <si>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</si>
  <si>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</si>
  <si>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</si>
  <si>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</si>
  <si>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</si>
  <si>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</si>
  <si>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</si>
  <si>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</si>
  <si>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</si>
  <si>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</si>
  <si>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</si>
  <si>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</si>
  <si>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</si>
  <si>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</si>
  <si>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</si>
  <si>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</si>
  <si>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</si>
  <si>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</si>
  <si>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</si>
  <si>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</si>
  <si>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</si>
  <si>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</si>
  <si>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</si>
  <si>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</si>
  <si>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</si>
  <si>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</si>
  <si>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</si>
  <si>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</si>
  <si>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</si>
  <si>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</si>
  <si>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</si>
  <si>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</si>
  <si>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</si>
  <si>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</si>
  <si>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</si>
  <si>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</si>
  <si>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</si>
  <si>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</si>
  <si>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</si>
  <si>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</si>
  <si>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</si>
  <si>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</si>
  <si>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</si>
  <si>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</si>
  <si>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</si>
  <si>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</si>
  <si>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</si>
  <si>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</si>
  <si>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</si>
  <si>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</si>
  <si>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</si>
  <si>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</si>
  <si>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</si>
  <si>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</si>
  <si>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</si>
  <si>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</si>
  <si>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</si>
  <si>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</si>
  <si>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</si>
  <si>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</si>
  <si>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</si>
  <si>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</si>
  <si>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</si>
  <si>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</si>
  <si>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</si>
  <si>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</si>
  <si>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</si>
  <si>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</si>
  <si>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</si>
  <si>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</si>
  <si>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</si>
  <si>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</si>
  <si>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</si>
  <si>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</si>
  <si>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</si>
  <si>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</si>
  <si>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</si>
  <si>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</si>
  <si>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</si>
  <si>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</si>
  <si>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</si>
  <si>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</si>
  <si>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</si>
  <si>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</si>
  <si>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</si>
  <si>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</si>
  <si>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</si>
  <si>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</si>
  <si>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</si>
  <si>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</si>
  <si>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</si>
  <si>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</si>
  <si>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</si>
  <si>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</si>
  <si>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</si>
  <si>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</si>
  <si>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</si>
  <si>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</si>
  <si>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</si>
  <si>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</si>
  <si>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</si>
  <si>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</si>
  <si>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</si>
  <si>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</si>
  <si>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</si>
  <si>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</si>
  <si>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</si>
  <si>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</si>
  <si>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</si>
  <si>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</si>
  <si>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</si>
  <si>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</si>
  <si>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</si>
  <si>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</si>
  <si>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</si>
  <si>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</si>
  <si>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</si>
  <si>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</si>
  <si>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</si>
  <si>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</si>
  <si>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</si>
  <si>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</si>
  <si>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</si>
  <si>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</si>
  <si>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</si>
  <si>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</si>
  <si>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</si>
  <si>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</si>
  <si>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</si>
  <si>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</si>
  <si>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</si>
  <si>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</si>
  <si>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</si>
  <si>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</si>
  <si>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</si>
  <si>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</si>
  <si>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</si>
  <si>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</si>
  <si>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</si>
  <si>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</si>
  <si>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</si>
  <si>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</si>
  <si>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</si>
  <si>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</si>
  <si>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</si>
  <si>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</si>
  <si>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</si>
  <si>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Nigerian Eurobond Fund</t>
  </si>
  <si>
    <t>RMB Nigeria Asset Management Ltd.</t>
  </si>
  <si>
    <t>RMBN Money Market Fund</t>
  </si>
  <si>
    <t>RMBN Dollar Fixed Income Fund</t>
  </si>
  <si>
    <t>Week Ended August 2, 2024</t>
  </si>
  <si>
    <t>NAV, Unit Price and Yield as at Week Ended August 9,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</si>
  <si>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9th August, 2024 = N1,568.657</t>
    </r>
  </si>
  <si>
    <t>  22.76%</t>
  </si>
  <si>
    <t>Emerging Africa Halal Fund</t>
  </si>
  <si>
    <t>Week Ended August 9, 2024</t>
  </si>
  <si>
    <t>The chart above shows that the Dollar Fund category (Eurobonds and Fixed Income) has the highest share of the Aggregate Net Asset Value (NAV) at 48.53%, followed by Money Market Fund with 37.56%, Bond/Fixed Income Fund at 6.79%, Real Estate Investment Trust at 3.03%.  Next is Balanced Fund at 1.53%, Shari'ah Compliant Fund at 1.55%, Equity Fund at 0.85% and Ethical Fund at 0.16%.</t>
  </si>
  <si>
    <t>NAV, Unit Price and Yield as at Week Ended August 2, 2024</t>
  </si>
  <si>
    <t>WEEKLY VALUATION REPORT OF COLLECTIVE INVESTMENT SCHEMES AS AT WEEK ENDED FRIDAY, AUGUST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</si>
</sst>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b/>
      <sz val="11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2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0" fontId="0" fillId="0" borderId="0" xfId="0" applyFont="1"/>
    <xf numFmtId="4" fontId="11" fillId="3" borderId="0" xfId="0" applyNumberFormat="1" applyFont="1" applyFill="1"/>
    <xf numFmtId="164" fontId="11" fillId="3" borderId="0" xfId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0" fontId="49" fillId="0" borderId="0" xfId="0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50" fillId="0" borderId="5" xfId="0" applyFont="1" applyBorder="1" applyAlignment="1">
      <alignment horizontal="right"/>
    </xf>
    <xf numFmtId="16" fontId="51" fillId="3" borderId="5" xfId="0" applyNumberFormat="1" applyFont="1" applyFill="1" applyBorder="1" applyAlignment="1">
      <alignment horizontal="center" wrapText="1"/>
    </xf>
    <xf numFmtId="0" fontId="51" fillId="0" borderId="5" xfId="0" applyFont="1" applyBorder="1" applyAlignment="1">
      <alignment horizontal="right" wrapText="1"/>
    </xf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0" fontId="51" fillId="0" borderId="0" xfId="0" applyFont="1" applyAlignment="1">
      <alignment horizontal="right"/>
    </xf>
    <xf numFmtId="4" fontId="52" fillId="3" borderId="0" xfId="0" applyNumberFormat="1" applyFont="1" applyFill="1"/>
    <xf numFmtId="0" fontId="53" fillId="0" borderId="5" xfId="0" applyFont="1" applyBorder="1" applyAlignment="1">
      <alignment horizontal="right" wrapText="1"/>
    </xf>
    <xf numFmtId="164" fontId="54" fillId="0" borderId="5" xfId="1" applyFont="1" applyBorder="1"/>
    <xf numFmtId="4" fontId="54" fillId="3" borderId="5" xfId="0" applyNumberFormat="1" applyFont="1" applyFill="1" applyBorder="1"/>
    <xf numFmtId="0" fontId="53" fillId="0" borderId="5" xfId="0" applyFont="1" applyBorder="1" applyAlignment="1">
      <alignment horizontal="right"/>
    </xf>
    <xf numFmtId="4" fontId="54" fillId="3" borderId="5" xfId="0" applyNumberFormat="1" applyFont="1" applyFill="1" applyBorder="1" applyAlignment="1">
      <alignment horizontal="right"/>
    </xf>
    <xf numFmtId="164" fontId="54" fillId="3" borderId="5" xfId="1" applyFont="1" applyFill="1" applyBorder="1" applyAlignment="1">
      <alignment horizontal="right" vertical="top" wrapText="1"/>
    </xf>
    <xf numFmtId="16" fontId="51" fillId="3" borderId="5" xfId="0" applyNumberFormat="1" applyFont="1" applyFill="1" applyBorder="1"/>
    <xf numFmtId="0" fontId="39" fillId="0" borderId="0" xfId="0" applyFont="1"/>
    <xf numFmtId="16" fontId="55" fillId="3" borderId="0" xfId="0" applyNumberFormat="1" applyFont="1" applyFill="1"/>
    <xf numFmtId="164" fontId="56" fillId="0" borderId="0" xfId="1" applyFont="1"/>
    <xf numFmtId="43" fontId="56" fillId="0" borderId="0" xfId="0" applyNumberFormat="1" applyFont="1"/>
    <xf numFmtId="4" fontId="56" fillId="0" borderId="0" xfId="0" applyNumberFormat="1" applyFont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49" fontId="6" fillId="0" borderId="5" xfId="0" applyNumberFormat="1" applyFont="1" applyBorder="1" applyAlignment="1">
      <alignment wrapText="1"/>
    </xf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August 2,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27.041982230700103</c:v>
                </c:pt>
                <c:pt idx="1">
                  <c:v>1197.5843570663212</c:v>
                </c:pt>
                <c:pt idx="2">
                  <c:v>222.26541361099601</c:v>
                </c:pt>
                <c:pt idx="3">
                  <c:v>1602.2679201256169</c:v>
                </c:pt>
                <c:pt idx="4">
                  <c:v>98.122255921538311</c:v>
                </c:pt>
                <c:pt idx="5" formatCode="_-* #,##0.00_-;\-* #,##0.00_-;_-* &quot;-&quot;??_-;_-@_-">
                  <c:v>48.930496510281785</c:v>
                </c:pt>
                <c:pt idx="6">
                  <c:v>5.2307290869300003</c:v>
                </c:pt>
                <c:pt idx="7">
                  <c:v>49.967671576897985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August 9,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27.433680041348602</c:v>
                </c:pt>
                <c:pt idx="1">
                  <c:v>1218.5725122763979</c:v>
                </c:pt>
                <c:pt idx="2">
                  <c:v>220.34261296504528</c:v>
                </c:pt>
                <c:pt idx="3">
                  <c:v>1574.7218506689399</c:v>
                </c:pt>
                <c:pt idx="4">
                  <c:v>98.421099303410855</c:v>
                </c:pt>
                <c:pt idx="5" formatCode="_-* #,##0.00_-;\-* #,##0.00_-;_-* &quot;-&quot;??_-;_-@_-">
                  <c:v>49.553288389127481</c:v>
                </c:pt>
                <c:pt idx="6">
                  <c:v>5.34319403726</c:v>
                </c:pt>
                <c:pt idx="7">
                  <c:v>50.303154426365843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9TH AUGUST,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9-Aug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5343194037.2600002</c:v>
                </c:pt>
                <c:pt idx="1">
                  <c:v>27433680041.348602</c:v>
                </c:pt>
                <c:pt idx="2" formatCode="_-* #,##0.00_-;\-* #,##0.00_-;_-* &quot;-&quot;??_-;_-@_-">
                  <c:v>49553288389.12748</c:v>
                </c:pt>
                <c:pt idx="3">
                  <c:v>50303154426.365845</c:v>
                </c:pt>
                <c:pt idx="4">
                  <c:v>98421099303.410858</c:v>
                </c:pt>
                <c:pt idx="5">
                  <c:v>220342612965.04529</c:v>
                </c:pt>
                <c:pt idx="6">
                  <c:v>1218572512276.3979</c:v>
                </c:pt>
                <c:pt idx="7">
                  <c:v>1574721850668.9399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45464</c:v>
                </c:pt>
                <c:pt idx="1">
                  <c:v>45471</c:v>
                </c:pt>
                <c:pt idx="2">
                  <c:v>45478</c:v>
                </c:pt>
                <c:pt idx="3">
                  <c:v>45485</c:v>
                </c:pt>
                <c:pt idx="4">
                  <c:v>45492</c:v>
                </c:pt>
                <c:pt idx="5">
                  <c:v>45499</c:v>
                </c:pt>
                <c:pt idx="6">
                  <c:v>45506</c:v>
                </c:pt>
                <c:pt idx="7">
                  <c:v>45513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2935.8430719008147</c:v>
                </c:pt>
                <c:pt idx="1">
                  <c:v>2970.9827489413674</c:v>
                </c:pt>
                <c:pt idx="2">
                  <c:v>3047.0187418823903</c:v>
                </c:pt>
                <c:pt idx="3">
                  <c:v>3097.1617711497356</c:v>
                </c:pt>
                <c:pt idx="4">
                  <c:v>3161.8406486109188</c:v>
                </c:pt>
                <c:pt idx="5">
                  <c:v>3212.3863205334346</c:v>
                </c:pt>
                <c:pt idx="6">
                  <c:v>3251.4108261292827</c:v>
                </c:pt>
                <c:pt idx="7">
                  <c:v>3244.6913921078954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45464</c:v>
                </c:pt>
                <c:pt idx="1">
                  <c:v>45471</c:v>
                </c:pt>
                <c:pt idx="2">
                  <c:v>45478</c:v>
                </c:pt>
                <c:pt idx="3">
                  <c:v>45485</c:v>
                </c:pt>
                <c:pt idx="4">
                  <c:v>45492</c:v>
                </c:pt>
                <c:pt idx="5">
                  <c:v>45499</c:v>
                </c:pt>
                <c:pt idx="6">
                  <c:v>45506</c:v>
                </c:pt>
                <c:pt idx="7">
                  <c:v>45513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13.253375082678389</c:v>
                </c:pt>
                <c:pt idx="1">
                  <c:v>12.263967010065977</c:v>
                </c:pt>
                <c:pt idx="2">
                  <c:v>12.187736015745237</c:v>
                </c:pt>
                <c:pt idx="3">
                  <c:v>12.34693280092509</c:v>
                </c:pt>
                <c:pt idx="4">
                  <c:v>12.398936333326033</c:v>
                </c:pt>
                <c:pt idx="5">
                  <c:v>12.157713481032657</c:v>
                </c:pt>
                <c:pt idx="6">
                  <c:v>12.159294190102655</c:v>
                </c:pt>
                <c:pt idx="7">
                  <c:v>12.203531382445654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567690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27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67" t="s">
        <v>289</v>
      </c>
      <c r="B1" s="168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70"/>
    </row>
    <row r="2" spans="1:25" ht="15" customHeight="1">
      <c r="A2" s="1"/>
      <c r="B2" s="1"/>
      <c r="C2" s="1"/>
      <c r="D2" s="174" t="s">
        <v>288</v>
      </c>
      <c r="E2" s="175"/>
      <c r="F2" s="175"/>
      <c r="G2" s="175"/>
      <c r="H2" s="175"/>
      <c r="I2" s="175"/>
      <c r="J2" s="176"/>
      <c r="K2" s="174" t="s">
        <v>282</v>
      </c>
      <c r="L2" s="175"/>
      <c r="M2" s="175"/>
      <c r="N2" s="175"/>
      <c r="O2" s="175"/>
      <c r="P2" s="175"/>
      <c r="Q2" s="176"/>
      <c r="R2" s="174" t="s">
        <v>0</v>
      </c>
      <c r="S2" s="175"/>
      <c r="T2" s="176"/>
      <c r="U2" s="171" t="s">
        <v>1</v>
      </c>
      <c r="V2" s="171"/>
    </row>
    <row r="3" spans="1:25" ht="25.5">
      <c r="A3" s="79" t="s">
        <v>2</v>
      </c>
      <c r="B3" s="79" t="s">
        <v>3</v>
      </c>
      <c r="C3" s="73" t="s">
        <v>4</v>
      </c>
      <c r="D3" s="74" t="s">
        <v>5</v>
      </c>
      <c r="E3" s="75" t="s">
        <v>6</v>
      </c>
      <c r="F3" s="75" t="s">
        <v>7</v>
      </c>
      <c r="G3" s="75" t="s">
        <v>8</v>
      </c>
      <c r="H3" s="75" t="s">
        <v>227</v>
      </c>
      <c r="I3" s="75" t="s">
        <v>9</v>
      </c>
      <c r="J3" s="75" t="s">
        <v>10</v>
      </c>
      <c r="K3" s="76" t="s">
        <v>5</v>
      </c>
      <c r="L3" s="75" t="s">
        <v>6</v>
      </c>
      <c r="M3" s="75" t="s">
        <v>7</v>
      </c>
      <c r="N3" s="75" t="s">
        <v>8</v>
      </c>
      <c r="O3" s="75" t="s">
        <v>227</v>
      </c>
      <c r="P3" s="75" t="s">
        <v>9</v>
      </c>
      <c r="Q3" s="75" t="s">
        <v>10</v>
      </c>
      <c r="R3" s="74" t="s">
        <v>11</v>
      </c>
      <c r="S3" s="75" t="s">
        <v>12</v>
      </c>
      <c r="T3" s="75" t="s">
        <v>233</v>
      </c>
      <c r="U3" s="75" t="s">
        <v>13</v>
      </c>
      <c r="V3" s="75" t="s">
        <v>14</v>
      </c>
    </row>
    <row r="4" spans="1:25" ht="7.5" customHeigh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spans="1:25" ht="15" customHeight="1">
      <c r="A5" s="173" t="s">
        <v>15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</row>
    <row r="6" spans="1:25">
      <c r="A6" s="165">
        <v>1</v>
      </c>
      <c r="B6" s="137" t="s">
        <v>16</v>
      </c>
      <c r="C6" s="138" t="s">
        <v>17</v>
      </c>
      <c r="D6" s="2">
        <v>1104912572.8199999</v>
      </c>
      <c r="E6" s="3">
        <f t="shared" ref="E6:E22" si="0">(D6/$D$23)</f>
        <v>4.0859156085296867E-2</v>
      </c>
      <c r="F6" s="8">
        <v>342.41860000000003</v>
      </c>
      <c r="G6" s="8">
        <v>342.41860000000003</v>
      </c>
      <c r="H6" s="58">
        <v>1741</v>
      </c>
      <c r="I6" s="5">
        <v>3.0700000000000002E-2</v>
      </c>
      <c r="J6" s="5">
        <v>0.1409</v>
      </c>
      <c r="K6" s="2">
        <v>1096922846.4300001</v>
      </c>
      <c r="L6" s="3">
        <f>(K6/$K$23)</f>
        <v>3.9984531596807121E-2</v>
      </c>
      <c r="M6" s="8">
        <v>339.29349999999999</v>
      </c>
      <c r="N6" s="8">
        <v>339.29349999999999</v>
      </c>
      <c r="O6" s="58">
        <v>1743</v>
      </c>
      <c r="P6" s="5">
        <v>-9.1000000000000004E-3</v>
      </c>
      <c r="Q6" s="5">
        <v>0.1308</v>
      </c>
      <c r="R6" s="77">
        <f>((K6-D6)/D6)</f>
        <v>-7.2310937412977229E-3</v>
      </c>
      <c r="S6" s="77">
        <f>((N6-G6)/G6)</f>
        <v>-9.1265486162259626E-3</v>
      </c>
      <c r="T6" s="77">
        <f>((O6-H6)/H6)</f>
        <v>1.1487650775416428E-3</v>
      </c>
      <c r="U6" s="78">
        <f>P6-I6</f>
        <v>-3.9800000000000002E-2</v>
      </c>
      <c r="V6" s="80">
        <f>Q6-J6</f>
        <v>-1.0099999999999998E-2</v>
      </c>
    </row>
    <row r="7" spans="1:25">
      <c r="A7" s="165">
        <v>2</v>
      </c>
      <c r="B7" s="137" t="s">
        <v>18</v>
      </c>
      <c r="C7" s="138" t="s">
        <v>19</v>
      </c>
      <c r="D7" s="4">
        <v>591838484.94000006</v>
      </c>
      <c r="E7" s="3">
        <f t="shared" si="0"/>
        <v>2.1885913535883483E-2</v>
      </c>
      <c r="F7" s="4">
        <v>218.71279999999999</v>
      </c>
      <c r="G7" s="4">
        <v>221.0248</v>
      </c>
      <c r="H7" s="58">
        <v>438</v>
      </c>
      <c r="I7" s="5">
        <v>4.5040000000000002E-3</v>
      </c>
      <c r="J7" s="5">
        <v>0.13059999999999999</v>
      </c>
      <c r="K7" s="4">
        <v>600744943.87</v>
      </c>
      <c r="L7" s="3">
        <f t="shared" ref="L7:L22" si="1">(K7/$K$23)</f>
        <v>2.1898080861355276E-2</v>
      </c>
      <c r="M7" s="4">
        <v>221.99719999999999</v>
      </c>
      <c r="N7" s="4">
        <v>224.35120000000001</v>
      </c>
      <c r="O7" s="58">
        <v>443</v>
      </c>
      <c r="P7" s="5">
        <v>6.7549999999999997E-3</v>
      </c>
      <c r="Q7" s="5">
        <v>0.14749999999999999</v>
      </c>
      <c r="R7" s="77">
        <f t="shared" ref="R7:R23" si="2">((K7-D7)/D7)</f>
        <v>1.5048799894962685E-2</v>
      </c>
      <c r="S7" s="77">
        <f t="shared" ref="S7:S23" si="3">((N7-G7)/G7)</f>
        <v>1.5049894853428242E-2</v>
      </c>
      <c r="T7" s="77">
        <f t="shared" ref="T7:T23" si="4">((O7-H7)/H7)</f>
        <v>1.1415525114155251E-2</v>
      </c>
      <c r="U7" s="78">
        <f t="shared" ref="U7:U23" si="5">P7-I7</f>
        <v>2.2509999999999995E-3</v>
      </c>
      <c r="V7" s="80">
        <f t="shared" ref="V7:V23" si="6">Q7-J7</f>
        <v>1.6899999999999998E-2</v>
      </c>
    </row>
    <row r="8" spans="1:25">
      <c r="A8" s="165">
        <v>3</v>
      </c>
      <c r="B8" s="137" t="s">
        <v>20</v>
      </c>
      <c r="C8" s="138" t="s">
        <v>21</v>
      </c>
      <c r="D8" s="4">
        <v>3787178080.21</v>
      </c>
      <c r="E8" s="3">
        <f t="shared" si="0"/>
        <v>0.14004809440006616</v>
      </c>
      <c r="F8" s="4">
        <v>34.953499999999998</v>
      </c>
      <c r="G8" s="4">
        <v>36.007300000000001</v>
      </c>
      <c r="H8" s="60">
        <v>6572</v>
      </c>
      <c r="I8" s="6">
        <v>-0.26469999999999999</v>
      </c>
      <c r="J8" s="6">
        <v>0.24540000000000001</v>
      </c>
      <c r="K8" s="4">
        <v>3798018580.7399998</v>
      </c>
      <c r="L8" s="3">
        <f t="shared" si="1"/>
        <v>0.13844364208577006</v>
      </c>
      <c r="M8" s="4">
        <v>35.064300000000003</v>
      </c>
      <c r="N8" s="4">
        <v>36.121499999999997</v>
      </c>
      <c r="O8" s="60">
        <v>6579</v>
      </c>
      <c r="P8" s="6">
        <v>0.1658</v>
      </c>
      <c r="Q8" s="6">
        <v>0.2437</v>
      </c>
      <c r="R8" s="77">
        <f t="shared" si="2"/>
        <v>2.8624216502115538E-3</v>
      </c>
      <c r="S8" s="77">
        <f t="shared" si="3"/>
        <v>3.1715790964609051E-3</v>
      </c>
      <c r="T8" s="77">
        <f t="shared" si="4"/>
        <v>1.0651247717589774E-3</v>
      </c>
      <c r="U8" s="78">
        <f t="shared" si="5"/>
        <v>0.43049999999999999</v>
      </c>
      <c r="V8" s="80">
        <f t="shared" si="6"/>
        <v>-1.7000000000000071E-3</v>
      </c>
      <c r="X8" s="99"/>
      <c r="Y8" s="99"/>
    </row>
    <row r="9" spans="1:25">
      <c r="A9" s="165">
        <v>4</v>
      </c>
      <c r="B9" s="137" t="s">
        <v>22</v>
      </c>
      <c r="C9" s="138" t="s">
        <v>23</v>
      </c>
      <c r="D9" s="4">
        <v>570267340.80999994</v>
      </c>
      <c r="E9" s="3">
        <f t="shared" si="0"/>
        <v>2.1088222599399142E-2</v>
      </c>
      <c r="F9" s="4">
        <v>198.59139999999999</v>
      </c>
      <c r="G9" s="4">
        <v>198.59139999999999</v>
      </c>
      <c r="H9" s="58">
        <v>1810</v>
      </c>
      <c r="I9" s="5">
        <v>-2.86E-2</v>
      </c>
      <c r="J9" s="5">
        <v>0.1532</v>
      </c>
      <c r="K9" s="4">
        <v>569438703</v>
      </c>
      <c r="L9" s="3">
        <f t="shared" si="1"/>
        <v>2.0756920039226613E-2</v>
      </c>
      <c r="M9" s="4">
        <v>200.48060000000001</v>
      </c>
      <c r="N9" s="4">
        <v>200.48060000000001</v>
      </c>
      <c r="O9" s="58">
        <v>1793</v>
      </c>
      <c r="P9" s="5">
        <v>9.4999999999999998E-3</v>
      </c>
      <c r="Q9" s="5">
        <v>0.16239999999999999</v>
      </c>
      <c r="R9" s="77">
        <f t="shared" si="2"/>
        <v>-1.4530690269285928E-3</v>
      </c>
      <c r="S9" s="77">
        <f t="shared" si="3"/>
        <v>9.5130000594185679E-3</v>
      </c>
      <c r="T9" s="77">
        <f t="shared" si="4"/>
        <v>-9.3922651933701657E-3</v>
      </c>
      <c r="U9" s="78">
        <f t="shared" si="5"/>
        <v>3.8100000000000002E-2</v>
      </c>
      <c r="V9" s="80">
        <f t="shared" si="6"/>
        <v>9.199999999999986E-3</v>
      </c>
    </row>
    <row r="10" spans="1:25">
      <c r="A10" s="165">
        <v>5</v>
      </c>
      <c r="B10" s="137" t="s">
        <v>264</v>
      </c>
      <c r="C10" s="138" t="s">
        <v>99</v>
      </c>
      <c r="D10" s="4">
        <v>599741931.11000001</v>
      </c>
      <c r="E10" s="3">
        <f t="shared" si="0"/>
        <v>2.2178179321082743E-2</v>
      </c>
      <c r="F10" s="4">
        <v>0.89770000000000005</v>
      </c>
      <c r="G10" s="4">
        <v>0.90590000000000004</v>
      </c>
      <c r="H10" s="58">
        <v>521</v>
      </c>
      <c r="I10" s="5">
        <v>-1.0500000000000001E-2</v>
      </c>
      <c r="J10" s="5">
        <v>-7.7799999999999994E-2</v>
      </c>
      <c r="K10" s="4">
        <v>621274500.27999997</v>
      </c>
      <c r="L10" s="3">
        <f t="shared" si="1"/>
        <v>2.2646414893794868E-2</v>
      </c>
      <c r="M10" s="4">
        <v>0.93130000000000002</v>
      </c>
      <c r="N10" s="4">
        <v>0.93989999999999996</v>
      </c>
      <c r="O10" s="58">
        <v>519</v>
      </c>
      <c r="P10" s="5">
        <v>3.5900000000000001E-2</v>
      </c>
      <c r="Q10" s="5">
        <v>-4.3099999999999999E-2</v>
      </c>
      <c r="R10" s="77">
        <f>((K10-D10)/D10)</f>
        <v>3.5903057720422453E-2</v>
      </c>
      <c r="S10" s="77">
        <f>((N10-G10)/G10)</f>
        <v>3.7531736394745469E-2</v>
      </c>
      <c r="T10" s="77">
        <f>((O10-H10)/H10)</f>
        <v>-3.838771593090211E-3</v>
      </c>
      <c r="U10" s="78">
        <f>P10-I10</f>
        <v>4.6400000000000004E-2</v>
      </c>
      <c r="V10" s="80">
        <f>Q10-J10</f>
        <v>3.4699999999999995E-2</v>
      </c>
    </row>
    <row r="11" spans="1:25">
      <c r="A11" s="165">
        <v>6</v>
      </c>
      <c r="B11" s="137" t="s">
        <v>24</v>
      </c>
      <c r="C11" s="138" t="s">
        <v>25</v>
      </c>
      <c r="D11" s="7">
        <v>86701555.209999993</v>
      </c>
      <c r="E11" s="3">
        <f t="shared" si="0"/>
        <v>3.2061834251029806E-3</v>
      </c>
      <c r="F11" s="4">
        <v>155.4941</v>
      </c>
      <c r="G11" s="4">
        <v>156.071</v>
      </c>
      <c r="H11" s="60">
        <v>95</v>
      </c>
      <c r="I11" s="6">
        <v>4.6099999999999998E-4</v>
      </c>
      <c r="J11" s="6">
        <v>0.31869999999999998</v>
      </c>
      <c r="K11" s="7">
        <v>88101069.439999998</v>
      </c>
      <c r="L11" s="3">
        <f t="shared" si="1"/>
        <v>3.2114200248458198E-3</v>
      </c>
      <c r="M11" s="4">
        <v>158.02529999999999</v>
      </c>
      <c r="N11" s="4">
        <v>158.02529999999999</v>
      </c>
      <c r="O11" s="60">
        <v>95</v>
      </c>
      <c r="P11" s="6">
        <v>3.1310000000000001E-3</v>
      </c>
      <c r="Q11" s="6">
        <v>0.19350000000000001</v>
      </c>
      <c r="R11" s="77">
        <f t="shared" si="2"/>
        <v>1.6141743093422468E-2</v>
      </c>
      <c r="S11" s="77">
        <f t="shared" si="3"/>
        <v>1.2521865048599607E-2</v>
      </c>
      <c r="T11" s="77">
        <f t="shared" si="4"/>
        <v>0</v>
      </c>
      <c r="U11" s="78">
        <f t="shared" si="5"/>
        <v>2.6700000000000001E-3</v>
      </c>
      <c r="V11" s="80">
        <f t="shared" si="6"/>
        <v>-0.12519999999999998</v>
      </c>
    </row>
    <row r="12" spans="1:25">
      <c r="A12" s="165">
        <v>7</v>
      </c>
      <c r="B12" s="137" t="s">
        <v>26</v>
      </c>
      <c r="C12" s="138" t="s">
        <v>27</v>
      </c>
      <c r="D12" s="4">
        <v>1042522528.29</v>
      </c>
      <c r="E12" s="3">
        <f t="shared" si="0"/>
        <v>3.8552001084685629E-2</v>
      </c>
      <c r="F12" s="4">
        <v>290.94</v>
      </c>
      <c r="G12" s="4">
        <v>294.88</v>
      </c>
      <c r="H12" s="60">
        <v>1617</v>
      </c>
      <c r="I12" s="6">
        <v>-1.9E-2</v>
      </c>
      <c r="J12" s="6">
        <v>0.1699</v>
      </c>
      <c r="K12" s="4">
        <v>1078234829.9400001</v>
      </c>
      <c r="L12" s="3">
        <f t="shared" si="1"/>
        <v>3.9303324538117475E-2</v>
      </c>
      <c r="M12" s="4">
        <v>300.64999999999998</v>
      </c>
      <c r="N12" s="4">
        <v>304.75</v>
      </c>
      <c r="O12" s="60">
        <v>1619</v>
      </c>
      <c r="P12" s="6">
        <v>3.3399999999999999E-2</v>
      </c>
      <c r="Q12" s="6">
        <v>0.20899999999999999</v>
      </c>
      <c r="R12" s="77">
        <f t="shared" si="2"/>
        <v>3.425566419996437E-2</v>
      </c>
      <c r="S12" s="77">
        <f t="shared" si="3"/>
        <v>3.3471242539338052E-2</v>
      </c>
      <c r="T12" s="77">
        <f t="shared" si="4"/>
        <v>1.2368583797155227E-3</v>
      </c>
      <c r="U12" s="78">
        <f t="shared" si="5"/>
        <v>5.2400000000000002E-2</v>
      </c>
      <c r="V12" s="80">
        <f t="shared" si="6"/>
        <v>3.9099999999999996E-2</v>
      </c>
    </row>
    <row r="13" spans="1:25">
      <c r="A13" s="165">
        <v>8</v>
      </c>
      <c r="B13" s="137" t="s">
        <v>28</v>
      </c>
      <c r="C13" s="138" t="s">
        <v>29</v>
      </c>
      <c r="D13" s="2">
        <v>356030366.35000002</v>
      </c>
      <c r="E13" s="3">
        <f t="shared" si="0"/>
        <v>1.3165838336577539E-2</v>
      </c>
      <c r="F13" s="4">
        <v>178.85</v>
      </c>
      <c r="G13" s="4">
        <v>184.08</v>
      </c>
      <c r="H13" s="58">
        <v>2466</v>
      </c>
      <c r="I13" s="5">
        <v>-2.2899999999999999E-3</v>
      </c>
      <c r="J13" s="5">
        <v>6.5912999999999999E-2</v>
      </c>
      <c r="K13" s="2">
        <v>356046086.60000002</v>
      </c>
      <c r="L13" s="3">
        <f t="shared" si="1"/>
        <v>1.2978429655203388E-2</v>
      </c>
      <c r="M13" s="4">
        <v>178.96</v>
      </c>
      <c r="N13" s="4">
        <v>184.47</v>
      </c>
      <c r="O13" s="58">
        <v>2465</v>
      </c>
      <c r="P13" s="5">
        <v>-6.0999999999999997E-4</v>
      </c>
      <c r="Q13" s="5">
        <v>6.6570000000000004E-2</v>
      </c>
      <c r="R13" s="77">
        <f t="shared" si="2"/>
        <v>4.415423931717671E-5</v>
      </c>
      <c r="S13" s="77">
        <f t="shared" si="3"/>
        <v>2.118644067796536E-3</v>
      </c>
      <c r="T13" s="77">
        <f t="shared" si="4"/>
        <v>-4.0551500405515005E-4</v>
      </c>
      <c r="U13" s="78">
        <f t="shared" si="5"/>
        <v>1.6800000000000001E-3</v>
      </c>
      <c r="V13" s="80">
        <f t="shared" si="6"/>
        <v>6.570000000000048E-4</v>
      </c>
    </row>
    <row r="14" spans="1:25">
      <c r="A14" s="165">
        <v>9</v>
      </c>
      <c r="B14" s="137" t="s">
        <v>30</v>
      </c>
      <c r="C14" s="138" t="s">
        <v>31</v>
      </c>
      <c r="D14" s="7">
        <v>53624316.930100001</v>
      </c>
      <c r="E14" s="3">
        <f t="shared" si="0"/>
        <v>1.9830024468110779E-3</v>
      </c>
      <c r="F14" s="4">
        <v>190.18520000000001</v>
      </c>
      <c r="G14" s="4">
        <v>195.34909999999999</v>
      </c>
      <c r="H14" s="58">
        <v>13</v>
      </c>
      <c r="I14" s="5">
        <v>7.3000000000000001E-3</v>
      </c>
      <c r="J14" s="5">
        <v>5.33E-2</v>
      </c>
      <c r="K14" s="7">
        <v>54906639.018600002</v>
      </c>
      <c r="L14" s="3">
        <f t="shared" si="1"/>
        <v>2.0014317778673366E-3</v>
      </c>
      <c r="M14" s="4">
        <v>194.5368</v>
      </c>
      <c r="N14" s="4">
        <v>199.8374</v>
      </c>
      <c r="O14" s="58">
        <v>15</v>
      </c>
      <c r="P14" s="5">
        <v>2.29E-2</v>
      </c>
      <c r="Q14" s="5">
        <v>7.7399999999999997E-2</v>
      </c>
      <c r="R14" s="77">
        <f t="shared" si="2"/>
        <v>2.3913070821424617E-2</v>
      </c>
      <c r="S14" s="77">
        <f t="shared" si="3"/>
        <v>2.29757905206628E-2</v>
      </c>
      <c r="T14" s="77">
        <f t="shared" si="4"/>
        <v>0.15384615384615385</v>
      </c>
      <c r="U14" s="78">
        <f t="shared" si="5"/>
        <v>1.5599999999999999E-2</v>
      </c>
      <c r="V14" s="80">
        <f t="shared" si="6"/>
        <v>2.4099999999999996E-2</v>
      </c>
    </row>
    <row r="15" spans="1:25" ht="14.25" customHeight="1">
      <c r="A15" s="165">
        <v>10</v>
      </c>
      <c r="B15" s="137" t="s">
        <v>236</v>
      </c>
      <c r="C15" s="138" t="s">
        <v>32</v>
      </c>
      <c r="D15" s="2">
        <v>540087024.77999997</v>
      </c>
      <c r="E15" s="3">
        <f t="shared" si="0"/>
        <v>1.997216846651324E-2</v>
      </c>
      <c r="F15" s="4">
        <v>1.822095</v>
      </c>
      <c r="G15" s="4">
        <v>1.844716</v>
      </c>
      <c r="H15" s="58">
        <v>453</v>
      </c>
      <c r="I15" s="5">
        <v>1.5517321135871009E-2</v>
      </c>
      <c r="J15" s="5">
        <v>7.517259691980871E-2</v>
      </c>
      <c r="K15" s="2">
        <v>553921121.87</v>
      </c>
      <c r="L15" s="3">
        <f t="shared" si="1"/>
        <v>2.0191280245126383E-2</v>
      </c>
      <c r="M15" s="4">
        <v>1.8711880000000001</v>
      </c>
      <c r="N15" s="4">
        <v>1.887786</v>
      </c>
      <c r="O15" s="58">
        <v>453</v>
      </c>
      <c r="P15" s="5">
        <v>2.6943161580488484E-2</v>
      </c>
      <c r="Q15" s="5">
        <v>0.10414114592553259</v>
      </c>
      <c r="R15" s="77">
        <f t="shared" si="2"/>
        <v>2.5614570347501385E-2</v>
      </c>
      <c r="S15" s="77">
        <f t="shared" si="3"/>
        <v>2.3347767352806578E-2</v>
      </c>
      <c r="T15" s="77">
        <f t="shared" si="4"/>
        <v>0</v>
      </c>
      <c r="U15" s="78">
        <f t="shared" si="5"/>
        <v>1.1425840444617474E-2</v>
      </c>
      <c r="V15" s="80">
        <f t="shared" si="6"/>
        <v>2.8968549005723876E-2</v>
      </c>
    </row>
    <row r="16" spans="1:25">
      <c r="A16" s="165">
        <v>11</v>
      </c>
      <c r="B16" s="137" t="s">
        <v>33</v>
      </c>
      <c r="C16" s="138" t="s">
        <v>34</v>
      </c>
      <c r="D16" s="2">
        <v>1612611794.8</v>
      </c>
      <c r="E16" s="3">
        <f t="shared" si="0"/>
        <v>5.9633638578803633E-2</v>
      </c>
      <c r="F16" s="4">
        <v>3.27</v>
      </c>
      <c r="G16" s="4">
        <v>3.33</v>
      </c>
      <c r="H16" s="58">
        <v>3667</v>
      </c>
      <c r="I16" s="5">
        <v>-9.4999999999999998E-3</v>
      </c>
      <c r="J16" s="5">
        <v>0.17730000000000001</v>
      </c>
      <c r="K16" s="2">
        <v>1624958661.9300001</v>
      </c>
      <c r="L16" s="3">
        <f t="shared" si="1"/>
        <v>5.9232252453219156E-2</v>
      </c>
      <c r="M16" s="4">
        <v>3.29</v>
      </c>
      <c r="N16" s="4">
        <v>3.35</v>
      </c>
      <c r="O16" s="58">
        <v>3668</v>
      </c>
      <c r="P16" s="5">
        <v>-1.4E-3</v>
      </c>
      <c r="Q16" s="5">
        <v>0.18629999999999999</v>
      </c>
      <c r="R16" s="77">
        <f t="shared" si="2"/>
        <v>7.6564410416776118E-3</v>
      </c>
      <c r="S16" s="77">
        <f t="shared" si="3"/>
        <v>6.0060060060060112E-3</v>
      </c>
      <c r="T16" s="77">
        <f t="shared" si="4"/>
        <v>2.7270248159258248E-4</v>
      </c>
      <c r="U16" s="78">
        <f t="shared" si="5"/>
        <v>8.0999999999999996E-3</v>
      </c>
      <c r="V16" s="80">
        <f t="shared" si="6"/>
        <v>8.9999999999999802E-3</v>
      </c>
    </row>
    <row r="17" spans="1:22">
      <c r="A17" s="165">
        <v>12</v>
      </c>
      <c r="B17" s="137" t="s">
        <v>35</v>
      </c>
      <c r="C17" s="138" t="s">
        <v>36</v>
      </c>
      <c r="D17" s="4">
        <v>589024190.59000003</v>
      </c>
      <c r="E17" s="3">
        <f t="shared" si="0"/>
        <v>2.1781842232012683E-2</v>
      </c>
      <c r="F17" s="4">
        <v>19.55</v>
      </c>
      <c r="G17" s="4">
        <v>19.739999999999998</v>
      </c>
      <c r="H17" s="58">
        <v>343</v>
      </c>
      <c r="I17" s="5">
        <v>5.7579970039338679E-3</v>
      </c>
      <c r="J17" s="5">
        <v>0.11940000000000001</v>
      </c>
      <c r="K17" s="4">
        <v>601427390.15999997</v>
      </c>
      <c r="L17" s="3">
        <f t="shared" si="1"/>
        <v>2.1922957082444509E-2</v>
      </c>
      <c r="M17" s="4">
        <v>19.899999999999999</v>
      </c>
      <c r="N17" s="4">
        <v>20.100000000000001</v>
      </c>
      <c r="O17" s="58">
        <v>339</v>
      </c>
      <c r="P17" s="5">
        <v>5.7579970039338679E-3</v>
      </c>
      <c r="Q17" s="5">
        <v>0.1386</v>
      </c>
      <c r="R17" s="77">
        <f t="shared" si="2"/>
        <v>2.1057198954046667E-2</v>
      </c>
      <c r="S17" s="77">
        <f t="shared" si="3"/>
        <v>1.8237082066869453E-2</v>
      </c>
      <c r="T17" s="77">
        <f t="shared" si="4"/>
        <v>-1.1661807580174927E-2</v>
      </c>
      <c r="U17" s="78">
        <f t="shared" si="5"/>
        <v>0</v>
      </c>
      <c r="V17" s="80">
        <f t="shared" si="6"/>
        <v>1.9199999999999995E-2</v>
      </c>
    </row>
    <row r="18" spans="1:22">
      <c r="A18" s="165">
        <v>13</v>
      </c>
      <c r="B18" s="137" t="s">
        <v>37</v>
      </c>
      <c r="C18" s="138" t="s">
        <v>38</v>
      </c>
      <c r="D18" s="4">
        <v>305048192.32999998</v>
      </c>
      <c r="E18" s="3">
        <f t="shared" si="0"/>
        <v>1.1280541112984174E-2</v>
      </c>
      <c r="F18" s="4">
        <v>3.3411740000000001</v>
      </c>
      <c r="G18" s="4">
        <v>3.3968660000000002</v>
      </c>
      <c r="H18" s="58">
        <v>21</v>
      </c>
      <c r="I18" s="5">
        <v>1.0699999999999999E-2</v>
      </c>
      <c r="J18" s="5">
        <v>0.55200000000000005</v>
      </c>
      <c r="K18" s="4">
        <v>237407179.41</v>
      </c>
      <c r="L18" s="3">
        <f t="shared" si="1"/>
        <v>8.6538582885043146E-3</v>
      </c>
      <c r="M18" s="4">
        <v>3.4284910000000002</v>
      </c>
      <c r="N18" s="4">
        <v>3.4853770000000002</v>
      </c>
      <c r="O18" s="58">
        <v>21</v>
      </c>
      <c r="P18" s="5">
        <v>4.1500000000000002E-2</v>
      </c>
      <c r="Q18" s="5">
        <v>0.59250000000000003</v>
      </c>
      <c r="R18" s="77">
        <f t="shared" si="2"/>
        <v>-0.22173877643184389</v>
      </c>
      <c r="S18" s="77">
        <f t="shared" si="3"/>
        <v>2.6056665173133119E-2</v>
      </c>
      <c r="T18" s="77">
        <f t="shared" si="4"/>
        <v>0</v>
      </c>
      <c r="U18" s="78">
        <f t="shared" si="5"/>
        <v>3.0800000000000001E-2</v>
      </c>
      <c r="V18" s="80">
        <f t="shared" si="6"/>
        <v>4.049999999999998E-2</v>
      </c>
    </row>
    <row r="19" spans="1:22">
      <c r="A19" s="165">
        <v>14</v>
      </c>
      <c r="B19" s="137" t="s">
        <v>39</v>
      </c>
      <c r="C19" s="138" t="s">
        <v>40</v>
      </c>
      <c r="D19" s="2">
        <v>1433981242.26</v>
      </c>
      <c r="E19" s="3">
        <f t="shared" si="0"/>
        <v>5.3027963335913891E-2</v>
      </c>
      <c r="F19" s="4">
        <v>25.4</v>
      </c>
      <c r="G19" s="4">
        <v>25.88</v>
      </c>
      <c r="H19" s="58">
        <v>8834</v>
      </c>
      <c r="I19" s="5">
        <v>-2.8799999999999999E-2</v>
      </c>
      <c r="J19" s="5">
        <v>8.3999999999999995E-3</v>
      </c>
      <c r="K19" s="2">
        <v>1475256548.6600001</v>
      </c>
      <c r="L19" s="3">
        <f t="shared" si="1"/>
        <v>5.3775379257775965E-2</v>
      </c>
      <c r="M19" s="4">
        <v>26.09</v>
      </c>
      <c r="N19" s="4">
        <v>26.59</v>
      </c>
      <c r="O19" s="58">
        <v>8834</v>
      </c>
      <c r="P19" s="5">
        <v>2.3699999999999999E-2</v>
      </c>
      <c r="Q19" s="5">
        <v>3.61E-2</v>
      </c>
      <c r="R19" s="77">
        <f t="shared" si="2"/>
        <v>2.8783714307830763E-2</v>
      </c>
      <c r="S19" s="77">
        <f t="shared" si="3"/>
        <v>2.743431221020096E-2</v>
      </c>
      <c r="T19" s="77">
        <f t="shared" si="4"/>
        <v>0</v>
      </c>
      <c r="U19" s="78">
        <f t="shared" si="5"/>
        <v>5.2499999999999998E-2</v>
      </c>
      <c r="V19" s="80">
        <f t="shared" si="6"/>
        <v>2.7700000000000002E-2</v>
      </c>
    </row>
    <row r="20" spans="1:22" ht="12.75" customHeight="1">
      <c r="A20" s="165">
        <v>15</v>
      </c>
      <c r="B20" s="137" t="s">
        <v>41</v>
      </c>
      <c r="C20" s="138" t="s">
        <v>42</v>
      </c>
      <c r="D20" s="4">
        <v>639679811.19000006</v>
      </c>
      <c r="E20" s="3">
        <f t="shared" si="0"/>
        <v>2.3655063661116794E-2</v>
      </c>
      <c r="F20" s="4">
        <v>6292.69</v>
      </c>
      <c r="G20" s="4">
        <v>6374.16</v>
      </c>
      <c r="H20" s="58">
        <v>20</v>
      </c>
      <c r="I20" s="5">
        <v>-1.6000000000000001E-3</v>
      </c>
      <c r="J20" s="5">
        <v>0.1701</v>
      </c>
      <c r="K20" s="4">
        <v>654441225.27999997</v>
      </c>
      <c r="L20" s="3">
        <f t="shared" si="1"/>
        <v>2.385539323538121E-2</v>
      </c>
      <c r="M20" s="4">
        <v>6437.24</v>
      </c>
      <c r="N20" s="4">
        <v>6521.71</v>
      </c>
      <c r="O20" s="58">
        <v>20</v>
      </c>
      <c r="P20" s="5">
        <v>2.3099999999999999E-2</v>
      </c>
      <c r="Q20" s="5">
        <v>0.19719999999999999</v>
      </c>
      <c r="R20" s="77">
        <f t="shared" si="2"/>
        <v>2.3076254450705845E-2</v>
      </c>
      <c r="S20" s="77">
        <f t="shared" si="3"/>
        <v>2.3148148148148178E-2</v>
      </c>
      <c r="T20" s="77">
        <f t="shared" si="4"/>
        <v>0</v>
      </c>
      <c r="U20" s="78">
        <f t="shared" si="5"/>
        <v>2.47E-2</v>
      </c>
      <c r="V20" s="80">
        <f t="shared" si="6"/>
        <v>2.7099999999999985E-2</v>
      </c>
    </row>
    <row r="21" spans="1:22">
      <c r="A21" s="165">
        <v>16</v>
      </c>
      <c r="B21" s="137" t="s">
        <v>43</v>
      </c>
      <c r="C21" s="138" t="s">
        <v>42</v>
      </c>
      <c r="D21" s="4">
        <v>10531547494.66</v>
      </c>
      <c r="E21" s="3">
        <f t="shared" si="0"/>
        <v>0.38945175707954538</v>
      </c>
      <c r="F21" s="4">
        <v>20593.8</v>
      </c>
      <c r="G21" s="4">
        <v>20893.439999999999</v>
      </c>
      <c r="H21" s="58">
        <v>17387</v>
      </c>
      <c r="I21" s="5">
        <v>2.24E-2</v>
      </c>
      <c r="J21" s="5">
        <v>0.13780000000000001</v>
      </c>
      <c r="K21" s="4">
        <v>10806247934.299999</v>
      </c>
      <c r="L21" s="3">
        <f t="shared" si="1"/>
        <v>0.39390442397857678</v>
      </c>
      <c r="M21" s="4">
        <v>21153.7</v>
      </c>
      <c r="N21" s="4">
        <v>21465.4</v>
      </c>
      <c r="O21" s="58">
        <v>17392</v>
      </c>
      <c r="P21" s="5">
        <v>2.7400000000000001E-2</v>
      </c>
      <c r="Q21" s="5">
        <v>0.16889999999999999</v>
      </c>
      <c r="R21" s="77">
        <f t="shared" si="2"/>
        <v>2.6083577914763779E-2</v>
      </c>
      <c r="S21" s="77">
        <f t="shared" si="3"/>
        <v>2.7375099552778424E-2</v>
      </c>
      <c r="T21" s="77">
        <f t="shared" si="4"/>
        <v>2.875711738655317E-4</v>
      </c>
      <c r="U21" s="78">
        <f t="shared" si="5"/>
        <v>5.000000000000001E-3</v>
      </c>
      <c r="V21" s="80">
        <f t="shared" si="6"/>
        <v>3.1099999999999989E-2</v>
      </c>
    </row>
    <row r="22" spans="1:22">
      <c r="A22" s="165">
        <v>17</v>
      </c>
      <c r="B22" s="138" t="s">
        <v>44</v>
      </c>
      <c r="C22" s="138" t="s">
        <v>45</v>
      </c>
      <c r="D22" s="4">
        <v>3197185303.4200001</v>
      </c>
      <c r="E22" s="3">
        <f t="shared" si="0"/>
        <v>0.11823043429820443</v>
      </c>
      <c r="F22" s="4">
        <v>1.2981</v>
      </c>
      <c r="G22" s="8">
        <v>1.3107</v>
      </c>
      <c r="H22" s="58">
        <v>3833</v>
      </c>
      <c r="I22" s="5">
        <v>1.11E-2</v>
      </c>
      <c r="J22" s="5">
        <v>0.17530000000000001</v>
      </c>
      <c r="K22" s="4">
        <v>3216331780.4200001</v>
      </c>
      <c r="L22" s="3">
        <f t="shared" si="1"/>
        <v>0.11724025998598363</v>
      </c>
      <c r="M22" s="4">
        <v>1.3050999999999999</v>
      </c>
      <c r="N22" s="8">
        <v>1.3178000000000001</v>
      </c>
      <c r="O22" s="58">
        <v>3900</v>
      </c>
      <c r="P22" s="5">
        <v>5.4000000000000003E-3</v>
      </c>
      <c r="Q22" s="5">
        <v>0.18049999999999999</v>
      </c>
      <c r="R22" s="77">
        <f t="shared" si="2"/>
        <v>5.9885415398097785E-3</v>
      </c>
      <c r="S22" s="77">
        <f t="shared" si="3"/>
        <v>5.4169527733273111E-3</v>
      </c>
      <c r="T22" s="77">
        <f t="shared" si="4"/>
        <v>1.747978085050874E-2</v>
      </c>
      <c r="U22" s="78">
        <f t="shared" si="5"/>
        <v>-5.7000000000000002E-3</v>
      </c>
      <c r="V22" s="80">
        <f t="shared" si="6"/>
        <v>5.1999999999999824E-3</v>
      </c>
    </row>
    <row r="23" spans="1:22">
      <c r="A23" s="72"/>
      <c r="B23" s="130"/>
      <c r="C23" s="69" t="s">
        <v>46</v>
      </c>
      <c r="D23" s="56">
        <f>SUM(D6:D22)</f>
        <v>27041982230.700104</v>
      </c>
      <c r="E23" s="97">
        <f>(D23/$D$199)</f>
        <v>8.3169995047635541E-3</v>
      </c>
      <c r="F23" s="30"/>
      <c r="G23" s="31"/>
      <c r="H23" s="63">
        <f>SUM(H6:H22)</f>
        <v>49831</v>
      </c>
      <c r="I23" s="28"/>
      <c r="J23" s="58">
        <v>0</v>
      </c>
      <c r="K23" s="56">
        <f>SUM(K6:K22)</f>
        <v>27433680041.348602</v>
      </c>
      <c r="L23" s="97">
        <f>(K23/$K$199)</f>
        <v>8.4549427745504221E-3</v>
      </c>
      <c r="M23" s="30"/>
      <c r="N23" s="31"/>
      <c r="O23" s="63">
        <f>SUM(O6:O22)</f>
        <v>49898</v>
      </c>
      <c r="P23" s="28"/>
      <c r="Q23" s="63"/>
      <c r="R23" s="77">
        <f t="shared" si="2"/>
        <v>1.4484803935852511E-2</v>
      </c>
      <c r="S23" s="77" t="e">
        <f t="shared" si="3"/>
        <v>#DIV/0!</v>
      </c>
      <c r="T23" s="77">
        <f t="shared" si="4"/>
        <v>1.3445445606148783E-3</v>
      </c>
      <c r="U23" s="78">
        <f t="shared" si="5"/>
        <v>0</v>
      </c>
      <c r="V23" s="80">
        <f t="shared" si="6"/>
        <v>0</v>
      </c>
    </row>
    <row r="24" spans="1:22" ht="9" customHeight="1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</row>
    <row r="25" spans="1:22" ht="15" customHeight="1">
      <c r="A25" s="173" t="s">
        <v>47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</row>
    <row r="26" spans="1:22">
      <c r="A26" s="165">
        <v>18</v>
      </c>
      <c r="B26" s="137" t="s">
        <v>48</v>
      </c>
      <c r="C26" s="138" t="s">
        <v>17</v>
      </c>
      <c r="D26" s="9">
        <v>1022255155.8200001</v>
      </c>
      <c r="E26" s="3">
        <f>(D26/$K$61)</f>
        <v>8.3889563035550486E-4</v>
      </c>
      <c r="F26" s="8">
        <v>100</v>
      </c>
      <c r="G26" s="8">
        <v>100</v>
      </c>
      <c r="H26" s="58">
        <v>801</v>
      </c>
      <c r="I26" s="5">
        <v>0.1812</v>
      </c>
      <c r="J26" s="5">
        <v>0.1812</v>
      </c>
      <c r="K26" s="9">
        <v>1075925609.74</v>
      </c>
      <c r="L26" s="3">
        <f t="shared" ref="L26:L60" si="7">(K26/$K$61)</f>
        <v>8.8293934000700433E-4</v>
      </c>
      <c r="M26" s="8">
        <v>100</v>
      </c>
      <c r="N26" s="8">
        <v>100</v>
      </c>
      <c r="O26" s="58">
        <v>825</v>
      </c>
      <c r="P26" s="5">
        <v>0.18340000000000001</v>
      </c>
      <c r="Q26" s="5">
        <v>0.18340000000000001</v>
      </c>
      <c r="R26" s="77">
        <f>((K26-D26)/D26)</f>
        <v>5.2502013430246096E-2</v>
      </c>
      <c r="S26" s="77">
        <f>((N26-G26)/G26)</f>
        <v>0</v>
      </c>
      <c r="T26" s="77">
        <f>((O26-H26)/H26)</f>
        <v>2.9962546816479401E-2</v>
      </c>
      <c r="U26" s="78">
        <f>P26-I26</f>
        <v>2.2000000000000075E-3</v>
      </c>
      <c r="V26" s="80">
        <f>Q26-J26</f>
        <v>2.2000000000000075E-3</v>
      </c>
    </row>
    <row r="27" spans="1:22">
      <c r="A27" s="165">
        <v>19</v>
      </c>
      <c r="B27" s="137" t="s">
        <v>49</v>
      </c>
      <c r="C27" s="138" t="s">
        <v>50</v>
      </c>
      <c r="D27" s="9">
        <v>6850602849.3699999</v>
      </c>
      <c r="E27" s="3">
        <f t="shared" ref="E27:E60" si="8">(D27/$K$61)</f>
        <v>5.621826178051962E-3</v>
      </c>
      <c r="F27" s="8">
        <v>100</v>
      </c>
      <c r="G27" s="8">
        <v>100</v>
      </c>
      <c r="H27" s="58">
        <v>1563</v>
      </c>
      <c r="I27" s="5">
        <v>0.204237</v>
      </c>
      <c r="J27" s="5">
        <v>0.204237</v>
      </c>
      <c r="K27" s="9">
        <v>7101519472.8000002</v>
      </c>
      <c r="L27" s="3">
        <f t="shared" si="7"/>
        <v>5.8277364713682509E-3</v>
      </c>
      <c r="M27" s="8">
        <v>100</v>
      </c>
      <c r="N27" s="8">
        <v>100</v>
      </c>
      <c r="O27" s="58">
        <v>1575</v>
      </c>
      <c r="P27" s="5">
        <v>0.21202799999999999</v>
      </c>
      <c r="Q27" s="5">
        <v>0.21202799999999999</v>
      </c>
      <c r="R27" s="77">
        <f t="shared" ref="R27:R61" si="9">((K27-D27)/D27)</f>
        <v>3.6626940569628161E-2</v>
      </c>
      <c r="S27" s="77">
        <f t="shared" ref="S27:S61" si="10">((N27-G27)/G27)</f>
        <v>0</v>
      </c>
      <c r="T27" s="77">
        <f t="shared" ref="T27:T61" si="11">((O27-H27)/H27)</f>
        <v>7.677543186180422E-3</v>
      </c>
      <c r="U27" s="78">
        <f t="shared" ref="U27:U61" si="12">P27-I27</f>
        <v>7.7909999999999924E-3</v>
      </c>
      <c r="V27" s="80">
        <f t="shared" ref="V27:V61" si="13">Q27-J27</f>
        <v>7.7909999999999924E-3</v>
      </c>
    </row>
    <row r="28" spans="1:22">
      <c r="A28" s="165">
        <v>20</v>
      </c>
      <c r="B28" s="137" t="s">
        <v>51</v>
      </c>
      <c r="C28" s="138" t="s">
        <v>19</v>
      </c>
      <c r="D28" s="9">
        <v>512585281.79000002</v>
      </c>
      <c r="E28" s="3">
        <f t="shared" si="8"/>
        <v>4.2064405410921897E-4</v>
      </c>
      <c r="F28" s="8">
        <v>100</v>
      </c>
      <c r="G28" s="8">
        <v>100</v>
      </c>
      <c r="H28" s="58">
        <v>1665</v>
      </c>
      <c r="I28" s="5">
        <v>0.20399999999999999</v>
      </c>
      <c r="J28" s="5">
        <v>0.20399999999999999</v>
      </c>
      <c r="K28" s="9">
        <v>526887567.26999998</v>
      </c>
      <c r="L28" s="3">
        <f t="shared" si="7"/>
        <v>4.3238097196672261E-4</v>
      </c>
      <c r="M28" s="8">
        <v>100</v>
      </c>
      <c r="N28" s="8">
        <v>100</v>
      </c>
      <c r="O28" s="58">
        <v>1667</v>
      </c>
      <c r="P28" s="5">
        <v>0.2069</v>
      </c>
      <c r="Q28" s="5">
        <v>0.2069</v>
      </c>
      <c r="R28" s="77">
        <f t="shared" si="9"/>
        <v>2.7902255464797823E-2</v>
      </c>
      <c r="S28" s="77">
        <f t="shared" si="10"/>
        <v>0</v>
      </c>
      <c r="T28" s="77">
        <f t="shared" si="11"/>
        <v>1.2012012012012011E-3</v>
      </c>
      <c r="U28" s="78">
        <f t="shared" si="12"/>
        <v>2.9000000000000137E-3</v>
      </c>
      <c r="V28" s="80">
        <f t="shared" si="13"/>
        <v>2.9000000000000137E-3</v>
      </c>
    </row>
    <row r="29" spans="1:22">
      <c r="A29" s="165">
        <v>21</v>
      </c>
      <c r="B29" s="137" t="s">
        <v>52</v>
      </c>
      <c r="C29" s="138" t="s">
        <v>21</v>
      </c>
      <c r="D29" s="9">
        <v>98915959756.619995</v>
      </c>
      <c r="E29" s="3">
        <f t="shared" si="8"/>
        <v>8.1173634527367186E-2</v>
      </c>
      <c r="F29" s="8">
        <v>1</v>
      </c>
      <c r="G29" s="8">
        <v>1</v>
      </c>
      <c r="H29" s="58">
        <v>59835</v>
      </c>
      <c r="I29" s="5">
        <v>0.19639999999999999</v>
      </c>
      <c r="J29" s="5">
        <v>0.19639999999999999</v>
      </c>
      <c r="K29" s="9">
        <v>99717412489.949997</v>
      </c>
      <c r="L29" s="3">
        <f t="shared" si="7"/>
        <v>8.1831332551289312E-2</v>
      </c>
      <c r="M29" s="8">
        <v>1</v>
      </c>
      <c r="N29" s="8">
        <v>1</v>
      </c>
      <c r="O29" s="58">
        <v>59999</v>
      </c>
      <c r="P29" s="5">
        <v>0.1973</v>
      </c>
      <c r="Q29" s="5">
        <v>0.1973</v>
      </c>
      <c r="R29" s="77">
        <f t="shared" si="9"/>
        <v>8.1023601782963459E-3</v>
      </c>
      <c r="S29" s="77">
        <f t="shared" si="10"/>
        <v>0</v>
      </c>
      <c r="T29" s="77">
        <f t="shared" si="11"/>
        <v>2.7408707278348795E-3</v>
      </c>
      <c r="U29" s="78">
        <f t="shared" si="12"/>
        <v>9.000000000000119E-4</v>
      </c>
      <c r="V29" s="80">
        <f t="shared" si="13"/>
        <v>9.000000000000119E-4</v>
      </c>
    </row>
    <row r="30" spans="1:22">
      <c r="A30" s="165">
        <v>22</v>
      </c>
      <c r="B30" s="137" t="s">
        <v>53</v>
      </c>
      <c r="C30" s="138" t="s">
        <v>23</v>
      </c>
      <c r="D30" s="9">
        <v>62492479475.769997</v>
      </c>
      <c r="E30" s="3">
        <f t="shared" si="8"/>
        <v>5.1283349038481661E-2</v>
      </c>
      <c r="F30" s="8">
        <v>1</v>
      </c>
      <c r="G30" s="8">
        <v>1</v>
      </c>
      <c r="H30" s="58">
        <v>28594</v>
      </c>
      <c r="I30" s="5">
        <v>0.20369999999999999</v>
      </c>
      <c r="J30" s="5">
        <v>0.20369999999999999</v>
      </c>
      <c r="K30" s="9">
        <v>62824063702.389999</v>
      </c>
      <c r="L30" s="3">
        <f t="shared" si="7"/>
        <v>5.1555457774957736E-2</v>
      </c>
      <c r="M30" s="8">
        <v>1</v>
      </c>
      <c r="N30" s="8">
        <v>1</v>
      </c>
      <c r="O30" s="58">
        <v>28752</v>
      </c>
      <c r="P30" s="5">
        <v>0.20300000000000001</v>
      </c>
      <c r="Q30" s="5">
        <v>0.20300000000000001</v>
      </c>
      <c r="R30" s="77">
        <f t="shared" si="9"/>
        <v>5.3059860866709061E-3</v>
      </c>
      <c r="S30" s="77">
        <f t="shared" si="10"/>
        <v>0</v>
      </c>
      <c r="T30" s="77">
        <f t="shared" si="11"/>
        <v>5.5256347485486464E-3</v>
      </c>
      <c r="U30" s="78">
        <f t="shared" si="12"/>
        <v>-6.9999999999997842E-4</v>
      </c>
      <c r="V30" s="80">
        <f t="shared" si="13"/>
        <v>-6.9999999999997842E-4</v>
      </c>
    </row>
    <row r="31" spans="1:22" ht="15" customHeight="1">
      <c r="A31" s="165">
        <v>23</v>
      </c>
      <c r="B31" s="137" t="s">
        <v>54</v>
      </c>
      <c r="C31" s="138" t="s">
        <v>40</v>
      </c>
      <c r="D31" s="9">
        <v>8623349605</v>
      </c>
      <c r="E31" s="3">
        <f t="shared" si="8"/>
        <v>7.076599478590604E-3</v>
      </c>
      <c r="F31" s="8">
        <v>100</v>
      </c>
      <c r="G31" s="8">
        <v>100</v>
      </c>
      <c r="H31" s="58">
        <v>2891</v>
      </c>
      <c r="I31" s="5">
        <v>0.20499999999999999</v>
      </c>
      <c r="J31" s="5">
        <v>0.20499999999999999</v>
      </c>
      <c r="K31" s="9">
        <v>8858039245</v>
      </c>
      <c r="L31" s="3">
        <f t="shared" si="7"/>
        <v>7.2691933846861711E-3</v>
      </c>
      <c r="M31" s="8">
        <v>100</v>
      </c>
      <c r="N31" s="8">
        <v>100</v>
      </c>
      <c r="O31" s="58">
        <v>2891</v>
      </c>
      <c r="P31" s="5">
        <v>0.20899999999999999</v>
      </c>
      <c r="Q31" s="5">
        <v>0.20899999999999999</v>
      </c>
      <c r="R31" s="77">
        <f t="shared" si="9"/>
        <v>2.7215600752626565E-2</v>
      </c>
      <c r="S31" s="77">
        <f t="shared" si="10"/>
        <v>0</v>
      </c>
      <c r="T31" s="77">
        <f t="shared" si="11"/>
        <v>0</v>
      </c>
      <c r="U31" s="78">
        <f t="shared" si="12"/>
        <v>4.0000000000000036E-3</v>
      </c>
      <c r="V31" s="80">
        <f t="shared" si="13"/>
        <v>4.0000000000000036E-3</v>
      </c>
    </row>
    <row r="32" spans="1:22" ht="15" customHeight="1">
      <c r="A32" s="165">
        <v>24</v>
      </c>
      <c r="B32" s="137" t="s">
        <v>268</v>
      </c>
      <c r="C32" s="138" t="s">
        <v>267</v>
      </c>
      <c r="D32" s="9">
        <v>349818122.18000001</v>
      </c>
      <c r="E32" s="3">
        <f t="shared" si="8"/>
        <v>2.8707206067409951E-4</v>
      </c>
      <c r="F32" s="8">
        <v>1</v>
      </c>
      <c r="G32" s="8">
        <v>1</v>
      </c>
      <c r="H32" s="58">
        <v>168</v>
      </c>
      <c r="I32" s="5">
        <v>0.20680000000000001</v>
      </c>
      <c r="J32" s="5">
        <v>0.20680000000000001</v>
      </c>
      <c r="K32" s="9">
        <v>354118967.72000003</v>
      </c>
      <c r="L32" s="3">
        <f t="shared" si="7"/>
        <v>2.9060147357047752E-4</v>
      </c>
      <c r="M32" s="8">
        <v>1</v>
      </c>
      <c r="N32" s="8">
        <v>1</v>
      </c>
      <c r="O32" s="58">
        <v>175</v>
      </c>
      <c r="P32" s="5">
        <v>0.20680000000000001</v>
      </c>
      <c r="Q32" s="5">
        <v>0.20680000000000001</v>
      </c>
      <c r="R32" s="77">
        <f t="shared" si="9"/>
        <v>1.229451897231044E-2</v>
      </c>
      <c r="S32" s="77">
        <f t="shared" si="10"/>
        <v>0</v>
      </c>
      <c r="T32" s="77">
        <f t="shared" si="11"/>
        <v>4.1666666666666664E-2</v>
      </c>
      <c r="U32" s="78">
        <f t="shared" si="12"/>
        <v>0</v>
      </c>
      <c r="V32" s="80">
        <f t="shared" si="13"/>
        <v>0</v>
      </c>
    </row>
    <row r="33" spans="1:22">
      <c r="A33" s="165">
        <v>25</v>
      </c>
      <c r="B33" s="137" t="s">
        <v>55</v>
      </c>
      <c r="C33" s="138" t="s">
        <v>56</v>
      </c>
      <c r="D33" s="9">
        <v>25844739667.265701</v>
      </c>
      <c r="E33" s="3">
        <f t="shared" si="8"/>
        <v>2.1209028930896785E-2</v>
      </c>
      <c r="F33" s="8">
        <v>100</v>
      </c>
      <c r="G33" s="8">
        <v>100</v>
      </c>
      <c r="H33" s="58">
        <v>2742</v>
      </c>
      <c r="I33" s="5">
        <v>0.220325061658939</v>
      </c>
      <c r="J33" s="5">
        <v>0.220325061658939</v>
      </c>
      <c r="K33" s="9">
        <v>26170544987.25</v>
      </c>
      <c r="L33" s="3">
        <f t="shared" si="7"/>
        <v>2.1476395309755657E-2</v>
      </c>
      <c r="M33" s="8">
        <v>100</v>
      </c>
      <c r="N33" s="8">
        <v>100</v>
      </c>
      <c r="O33" s="58">
        <v>2779</v>
      </c>
      <c r="P33" s="5">
        <v>0.221637049736262</v>
      </c>
      <c r="Q33" s="5">
        <v>0.221637049736262</v>
      </c>
      <c r="R33" s="77">
        <f t="shared" si="9"/>
        <v>1.2606252729910665E-2</v>
      </c>
      <c r="S33" s="77">
        <f t="shared" si="10"/>
        <v>0</v>
      </c>
      <c r="T33" s="77">
        <f t="shared" si="11"/>
        <v>1.349380014587892E-2</v>
      </c>
      <c r="U33" s="78">
        <f t="shared" si="12"/>
        <v>1.3119880773229953E-3</v>
      </c>
      <c r="V33" s="80">
        <f t="shared" si="13"/>
        <v>1.3119880773229953E-3</v>
      </c>
    </row>
    <row r="34" spans="1:22">
      <c r="A34" s="165">
        <v>26</v>
      </c>
      <c r="B34" s="137" t="s">
        <v>57</v>
      </c>
      <c r="C34" s="138" t="s">
        <v>58</v>
      </c>
      <c r="D34" s="9">
        <v>9228196690.5</v>
      </c>
      <c r="E34" s="3">
        <f t="shared" si="8"/>
        <v>7.5729565516465961E-3</v>
      </c>
      <c r="F34" s="8">
        <v>100</v>
      </c>
      <c r="G34" s="8">
        <v>100</v>
      </c>
      <c r="H34" s="58">
        <v>6126</v>
      </c>
      <c r="I34" s="5">
        <v>0.20019999999999999</v>
      </c>
      <c r="J34" s="5">
        <v>0.20019999999999999</v>
      </c>
      <c r="K34" s="9">
        <v>8864886851.1399994</v>
      </c>
      <c r="L34" s="3">
        <f t="shared" si="7"/>
        <v>7.2748127516676303E-3</v>
      </c>
      <c r="M34" s="8">
        <v>100</v>
      </c>
      <c r="N34" s="8">
        <v>100</v>
      </c>
      <c r="O34" s="58">
        <v>6150</v>
      </c>
      <c r="P34" s="5">
        <v>0.21099999999999999</v>
      </c>
      <c r="Q34" s="5">
        <v>0.21099999999999999</v>
      </c>
      <c r="R34" s="77">
        <f t="shared" si="9"/>
        <v>-3.9369537900509989E-2</v>
      </c>
      <c r="S34" s="77">
        <f t="shared" si="10"/>
        <v>0</v>
      </c>
      <c r="T34" s="77">
        <f t="shared" si="11"/>
        <v>3.9177277179236044E-3</v>
      </c>
      <c r="U34" s="78">
        <f t="shared" si="12"/>
        <v>1.0800000000000004E-2</v>
      </c>
      <c r="V34" s="80">
        <f t="shared" si="13"/>
        <v>1.0800000000000004E-2</v>
      </c>
    </row>
    <row r="35" spans="1:22">
      <c r="A35" s="165">
        <v>27</v>
      </c>
      <c r="B35" s="137" t="s">
        <v>59</v>
      </c>
      <c r="C35" s="138" t="s">
        <v>60</v>
      </c>
      <c r="D35" s="9">
        <v>44514190.369999997</v>
      </c>
      <c r="E35" s="3">
        <f t="shared" si="8"/>
        <v>3.6529783760544274E-5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3.6529783760544274E-5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7">
        <f t="shared" si="9"/>
        <v>0</v>
      </c>
      <c r="S35" s="77">
        <f t="shared" si="10"/>
        <v>0</v>
      </c>
      <c r="T35" s="77" t="e">
        <f t="shared" si="11"/>
        <v>#DIV/0!</v>
      </c>
      <c r="U35" s="78">
        <f t="shared" si="12"/>
        <v>0</v>
      </c>
      <c r="V35" s="80">
        <f t="shared" si="13"/>
        <v>0</v>
      </c>
    </row>
    <row r="36" spans="1:22">
      <c r="A36" s="165">
        <v>28</v>
      </c>
      <c r="B36" s="137" t="s">
        <v>61</v>
      </c>
      <c r="C36" s="138" t="s">
        <v>62</v>
      </c>
      <c r="D36" s="9">
        <v>6497985702.6099997</v>
      </c>
      <c r="E36" s="3">
        <f t="shared" si="8"/>
        <v>5.3324571473151033E-3</v>
      </c>
      <c r="F36" s="8">
        <v>1</v>
      </c>
      <c r="G36" s="8">
        <v>1</v>
      </c>
      <c r="H36" s="58">
        <v>2463</v>
      </c>
      <c r="I36" s="5">
        <v>0.1895</v>
      </c>
      <c r="J36" s="5">
        <v>0.1895</v>
      </c>
      <c r="K36" s="9">
        <v>8651370510.7700005</v>
      </c>
      <c r="L36" s="3">
        <f t="shared" si="7"/>
        <v>7.0995943397808136E-3</v>
      </c>
      <c r="M36" s="8">
        <v>1</v>
      </c>
      <c r="N36" s="8">
        <v>1</v>
      </c>
      <c r="O36" s="58">
        <v>2481</v>
      </c>
      <c r="P36" s="5">
        <v>0.1845</v>
      </c>
      <c r="Q36" s="5">
        <v>0.1845</v>
      </c>
      <c r="R36" s="77">
        <f t="shared" si="9"/>
        <v>0.33139266639122739</v>
      </c>
      <c r="S36" s="77">
        <f t="shared" si="10"/>
        <v>0</v>
      </c>
      <c r="T36" s="77">
        <f t="shared" si="11"/>
        <v>7.3081607795371494E-3</v>
      </c>
      <c r="U36" s="78">
        <f t="shared" si="12"/>
        <v>-5.0000000000000044E-3</v>
      </c>
      <c r="V36" s="80">
        <f t="shared" si="13"/>
        <v>-5.0000000000000044E-3</v>
      </c>
    </row>
    <row r="37" spans="1:22">
      <c r="A37" s="165">
        <v>29</v>
      </c>
      <c r="B37" s="137" t="s">
        <v>63</v>
      </c>
      <c r="C37" s="138" t="s">
        <v>64</v>
      </c>
      <c r="D37" s="9">
        <v>14981799996.99</v>
      </c>
      <c r="E37" s="3">
        <f t="shared" si="8"/>
        <v>1.2294549438837015E-2</v>
      </c>
      <c r="F37" s="11">
        <v>100</v>
      </c>
      <c r="G37" s="11">
        <v>100</v>
      </c>
      <c r="H37" s="58">
        <v>2825</v>
      </c>
      <c r="I37" s="5">
        <v>0.17929999999999999</v>
      </c>
      <c r="J37" s="5">
        <v>0.17929999999999999</v>
      </c>
      <c r="K37" s="9">
        <v>15295487223.870001</v>
      </c>
      <c r="L37" s="3">
        <f t="shared" si="7"/>
        <v>1.2551971318716782E-2</v>
      </c>
      <c r="M37" s="11">
        <v>100</v>
      </c>
      <c r="N37" s="11">
        <v>100</v>
      </c>
      <c r="O37" s="58">
        <v>2825</v>
      </c>
      <c r="P37" s="5">
        <v>0.1782</v>
      </c>
      <c r="Q37" s="5">
        <v>0.1782</v>
      </c>
      <c r="R37" s="77">
        <f t="shared" si="9"/>
        <v>2.0937886431738783E-2</v>
      </c>
      <c r="S37" s="77">
        <f t="shared" si="10"/>
        <v>0</v>
      </c>
      <c r="T37" s="77">
        <f t="shared" si="11"/>
        <v>0</v>
      </c>
      <c r="U37" s="78">
        <f t="shared" si="12"/>
        <v>-1.0999999999999899E-3</v>
      </c>
      <c r="V37" s="80">
        <f t="shared" si="13"/>
        <v>-1.0999999999999899E-3</v>
      </c>
    </row>
    <row r="38" spans="1:22">
      <c r="A38" s="165">
        <v>30</v>
      </c>
      <c r="B38" s="137" t="s">
        <v>65</v>
      </c>
      <c r="C38" s="138" t="s">
        <v>64</v>
      </c>
      <c r="D38" s="9">
        <v>432271370</v>
      </c>
      <c r="E38" s="3">
        <f t="shared" si="8"/>
        <v>3.5473586154711469E-4</v>
      </c>
      <c r="F38" s="11">
        <v>1000000</v>
      </c>
      <c r="G38" s="11">
        <v>1000000</v>
      </c>
      <c r="H38" s="58">
        <v>3</v>
      </c>
      <c r="I38" s="5">
        <v>0.16980000000000001</v>
      </c>
      <c r="J38" s="5">
        <v>0.16980000000000001</v>
      </c>
      <c r="K38" s="9">
        <v>433573228.39999998</v>
      </c>
      <c r="L38" s="3">
        <f t="shared" si="7"/>
        <v>3.5580420863921179E-4</v>
      </c>
      <c r="M38" s="11">
        <v>1000000</v>
      </c>
      <c r="N38" s="11">
        <v>1000000</v>
      </c>
      <c r="O38" s="58">
        <v>3</v>
      </c>
      <c r="P38" s="5">
        <v>0.17860000000000001</v>
      </c>
      <c r="Q38" s="5">
        <v>0.17860000000000001</v>
      </c>
      <c r="R38" s="77">
        <f t="shared" si="9"/>
        <v>3.0116692669236366E-3</v>
      </c>
      <c r="S38" s="77">
        <f t="shared" si="10"/>
        <v>0</v>
      </c>
      <c r="T38" s="77">
        <f t="shared" si="11"/>
        <v>0</v>
      </c>
      <c r="U38" s="78">
        <f t="shared" si="12"/>
        <v>8.8000000000000023E-3</v>
      </c>
      <c r="V38" s="80">
        <f t="shared" si="13"/>
        <v>8.8000000000000023E-3</v>
      </c>
    </row>
    <row r="39" spans="1:22">
      <c r="A39" s="165">
        <v>31</v>
      </c>
      <c r="B39" s="137" t="s">
        <v>66</v>
      </c>
      <c r="C39" s="138" t="s">
        <v>67</v>
      </c>
      <c r="D39" s="9">
        <v>3549122851.6999998</v>
      </c>
      <c r="E39" s="3">
        <f t="shared" si="8"/>
        <v>2.9125249551788541E-3</v>
      </c>
      <c r="F39" s="8">
        <v>1</v>
      </c>
      <c r="G39" s="8">
        <v>1</v>
      </c>
      <c r="H39" s="58">
        <v>582</v>
      </c>
      <c r="I39" s="5">
        <v>0.20050000000000001</v>
      </c>
      <c r="J39" s="5">
        <v>0.20050000000000001</v>
      </c>
      <c r="K39" s="9">
        <v>3569983405.6500001</v>
      </c>
      <c r="L39" s="3">
        <f t="shared" si="7"/>
        <v>2.9296438001715341E-3</v>
      </c>
      <c r="M39" s="8">
        <v>1</v>
      </c>
      <c r="N39" s="8">
        <v>1</v>
      </c>
      <c r="O39" s="58">
        <v>584</v>
      </c>
      <c r="P39" s="5">
        <v>0.19650000000000001</v>
      </c>
      <c r="Q39" s="5">
        <v>0.19650000000000001</v>
      </c>
      <c r="R39" s="77">
        <f t="shared" si="9"/>
        <v>5.877664657341534E-3</v>
      </c>
      <c r="S39" s="77">
        <f t="shared" si="10"/>
        <v>0</v>
      </c>
      <c r="T39" s="77">
        <f t="shared" si="11"/>
        <v>3.4364261168384879E-3</v>
      </c>
      <c r="U39" s="78">
        <f t="shared" si="12"/>
        <v>-4.0000000000000036E-3</v>
      </c>
      <c r="V39" s="80">
        <f t="shared" si="13"/>
        <v>-4.0000000000000036E-3</v>
      </c>
    </row>
    <row r="40" spans="1:22">
      <c r="A40" s="165">
        <v>32</v>
      </c>
      <c r="B40" s="137" t="s">
        <v>68</v>
      </c>
      <c r="C40" s="138" t="s">
        <v>27</v>
      </c>
      <c r="D40" s="9">
        <v>274410450357.31</v>
      </c>
      <c r="E40" s="3">
        <f t="shared" si="8"/>
        <v>0.22519008724781403</v>
      </c>
      <c r="F40" s="8">
        <v>100</v>
      </c>
      <c r="G40" s="8">
        <v>100</v>
      </c>
      <c r="H40" s="58">
        <v>15193</v>
      </c>
      <c r="I40" s="5">
        <v>0.22109999999999999</v>
      </c>
      <c r="J40" s="5">
        <v>0.22109999999999999</v>
      </c>
      <c r="K40" s="9">
        <v>278357109929.51001</v>
      </c>
      <c r="L40" s="3">
        <f t="shared" si="7"/>
        <v>0.22842884368818978</v>
      </c>
      <c r="M40" s="8">
        <v>100</v>
      </c>
      <c r="N40" s="8">
        <v>100</v>
      </c>
      <c r="O40" s="58">
        <v>15290</v>
      </c>
      <c r="P40" s="5">
        <v>0.22620000000000001</v>
      </c>
      <c r="Q40" s="5">
        <v>0.22620000000000001</v>
      </c>
      <c r="R40" s="77">
        <f t="shared" si="9"/>
        <v>1.4382322419066272E-2</v>
      </c>
      <c r="S40" s="77">
        <f t="shared" si="10"/>
        <v>0</v>
      </c>
      <c r="T40" s="77">
        <f t="shared" si="11"/>
        <v>6.3845191864674525E-3</v>
      </c>
      <c r="U40" s="78">
        <f t="shared" si="12"/>
        <v>5.1000000000000212E-3</v>
      </c>
      <c r="V40" s="80">
        <f t="shared" si="13"/>
        <v>5.1000000000000212E-3</v>
      </c>
    </row>
    <row r="41" spans="1:22">
      <c r="A41" s="165">
        <v>33</v>
      </c>
      <c r="B41" s="137" t="s">
        <v>69</v>
      </c>
      <c r="C41" s="138" t="s">
        <v>70</v>
      </c>
      <c r="D41" s="9">
        <v>584152576.36000001</v>
      </c>
      <c r="E41" s="3">
        <f t="shared" si="8"/>
        <v>4.7937448980262399E-4</v>
      </c>
      <c r="F41" s="8">
        <v>1</v>
      </c>
      <c r="G41" s="8">
        <v>1</v>
      </c>
      <c r="H41" s="59">
        <v>618</v>
      </c>
      <c r="I41" s="12">
        <v>0.17949999999999999</v>
      </c>
      <c r="J41" s="12">
        <v>0.17949999999999999</v>
      </c>
      <c r="K41" s="9">
        <v>587444986.37</v>
      </c>
      <c r="L41" s="3">
        <f t="shared" si="7"/>
        <v>4.8207634790038256E-4</v>
      </c>
      <c r="M41" s="8">
        <v>1</v>
      </c>
      <c r="N41" s="8">
        <v>1</v>
      </c>
      <c r="O41" s="59">
        <v>624</v>
      </c>
      <c r="P41" s="12">
        <v>0.1918</v>
      </c>
      <c r="Q41" s="12">
        <v>0.1918</v>
      </c>
      <c r="R41" s="77">
        <f t="shared" si="9"/>
        <v>5.6362158505160005E-3</v>
      </c>
      <c r="S41" s="77">
        <f t="shared" si="10"/>
        <v>0</v>
      </c>
      <c r="T41" s="77">
        <f t="shared" si="11"/>
        <v>9.7087378640776691E-3</v>
      </c>
      <c r="U41" s="78">
        <f t="shared" si="12"/>
        <v>1.2300000000000005E-2</v>
      </c>
      <c r="V41" s="80">
        <f t="shared" si="13"/>
        <v>1.2300000000000005E-2</v>
      </c>
    </row>
    <row r="42" spans="1:22">
      <c r="A42" s="165">
        <v>34</v>
      </c>
      <c r="B42" s="137" t="s">
        <v>71</v>
      </c>
      <c r="C42" s="138" t="s">
        <v>72</v>
      </c>
      <c r="D42" s="9">
        <v>780596620.00999999</v>
      </c>
      <c r="E42" s="3">
        <f t="shared" si="8"/>
        <v>6.4058282305398347E-4</v>
      </c>
      <c r="F42" s="8">
        <v>10</v>
      </c>
      <c r="G42" s="8">
        <v>10</v>
      </c>
      <c r="H42" s="58">
        <v>363</v>
      </c>
      <c r="I42" s="5">
        <v>0.14990000000000001</v>
      </c>
      <c r="J42" s="5">
        <v>0.14990000000000001</v>
      </c>
      <c r="K42" s="9">
        <v>693124055.52999997</v>
      </c>
      <c r="L42" s="3">
        <f t="shared" si="7"/>
        <v>5.6880000865536088E-4</v>
      </c>
      <c r="M42" s="8">
        <v>10</v>
      </c>
      <c r="N42" s="8">
        <v>10</v>
      </c>
      <c r="O42" s="58">
        <v>364</v>
      </c>
      <c r="P42" s="5">
        <v>3.7000000000000002E-3</v>
      </c>
      <c r="Q42" s="5">
        <v>8.7599999999999997E-2</v>
      </c>
      <c r="R42" s="77">
        <f t="shared" si="9"/>
        <v>-0.11205860009857516</v>
      </c>
      <c r="S42" s="77">
        <f t="shared" si="10"/>
        <v>0</v>
      </c>
      <c r="T42" s="77">
        <f t="shared" si="11"/>
        <v>2.7548209366391185E-3</v>
      </c>
      <c r="U42" s="78">
        <f t="shared" si="12"/>
        <v>-0.1462</v>
      </c>
      <c r="V42" s="80">
        <f t="shared" si="13"/>
        <v>-6.2300000000000008E-2</v>
      </c>
    </row>
    <row r="43" spans="1:22">
      <c r="A43" s="165">
        <v>35</v>
      </c>
      <c r="B43" s="137" t="s">
        <v>73</v>
      </c>
      <c r="C43" s="138" t="s">
        <v>74</v>
      </c>
      <c r="D43" s="9">
        <v>3563579993.6066666</v>
      </c>
      <c r="E43" s="3">
        <f t="shared" si="8"/>
        <v>2.9243889532265862E-3</v>
      </c>
      <c r="F43" s="8">
        <v>100</v>
      </c>
      <c r="G43" s="8">
        <v>100</v>
      </c>
      <c r="H43" s="58">
        <v>682</v>
      </c>
      <c r="I43" s="5">
        <v>0.18890000000000001</v>
      </c>
      <c r="J43" s="5">
        <v>0.18890000000000001</v>
      </c>
      <c r="K43" s="9">
        <v>3563579993.6066666</v>
      </c>
      <c r="L43" s="3">
        <f t="shared" si="7"/>
        <v>2.9243889532265862E-3</v>
      </c>
      <c r="M43" s="8">
        <v>100</v>
      </c>
      <c r="N43" s="8">
        <v>100</v>
      </c>
      <c r="O43" s="58">
        <v>682</v>
      </c>
      <c r="P43" s="5">
        <v>0.218</v>
      </c>
      <c r="Q43" s="5">
        <v>0.218</v>
      </c>
      <c r="R43" s="77">
        <f t="shared" si="9"/>
        <v>0</v>
      </c>
      <c r="S43" s="77">
        <f t="shared" si="10"/>
        <v>0</v>
      </c>
      <c r="T43" s="77">
        <f t="shared" si="11"/>
        <v>0</v>
      </c>
      <c r="U43" s="78">
        <f t="shared" si="12"/>
        <v>2.9099999999999987E-2</v>
      </c>
      <c r="V43" s="80">
        <f t="shared" si="13"/>
        <v>2.9099999999999987E-2</v>
      </c>
    </row>
    <row r="44" spans="1:22" ht="15.75" customHeight="1">
      <c r="A44" s="165">
        <v>36</v>
      </c>
      <c r="B44" s="137" t="s">
        <v>237</v>
      </c>
      <c r="C44" s="138" t="s">
        <v>32</v>
      </c>
      <c r="D44" s="9">
        <v>29897727604.560001</v>
      </c>
      <c r="E44" s="3">
        <f t="shared" si="8"/>
        <v>2.453504186526289E-2</v>
      </c>
      <c r="F44" s="8">
        <v>100</v>
      </c>
      <c r="G44" s="8">
        <v>100</v>
      </c>
      <c r="H44" s="58">
        <v>11872</v>
      </c>
      <c r="I44" s="5">
        <v>0.20050000000000001</v>
      </c>
      <c r="J44" s="5">
        <v>0.20050000000000001</v>
      </c>
      <c r="K44" s="9">
        <v>31242889051.09</v>
      </c>
      <c r="L44" s="3">
        <f t="shared" si="7"/>
        <v>2.5638924837329217E-2</v>
      </c>
      <c r="M44" s="8">
        <v>100</v>
      </c>
      <c r="N44" s="8">
        <v>100</v>
      </c>
      <c r="O44" s="58">
        <v>11939</v>
      </c>
      <c r="P44" s="5">
        <v>0.20050000000000001</v>
      </c>
      <c r="Q44" s="5">
        <v>0.20050000000000001</v>
      </c>
      <c r="R44" s="77">
        <f t="shared" si="9"/>
        <v>4.4992096533946438E-2</v>
      </c>
      <c r="S44" s="77">
        <f t="shared" si="10"/>
        <v>0</v>
      </c>
      <c r="T44" s="77">
        <f t="shared" si="11"/>
        <v>5.6435309973045826E-3</v>
      </c>
      <c r="U44" s="78">
        <f t="shared" si="12"/>
        <v>0</v>
      </c>
      <c r="V44" s="80">
        <f t="shared" si="13"/>
        <v>0</v>
      </c>
    </row>
    <row r="45" spans="1:22">
      <c r="A45" s="165">
        <v>37</v>
      </c>
      <c r="B45" s="137" t="s">
        <v>75</v>
      </c>
      <c r="C45" s="138" t="s">
        <v>34</v>
      </c>
      <c r="D45" s="9">
        <v>4173897270.52</v>
      </c>
      <c r="E45" s="3">
        <f t="shared" si="8"/>
        <v>3.4252350422075434E-3</v>
      </c>
      <c r="F45" s="8">
        <v>1</v>
      </c>
      <c r="G45" s="8">
        <v>1</v>
      </c>
      <c r="H45" s="58">
        <v>969</v>
      </c>
      <c r="I45" s="5">
        <v>0.17749999999999999</v>
      </c>
      <c r="J45" s="5">
        <v>0.17749999999999999</v>
      </c>
      <c r="K45" s="9">
        <v>4273480086.3099999</v>
      </c>
      <c r="L45" s="3">
        <f t="shared" si="7"/>
        <v>3.5069559203553449E-3</v>
      </c>
      <c r="M45" s="8">
        <v>1</v>
      </c>
      <c r="N45" s="8">
        <v>1</v>
      </c>
      <c r="O45" s="58">
        <v>979</v>
      </c>
      <c r="P45" s="5">
        <v>0.18010000000000001</v>
      </c>
      <c r="Q45" s="5">
        <v>0.18010000000000001</v>
      </c>
      <c r="R45" s="77">
        <f t="shared" si="9"/>
        <v>2.3858473109376159E-2</v>
      </c>
      <c r="S45" s="77">
        <f t="shared" si="10"/>
        <v>0</v>
      </c>
      <c r="T45" s="77">
        <f t="shared" si="11"/>
        <v>1.0319917440660475E-2</v>
      </c>
      <c r="U45" s="78">
        <f t="shared" si="12"/>
        <v>2.600000000000019E-3</v>
      </c>
      <c r="V45" s="80">
        <f t="shared" si="13"/>
        <v>2.600000000000019E-3</v>
      </c>
    </row>
    <row r="46" spans="1:22">
      <c r="A46" s="165">
        <v>38</v>
      </c>
      <c r="B46" s="137" t="s">
        <v>76</v>
      </c>
      <c r="C46" s="138" t="s">
        <v>36</v>
      </c>
      <c r="D46" s="13">
        <v>7161930464.8000002</v>
      </c>
      <c r="E46" s="3">
        <f t="shared" si="8"/>
        <v>5.877311684489666E-3</v>
      </c>
      <c r="F46" s="8">
        <v>10</v>
      </c>
      <c r="G46" s="8">
        <v>10</v>
      </c>
      <c r="H46" s="58">
        <v>2370</v>
      </c>
      <c r="I46" s="5">
        <v>0.22459999999999999</v>
      </c>
      <c r="J46" s="5">
        <v>0.22459999999999999</v>
      </c>
      <c r="K46" s="13">
        <v>7571873490.0299997</v>
      </c>
      <c r="L46" s="3">
        <f t="shared" si="7"/>
        <v>6.2137241844435588E-3</v>
      </c>
      <c r="M46" s="8">
        <v>10</v>
      </c>
      <c r="N46" s="8">
        <v>10</v>
      </c>
      <c r="O46" s="58">
        <v>2391</v>
      </c>
      <c r="P46" s="5">
        <v>0.2316</v>
      </c>
      <c r="Q46" s="5">
        <v>0.2316</v>
      </c>
      <c r="R46" s="77">
        <f t="shared" si="9"/>
        <v>5.723917974976421E-2</v>
      </c>
      <c r="S46" s="77">
        <f t="shared" si="10"/>
        <v>0</v>
      </c>
      <c r="T46" s="77">
        <f t="shared" si="11"/>
        <v>8.8607594936708865E-3</v>
      </c>
      <c r="U46" s="78">
        <f t="shared" si="12"/>
        <v>7.0000000000000062E-3</v>
      </c>
      <c r="V46" s="80">
        <f t="shared" si="13"/>
        <v>7.0000000000000062E-3</v>
      </c>
    </row>
    <row r="47" spans="1:22">
      <c r="A47" s="165">
        <v>39</v>
      </c>
      <c r="B47" s="137" t="s">
        <v>77</v>
      </c>
      <c r="C47" s="138" t="s">
        <v>78</v>
      </c>
      <c r="D47" s="9">
        <v>6357721002.8299999</v>
      </c>
      <c r="E47" s="3">
        <f t="shared" si="8"/>
        <v>5.2173513999205778E-3</v>
      </c>
      <c r="F47" s="8">
        <v>100</v>
      </c>
      <c r="G47" s="8">
        <v>100</v>
      </c>
      <c r="H47" s="58">
        <v>2549</v>
      </c>
      <c r="I47" s="5">
        <v>0.21560000000000001</v>
      </c>
      <c r="J47" s="5">
        <v>0.21560000000000001</v>
      </c>
      <c r="K47" s="9">
        <v>6453857508.6000004</v>
      </c>
      <c r="L47" s="3">
        <f t="shared" si="7"/>
        <v>5.2962441246468305E-3</v>
      </c>
      <c r="M47" s="8">
        <v>100</v>
      </c>
      <c r="N47" s="8">
        <v>100</v>
      </c>
      <c r="O47" s="58">
        <v>2578</v>
      </c>
      <c r="P47" s="5">
        <v>0.21870000000000001</v>
      </c>
      <c r="Q47" s="5">
        <v>0.21870000000000001</v>
      </c>
      <c r="R47" s="77">
        <f t="shared" si="9"/>
        <v>1.5121221224902351E-2</v>
      </c>
      <c r="S47" s="77">
        <f t="shared" si="10"/>
        <v>0</v>
      </c>
      <c r="T47" s="77">
        <f t="shared" si="11"/>
        <v>1.1377010592389172E-2</v>
      </c>
      <c r="U47" s="78">
        <f t="shared" si="12"/>
        <v>3.0999999999999917E-3</v>
      </c>
      <c r="V47" s="80">
        <f t="shared" si="13"/>
        <v>3.0999999999999917E-3</v>
      </c>
    </row>
    <row r="48" spans="1:22">
      <c r="A48" s="165">
        <v>40</v>
      </c>
      <c r="B48" s="137" t="s">
        <v>79</v>
      </c>
      <c r="C48" s="138" t="s">
        <v>80</v>
      </c>
      <c r="D48" s="9">
        <v>174313960.63999999</v>
      </c>
      <c r="E48" s="3">
        <f t="shared" si="8"/>
        <v>1.430476716681936E-4</v>
      </c>
      <c r="F48" s="8">
        <v>1</v>
      </c>
      <c r="G48" s="8">
        <v>1</v>
      </c>
      <c r="H48" s="58">
        <v>80</v>
      </c>
      <c r="I48" s="5">
        <v>0.1691</v>
      </c>
      <c r="J48" s="5">
        <v>0.1691</v>
      </c>
      <c r="K48" s="9">
        <v>173592889.05000001</v>
      </c>
      <c r="L48" s="3">
        <f t="shared" si="7"/>
        <v>1.4245593700920893E-4</v>
      </c>
      <c r="M48" s="8">
        <v>1</v>
      </c>
      <c r="N48" s="8">
        <v>1</v>
      </c>
      <c r="O48" s="58">
        <v>80</v>
      </c>
      <c r="P48" s="5">
        <v>0.1724</v>
      </c>
      <c r="Q48" s="5">
        <v>0.1724</v>
      </c>
      <c r="R48" s="77">
        <f t="shared" si="9"/>
        <v>-4.1366255884068811E-3</v>
      </c>
      <c r="S48" s="77">
        <f t="shared" si="10"/>
        <v>0</v>
      </c>
      <c r="T48" s="77">
        <f t="shared" si="11"/>
        <v>0</v>
      </c>
      <c r="U48" s="78">
        <f t="shared" si="12"/>
        <v>3.2999999999999974E-3</v>
      </c>
      <c r="V48" s="80">
        <f t="shared" si="13"/>
        <v>3.2999999999999974E-3</v>
      </c>
    </row>
    <row r="49" spans="1:22">
      <c r="A49" s="165">
        <v>41</v>
      </c>
      <c r="B49" s="137" t="s">
        <v>81</v>
      </c>
      <c r="C49" s="138" t="s">
        <v>38</v>
      </c>
      <c r="D49" s="13">
        <v>711341838.88999999</v>
      </c>
      <c r="E49" s="3">
        <f t="shared" si="8"/>
        <v>5.83750110661164E-4</v>
      </c>
      <c r="F49" s="8">
        <v>10</v>
      </c>
      <c r="G49" s="8">
        <v>10</v>
      </c>
      <c r="H49" s="58">
        <v>721</v>
      </c>
      <c r="I49" s="5">
        <v>0.15770000000000001</v>
      </c>
      <c r="J49" s="5">
        <v>0.15770000000000001</v>
      </c>
      <c r="K49" s="13">
        <v>707370561.49000001</v>
      </c>
      <c r="L49" s="3">
        <f t="shared" si="7"/>
        <v>5.8049115203540177E-4</v>
      </c>
      <c r="M49" s="8">
        <v>10</v>
      </c>
      <c r="N49" s="8">
        <v>10</v>
      </c>
      <c r="O49" s="58">
        <v>720</v>
      </c>
      <c r="P49" s="5">
        <v>0.15820000000000001</v>
      </c>
      <c r="Q49" s="5">
        <v>0.15820000000000001</v>
      </c>
      <c r="R49" s="77">
        <f t="shared" si="9"/>
        <v>-5.582797444048675E-3</v>
      </c>
      <c r="S49" s="77">
        <f t="shared" si="10"/>
        <v>0</v>
      </c>
      <c r="T49" s="77">
        <f t="shared" si="11"/>
        <v>-1.3869625520110957E-3</v>
      </c>
      <c r="U49" s="78">
        <f t="shared" si="12"/>
        <v>5.0000000000000044E-4</v>
      </c>
      <c r="V49" s="80">
        <f t="shared" si="13"/>
        <v>5.0000000000000044E-4</v>
      </c>
    </row>
    <row r="50" spans="1:22">
      <c r="A50" s="165">
        <v>42</v>
      </c>
      <c r="B50" s="137" t="s">
        <v>245</v>
      </c>
      <c r="C50" s="138" t="s">
        <v>246</v>
      </c>
      <c r="D50" s="13">
        <v>653078001.25999999</v>
      </c>
      <c r="E50" s="3">
        <f t="shared" si="8"/>
        <v>5.3593692183323115E-4</v>
      </c>
      <c r="F50" s="8">
        <v>1</v>
      </c>
      <c r="G50" s="8">
        <v>1</v>
      </c>
      <c r="H50" s="58">
        <v>46</v>
      </c>
      <c r="I50" s="5">
        <v>0.2084</v>
      </c>
      <c r="J50" s="5">
        <v>0.2084</v>
      </c>
      <c r="K50" s="13">
        <v>652545688.86000001</v>
      </c>
      <c r="L50" s="3">
        <f t="shared" si="7"/>
        <v>5.3550008906814149E-4</v>
      </c>
      <c r="M50" s="8">
        <v>1</v>
      </c>
      <c r="N50" s="8">
        <v>1</v>
      </c>
      <c r="O50" s="58">
        <v>52</v>
      </c>
      <c r="P50" s="5">
        <v>0.2084</v>
      </c>
      <c r="Q50" s="5">
        <v>0.2084</v>
      </c>
      <c r="R50" s="77">
        <f t="shared" si="9"/>
        <v>-8.1508242349761031E-4</v>
      </c>
      <c r="S50" s="77">
        <f t="shared" si="10"/>
        <v>0</v>
      </c>
      <c r="T50" s="77">
        <f t="shared" si="11"/>
        <v>0.13043478260869565</v>
      </c>
      <c r="U50" s="78">
        <f t="shared" si="12"/>
        <v>0</v>
      </c>
      <c r="V50" s="80">
        <f t="shared" si="13"/>
        <v>0</v>
      </c>
    </row>
    <row r="51" spans="1:22">
      <c r="A51" s="165">
        <v>43</v>
      </c>
      <c r="B51" s="137" t="s">
        <v>279</v>
      </c>
      <c r="C51" s="138" t="s">
        <v>278</v>
      </c>
      <c r="D51" s="13">
        <v>6068959965.0794001</v>
      </c>
      <c r="E51" s="3">
        <f t="shared" si="8"/>
        <v>4.9803847567036139E-3</v>
      </c>
      <c r="F51" s="8">
        <v>100</v>
      </c>
      <c r="G51" s="8">
        <v>100</v>
      </c>
      <c r="H51" s="58">
        <v>43</v>
      </c>
      <c r="I51" s="5">
        <v>0.23830000000000001</v>
      </c>
      <c r="J51" s="5">
        <v>0.23830000000000001</v>
      </c>
      <c r="K51" s="13">
        <v>6164905700.2815418</v>
      </c>
      <c r="L51" s="3">
        <f t="shared" si="7"/>
        <v>5.0591209289342735E-3</v>
      </c>
      <c r="M51" s="8">
        <v>100</v>
      </c>
      <c r="N51" s="8">
        <v>100</v>
      </c>
      <c r="O51" s="58">
        <v>41</v>
      </c>
      <c r="P51" s="5">
        <v>0.24129999999999999</v>
      </c>
      <c r="Q51" s="5">
        <v>0.24129999999999999</v>
      </c>
      <c r="R51" s="77">
        <f t="shared" si="9"/>
        <v>1.5809254922459604E-2</v>
      </c>
      <c r="S51" s="77">
        <f t="shared" si="10"/>
        <v>0</v>
      </c>
      <c r="T51" s="77">
        <f t="shared" si="11"/>
        <v>-4.6511627906976744E-2</v>
      </c>
      <c r="U51" s="78">
        <f t="shared" si="12"/>
        <v>2.9999999999999749E-3</v>
      </c>
      <c r="V51" s="80">
        <f t="shared" si="13"/>
        <v>2.9999999999999749E-3</v>
      </c>
    </row>
    <row r="52" spans="1:22">
      <c r="A52" s="165">
        <v>44</v>
      </c>
      <c r="B52" s="137" t="s">
        <v>274</v>
      </c>
      <c r="C52" s="138" t="s">
        <v>108</v>
      </c>
      <c r="D52" s="13">
        <v>50175970.780000001</v>
      </c>
      <c r="E52" s="3">
        <f t="shared" si="8"/>
        <v>4.1176023810242515E-5</v>
      </c>
      <c r="F52" s="8">
        <v>1000</v>
      </c>
      <c r="G52" s="8">
        <v>1000</v>
      </c>
      <c r="H52" s="58">
        <v>5</v>
      </c>
      <c r="I52" s="5">
        <v>2.0199999999999999E-2</v>
      </c>
      <c r="J52" s="5">
        <v>2.0199999999999999E-2</v>
      </c>
      <c r="K52" s="13">
        <v>53034865.340000004</v>
      </c>
      <c r="L52" s="3">
        <f t="shared" si="7"/>
        <v>4.3522125114184896E-5</v>
      </c>
      <c r="M52" s="8">
        <v>1000</v>
      </c>
      <c r="N52" s="8">
        <v>1000</v>
      </c>
      <c r="O52" s="58">
        <v>10</v>
      </c>
      <c r="P52" s="5">
        <v>2.2200000000000001E-2</v>
      </c>
      <c r="Q52" s="5">
        <v>2.2200000000000001E-2</v>
      </c>
      <c r="R52" s="77">
        <f t="shared" si="9"/>
        <v>5.6977364175673298E-2</v>
      </c>
      <c r="S52" s="77">
        <f t="shared" si="10"/>
        <v>0</v>
      </c>
      <c r="T52" s="77">
        <f t="shared" si="11"/>
        <v>1</v>
      </c>
      <c r="U52" s="78">
        <f t="shared" si="12"/>
        <v>2.0000000000000018E-3</v>
      </c>
      <c r="V52" s="80">
        <f t="shared" si="13"/>
        <v>2.0000000000000018E-3</v>
      </c>
    </row>
    <row r="53" spans="1:22">
      <c r="A53" s="165">
        <v>45</v>
      </c>
      <c r="B53" s="137" t="s">
        <v>82</v>
      </c>
      <c r="C53" s="138" t="s">
        <v>42</v>
      </c>
      <c r="D53" s="9">
        <v>535453684521.76001</v>
      </c>
      <c r="E53" s="3">
        <f t="shared" si="8"/>
        <v>0.43941060472592364</v>
      </c>
      <c r="F53" s="8">
        <v>100</v>
      </c>
      <c r="G53" s="8">
        <v>100</v>
      </c>
      <c r="H53" s="58">
        <v>129067</v>
      </c>
      <c r="I53" s="5">
        <v>0.20080000000000001</v>
      </c>
      <c r="J53" s="5">
        <v>0.20080000000000001</v>
      </c>
      <c r="K53" s="9">
        <v>546358981387.67999</v>
      </c>
      <c r="L53" s="3">
        <f t="shared" si="7"/>
        <v>0.4483598439021364</v>
      </c>
      <c r="M53" s="8">
        <v>100</v>
      </c>
      <c r="N53" s="8">
        <v>100</v>
      </c>
      <c r="O53" s="58">
        <v>129809</v>
      </c>
      <c r="P53" s="5">
        <v>0.20330000000000001</v>
      </c>
      <c r="Q53" s="5">
        <v>0.20330000000000001</v>
      </c>
      <c r="R53" s="77">
        <f t="shared" si="9"/>
        <v>2.0366461528152597E-2</v>
      </c>
      <c r="S53" s="77">
        <f t="shared" si="10"/>
        <v>0</v>
      </c>
      <c r="T53" s="77">
        <f t="shared" si="11"/>
        <v>5.7489520946485155E-3</v>
      </c>
      <c r="U53" s="78">
        <f t="shared" si="12"/>
        <v>2.5000000000000022E-3</v>
      </c>
      <c r="V53" s="80">
        <f t="shared" si="13"/>
        <v>2.5000000000000022E-3</v>
      </c>
    </row>
    <row r="54" spans="1:22">
      <c r="A54" s="165">
        <v>46</v>
      </c>
      <c r="B54" s="137" t="s">
        <v>272</v>
      </c>
      <c r="C54" s="137" t="s">
        <v>271</v>
      </c>
      <c r="D54" s="9">
        <v>622869558.21000004</v>
      </c>
      <c r="E54" s="3">
        <f t="shared" si="8"/>
        <v>5.111468968280158E-4</v>
      </c>
      <c r="F54" s="8">
        <v>100</v>
      </c>
      <c r="G54" s="8">
        <v>100</v>
      </c>
      <c r="H54" s="58">
        <v>137</v>
      </c>
      <c r="I54" s="5">
        <v>0.20599999999999999</v>
      </c>
      <c r="J54" s="5">
        <v>0.20599999999999999</v>
      </c>
      <c r="K54" s="9">
        <v>656497225.77999997</v>
      </c>
      <c r="L54" s="3">
        <f t="shared" si="7"/>
        <v>5.3874284801780641E-4</v>
      </c>
      <c r="M54" s="8">
        <v>100</v>
      </c>
      <c r="N54" s="8">
        <v>100</v>
      </c>
      <c r="O54" s="58">
        <v>150</v>
      </c>
      <c r="P54" s="5">
        <v>0.21210000000000001</v>
      </c>
      <c r="Q54" s="5">
        <v>0.21210000000000001</v>
      </c>
      <c r="R54" s="77">
        <f t="shared" si="9"/>
        <v>5.398829839531568E-2</v>
      </c>
      <c r="S54" s="77">
        <f t="shared" si="10"/>
        <v>0</v>
      </c>
      <c r="T54" s="77">
        <f t="shared" si="11"/>
        <v>9.4890510948905105E-2</v>
      </c>
      <c r="U54" s="78">
        <f t="shared" si="12"/>
        <v>6.1000000000000221E-3</v>
      </c>
      <c r="V54" s="80">
        <f t="shared" si="13"/>
        <v>6.1000000000000221E-3</v>
      </c>
    </row>
    <row r="55" spans="1:22">
      <c r="A55" s="165">
        <v>47</v>
      </c>
      <c r="B55" s="137" t="s">
        <v>83</v>
      </c>
      <c r="C55" s="138" t="s">
        <v>84</v>
      </c>
      <c r="D55" s="9">
        <v>3672251086.4200001</v>
      </c>
      <c r="E55" s="3">
        <f t="shared" si="8"/>
        <v>3.0135679653235572E-3</v>
      </c>
      <c r="F55" s="8">
        <v>1</v>
      </c>
      <c r="G55" s="8">
        <v>1</v>
      </c>
      <c r="H55" s="58">
        <v>379</v>
      </c>
      <c r="I55" s="5">
        <v>0.1907636815</v>
      </c>
      <c r="J55" s="5">
        <v>0.1907636815</v>
      </c>
      <c r="K55" s="9">
        <v>3653265307.8899999</v>
      </c>
      <c r="L55" s="3">
        <f t="shared" si="7"/>
        <v>2.9979876216519826E-3</v>
      </c>
      <c r="M55" s="8">
        <v>1</v>
      </c>
      <c r="N55" s="8">
        <v>1</v>
      </c>
      <c r="O55" s="58">
        <v>377</v>
      </c>
      <c r="P55" s="5">
        <v>0.19158535539999999</v>
      </c>
      <c r="Q55" s="5">
        <v>0.19158535539999999</v>
      </c>
      <c r="R55" s="77">
        <f t="shared" si="9"/>
        <v>-5.1700654675301749E-3</v>
      </c>
      <c r="S55" s="77">
        <f t="shared" si="10"/>
        <v>0</v>
      </c>
      <c r="T55" s="77">
        <f t="shared" si="11"/>
        <v>-5.2770448548812663E-3</v>
      </c>
      <c r="U55" s="78">
        <f t="shared" si="12"/>
        <v>8.2167389999998619E-4</v>
      </c>
      <c r="V55" s="80">
        <f t="shared" si="13"/>
        <v>8.2167389999998619E-4</v>
      </c>
    </row>
    <row r="56" spans="1:22">
      <c r="A56" s="165">
        <v>48</v>
      </c>
      <c r="B56" s="137" t="s">
        <v>85</v>
      </c>
      <c r="C56" s="138" t="s">
        <v>45</v>
      </c>
      <c r="D56" s="9">
        <v>43921298427.940002</v>
      </c>
      <c r="E56" s="3">
        <f t="shared" si="8"/>
        <v>3.6043237464704704E-2</v>
      </c>
      <c r="F56" s="8">
        <v>1</v>
      </c>
      <c r="G56" s="8">
        <v>1</v>
      </c>
      <c r="H56" s="58">
        <v>24161</v>
      </c>
      <c r="I56" s="5">
        <v>0.1958</v>
      </c>
      <c r="J56" s="5">
        <v>0.1958</v>
      </c>
      <c r="K56" s="9">
        <v>43611406620.860001</v>
      </c>
      <c r="L56" s="3">
        <f t="shared" si="7"/>
        <v>3.5788930229018669E-2</v>
      </c>
      <c r="M56" s="8">
        <v>1</v>
      </c>
      <c r="N56" s="8">
        <v>1</v>
      </c>
      <c r="O56" s="58">
        <v>27097</v>
      </c>
      <c r="P56" s="5">
        <v>0.2099</v>
      </c>
      <c r="Q56" s="5">
        <v>0.2099</v>
      </c>
      <c r="R56" s="77">
        <f t="shared" si="9"/>
        <v>-7.0556157985272108E-3</v>
      </c>
      <c r="S56" s="77">
        <f t="shared" si="10"/>
        <v>0</v>
      </c>
      <c r="T56" s="77">
        <f t="shared" si="11"/>
        <v>0.12151814908323331</v>
      </c>
      <c r="U56" s="78">
        <f t="shared" si="12"/>
        <v>1.4100000000000001E-2</v>
      </c>
      <c r="V56" s="80">
        <f t="shared" si="13"/>
        <v>1.4100000000000001E-2</v>
      </c>
    </row>
    <row r="57" spans="1:22">
      <c r="A57" s="165">
        <v>49</v>
      </c>
      <c r="B57" s="137" t="s">
        <v>86</v>
      </c>
      <c r="C57" s="138" t="s">
        <v>87</v>
      </c>
      <c r="D57" s="9">
        <v>1249076566.3399999</v>
      </c>
      <c r="E57" s="3">
        <f t="shared" si="8"/>
        <v>1.0250326129600754E-3</v>
      </c>
      <c r="F57" s="8">
        <v>1</v>
      </c>
      <c r="G57" s="8">
        <v>1</v>
      </c>
      <c r="H57" s="58">
        <v>99</v>
      </c>
      <c r="I57" s="5">
        <v>0.184</v>
      </c>
      <c r="J57" s="5">
        <v>0.184</v>
      </c>
      <c r="K57" s="9">
        <v>1208854213.04</v>
      </c>
      <c r="L57" s="3">
        <f t="shared" si="7"/>
        <v>9.9202484945418363E-4</v>
      </c>
      <c r="M57" s="8">
        <v>1</v>
      </c>
      <c r="N57" s="8">
        <v>1</v>
      </c>
      <c r="O57" s="58">
        <v>99</v>
      </c>
      <c r="P57" s="5">
        <v>0.1923</v>
      </c>
      <c r="Q57" s="5">
        <v>0.1923</v>
      </c>
      <c r="R57" s="77">
        <f t="shared" si="9"/>
        <v>-3.2201671525916201E-2</v>
      </c>
      <c r="S57" s="77">
        <f t="shared" si="10"/>
        <v>0</v>
      </c>
      <c r="T57" s="77">
        <f t="shared" si="11"/>
        <v>0</v>
      </c>
      <c r="U57" s="78">
        <f t="shared" si="12"/>
        <v>8.3000000000000018E-3</v>
      </c>
      <c r="V57" s="80">
        <f t="shared" si="13"/>
        <v>8.3000000000000018E-3</v>
      </c>
    </row>
    <row r="58" spans="1:22">
      <c r="A58" s="165">
        <v>50</v>
      </c>
      <c r="B58" s="137" t="s">
        <v>88</v>
      </c>
      <c r="C58" s="138" t="s">
        <v>89</v>
      </c>
      <c r="D58" s="9">
        <v>1819139429.6500001</v>
      </c>
      <c r="E58" s="3">
        <f t="shared" si="8"/>
        <v>1.4928446287137166E-3</v>
      </c>
      <c r="F58" s="8">
        <v>1</v>
      </c>
      <c r="G58" s="8">
        <v>1</v>
      </c>
      <c r="H58" s="58">
        <v>281</v>
      </c>
      <c r="I58" s="5">
        <v>0.20899999999999999</v>
      </c>
      <c r="J58" s="5">
        <v>0.20899999999999999</v>
      </c>
      <c r="K58" s="9">
        <v>1895119146.3900001</v>
      </c>
      <c r="L58" s="3">
        <f t="shared" si="7"/>
        <v>1.5551960406933478E-3</v>
      </c>
      <c r="M58" s="8">
        <v>1</v>
      </c>
      <c r="N58" s="8">
        <v>1</v>
      </c>
      <c r="O58" s="58">
        <v>281</v>
      </c>
      <c r="P58" s="5">
        <v>0.21110000000000001</v>
      </c>
      <c r="Q58" s="5">
        <v>0.14949999999999999</v>
      </c>
      <c r="R58" s="77">
        <f t="shared" si="9"/>
        <v>4.176684618100901E-2</v>
      </c>
      <c r="S58" s="77">
        <f t="shared" si="10"/>
        <v>0</v>
      </c>
      <c r="T58" s="77">
        <f t="shared" si="11"/>
        <v>0</v>
      </c>
      <c r="U58" s="78">
        <f t="shared" si="12"/>
        <v>2.1000000000000185E-3</v>
      </c>
      <c r="V58" s="80">
        <f t="shared" si="13"/>
        <v>-5.9499999999999997E-2</v>
      </c>
    </row>
    <row r="59" spans="1:22">
      <c r="A59" s="165">
        <v>51</v>
      </c>
      <c r="B59" s="137" t="s">
        <v>258</v>
      </c>
      <c r="C59" s="138" t="s">
        <v>259</v>
      </c>
      <c r="D59" s="9">
        <v>1052867688.46</v>
      </c>
      <c r="E59" s="3">
        <f t="shared" si="8"/>
        <v>8.6401726434248293E-4</v>
      </c>
      <c r="F59" s="8">
        <v>1</v>
      </c>
      <c r="G59" s="8">
        <v>1</v>
      </c>
      <c r="H59" s="58">
        <v>1048</v>
      </c>
      <c r="I59" s="5">
        <v>0.20380000000000001</v>
      </c>
      <c r="J59" s="5">
        <v>0.20380000000000001</v>
      </c>
      <c r="K59" s="9">
        <v>1107406113.4400001</v>
      </c>
      <c r="L59" s="3">
        <f t="shared" si="7"/>
        <v>9.0877325910730623E-4</v>
      </c>
      <c r="M59" s="8">
        <v>1</v>
      </c>
      <c r="N59" s="8">
        <v>1</v>
      </c>
      <c r="O59" s="58">
        <v>1078</v>
      </c>
      <c r="P59" s="5">
        <v>0.2145</v>
      </c>
      <c r="Q59" s="5">
        <v>0.2145</v>
      </c>
      <c r="R59" s="77">
        <f t="shared" si="9"/>
        <v>5.1799884807721512E-2</v>
      </c>
      <c r="S59" s="77">
        <f t="shared" si="10"/>
        <v>0</v>
      </c>
      <c r="T59" s="77">
        <f t="shared" si="11"/>
        <v>2.8625954198473282E-2</v>
      </c>
      <c r="U59" s="78">
        <f t="shared" si="12"/>
        <v>1.0699999999999987E-2</v>
      </c>
      <c r="V59" s="80">
        <f t="shared" si="13"/>
        <v>1.0699999999999987E-2</v>
      </c>
    </row>
    <row r="60" spans="1:22">
      <c r="A60" s="165">
        <v>52</v>
      </c>
      <c r="B60" s="137" t="s">
        <v>90</v>
      </c>
      <c r="C60" s="138" t="s">
        <v>91</v>
      </c>
      <c r="D60" s="9">
        <v>35859563444.910004</v>
      </c>
      <c r="E60" s="3">
        <f t="shared" si="8"/>
        <v>2.9427517101892661E-2</v>
      </c>
      <c r="F60" s="8">
        <v>1</v>
      </c>
      <c r="G60" s="8">
        <v>1</v>
      </c>
      <c r="H60" s="58">
        <v>3767</v>
      </c>
      <c r="I60" s="5">
        <v>0.2039</v>
      </c>
      <c r="J60" s="5">
        <v>0.2039</v>
      </c>
      <c r="K60" s="9">
        <v>36097846002.93</v>
      </c>
      <c r="L60" s="3">
        <f t="shared" si="7"/>
        <v>2.9623059472674407E-2</v>
      </c>
      <c r="M60" s="8">
        <v>1</v>
      </c>
      <c r="N60" s="8">
        <v>1</v>
      </c>
      <c r="O60" s="58">
        <v>3791</v>
      </c>
      <c r="P60" s="5">
        <v>0.2087</v>
      </c>
      <c r="Q60" s="5">
        <v>0.2087</v>
      </c>
      <c r="R60" s="77">
        <f t="shared" si="9"/>
        <v>6.6448817310914322E-3</v>
      </c>
      <c r="S60" s="77">
        <f t="shared" si="10"/>
        <v>0</v>
      </c>
      <c r="T60" s="77">
        <f t="shared" si="11"/>
        <v>6.3711176002123702E-3</v>
      </c>
      <c r="U60" s="78">
        <f t="shared" si="12"/>
        <v>4.7999999999999987E-3</v>
      </c>
      <c r="V60" s="80">
        <f t="shared" si="13"/>
        <v>4.7999999999999987E-3</v>
      </c>
    </row>
    <row r="61" spans="1:22">
      <c r="A61" s="72"/>
      <c r="B61" s="130"/>
      <c r="C61" s="69" t="s">
        <v>46</v>
      </c>
      <c r="D61" s="57">
        <f>SUM(D26:D60)</f>
        <v>1197584357066.3213</v>
      </c>
      <c r="E61" s="97">
        <f>(D61/$D$199)</f>
        <v>0.36832760334135117</v>
      </c>
      <c r="F61" s="30"/>
      <c r="G61" s="11"/>
      <c r="H61" s="63">
        <f>SUM(H26:H60)</f>
        <v>304708</v>
      </c>
      <c r="I61" s="32"/>
      <c r="J61" s="32"/>
      <c r="K61" s="57">
        <f>SUM(K26:K60)</f>
        <v>1218572512276.3979</v>
      </c>
      <c r="L61" s="97">
        <f>(K61/$K$199)</f>
        <v>0.375558832880177</v>
      </c>
      <c r="M61" s="30"/>
      <c r="N61" s="11"/>
      <c r="O61" s="63">
        <f>SUM(O26:O60)</f>
        <v>309138</v>
      </c>
      <c r="P61" s="32"/>
      <c r="Q61" s="32"/>
      <c r="R61" s="77">
        <f t="shared" si="9"/>
        <v>1.7525408616300382E-2</v>
      </c>
      <c r="S61" s="77" t="e">
        <f t="shared" si="10"/>
        <v>#DIV/0!</v>
      </c>
      <c r="T61" s="77">
        <f t="shared" si="11"/>
        <v>1.4538508998779159E-2</v>
      </c>
      <c r="U61" s="78">
        <f t="shared" si="12"/>
        <v>0</v>
      </c>
      <c r="V61" s="80">
        <f t="shared" si="13"/>
        <v>0</v>
      </c>
    </row>
    <row r="62" spans="1:22" ht="9" customHeight="1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</row>
    <row r="63" spans="1:22" ht="15" customHeight="1">
      <c r="A63" s="173" t="s">
        <v>92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</row>
    <row r="64" spans="1:22">
      <c r="A64" s="165">
        <v>53</v>
      </c>
      <c r="B64" s="137" t="s">
        <v>93</v>
      </c>
      <c r="C64" s="138" t="s">
        <v>19</v>
      </c>
      <c r="D64" s="2">
        <v>457555368.52999997</v>
      </c>
      <c r="E64" s="3">
        <f>(D64/$D$99)</f>
        <v>2.0585990465021393E-3</v>
      </c>
      <c r="F64" s="14">
        <v>1.2274</v>
      </c>
      <c r="G64" s="14">
        <v>1.2274</v>
      </c>
      <c r="H64" s="58">
        <v>454</v>
      </c>
      <c r="I64" s="5">
        <v>4.8899999999999996E-4</v>
      </c>
      <c r="J64" s="5">
        <v>-4.1200000000000001E-2</v>
      </c>
      <c r="K64" s="2">
        <v>452676818.55000001</v>
      </c>
      <c r="L64" s="3">
        <f t="shared" ref="L64:L85" si="14">(K64/$K$99)</f>
        <v>2.0544224853220371E-3</v>
      </c>
      <c r="M64" s="14">
        <v>1.2141</v>
      </c>
      <c r="N64" s="14">
        <v>1.2141</v>
      </c>
      <c r="O64" s="58">
        <v>455</v>
      </c>
      <c r="P64" s="5">
        <v>1.237E-3</v>
      </c>
      <c r="Q64" s="5">
        <v>-5.16E-2</v>
      </c>
      <c r="R64" s="77">
        <f>((K64-D64)/D64)</f>
        <v>-1.066220683995776E-2</v>
      </c>
      <c r="S64" s="77">
        <f>((N64-G64)/G64)</f>
        <v>-1.0835913312693572E-2</v>
      </c>
      <c r="T64" s="77">
        <f>((O64-H64)/H64)</f>
        <v>2.2026431718061676E-3</v>
      </c>
      <c r="U64" s="78">
        <f>P64-I64</f>
        <v>7.4800000000000008E-4</v>
      </c>
      <c r="V64" s="80">
        <f>Q64-J64</f>
        <v>-1.04E-2</v>
      </c>
    </row>
    <row r="65" spans="1:22">
      <c r="A65" s="165">
        <v>54</v>
      </c>
      <c r="B65" s="137" t="s">
        <v>94</v>
      </c>
      <c r="C65" s="138" t="s">
        <v>21</v>
      </c>
      <c r="D65" s="2">
        <v>1404011565.1900001</v>
      </c>
      <c r="E65" s="3">
        <f>(D65/$D$99)</f>
        <v>6.3168242974917816E-3</v>
      </c>
      <c r="F65" s="14">
        <v>1.1673</v>
      </c>
      <c r="G65" s="14">
        <v>1.1673</v>
      </c>
      <c r="H65" s="58">
        <v>705</v>
      </c>
      <c r="I65" s="5">
        <v>-8.9399999999999993E-2</v>
      </c>
      <c r="J65" s="5">
        <v>1.04E-2</v>
      </c>
      <c r="K65" s="2">
        <v>1404864945.5799999</v>
      </c>
      <c r="L65" s="3">
        <f t="shared" si="14"/>
        <v>6.375820485540239E-3</v>
      </c>
      <c r="M65" s="14">
        <v>1.1662999999999999</v>
      </c>
      <c r="N65" s="14">
        <v>1.1662999999999999</v>
      </c>
      <c r="O65" s="58">
        <v>707</v>
      </c>
      <c r="P65" s="5">
        <v>-4.48E-2</v>
      </c>
      <c r="Q65" s="5">
        <v>8.6999999999999994E-3</v>
      </c>
      <c r="R65" s="77">
        <f t="shared" ref="R65:R99" si="15">((K65-D65)/D65)</f>
        <v>6.0781578382823468E-4</v>
      </c>
      <c r="S65" s="77">
        <f t="shared" ref="S65:S99" si="16">((N65-G65)/G65)</f>
        <v>-8.5667780347820771E-4</v>
      </c>
      <c r="T65" s="77">
        <f t="shared" ref="T65:T99" si="17">((O65-H65)/H65)</f>
        <v>2.8368794326241137E-3</v>
      </c>
      <c r="U65" s="78">
        <f t="shared" ref="U65:U99" si="18">P65-I65</f>
        <v>4.4599999999999994E-2</v>
      </c>
      <c r="V65" s="80">
        <f t="shared" ref="V65:V99" si="19">Q65-J65</f>
        <v>-1.7000000000000001E-3</v>
      </c>
    </row>
    <row r="66" spans="1:22">
      <c r="A66" s="165">
        <v>55</v>
      </c>
      <c r="B66" s="137" t="s">
        <v>95</v>
      </c>
      <c r="C66" s="138" t="s">
        <v>21</v>
      </c>
      <c r="D66" s="2">
        <v>871564959.85000002</v>
      </c>
      <c r="E66" s="3">
        <f>(D66/$D$99)</f>
        <v>3.9212801744107325E-3</v>
      </c>
      <c r="F66" s="14">
        <v>1.0668</v>
      </c>
      <c r="G66" s="14">
        <v>1.0668</v>
      </c>
      <c r="H66" s="58">
        <v>175</v>
      </c>
      <c r="I66" s="5">
        <v>0.12280000000000001</v>
      </c>
      <c r="J66" s="5">
        <v>-5.4000000000000003E-3</v>
      </c>
      <c r="K66" s="2">
        <v>874168216.51999998</v>
      </c>
      <c r="L66" s="3">
        <f t="shared" si="14"/>
        <v>3.9673134704029146E-3</v>
      </c>
      <c r="M66" s="14">
        <v>1.0691999999999999</v>
      </c>
      <c r="N66" s="14">
        <v>1.0691999999999999</v>
      </c>
      <c r="O66" s="58">
        <v>175</v>
      </c>
      <c r="P66" s="5">
        <v>0.1176</v>
      </c>
      <c r="Q66" s="5">
        <v>-1.5E-3</v>
      </c>
      <c r="R66" s="77">
        <f t="shared" si="15"/>
        <v>2.9868762397790619E-3</v>
      </c>
      <c r="S66" s="77">
        <f t="shared" si="16"/>
        <v>2.2497187851518163E-3</v>
      </c>
      <c r="T66" s="77">
        <f t="shared" si="17"/>
        <v>0</v>
      </c>
      <c r="U66" s="78">
        <f t="shared" si="18"/>
        <v>-5.2000000000000102E-3</v>
      </c>
      <c r="V66" s="80">
        <f t="shared" si="19"/>
        <v>3.9000000000000003E-3</v>
      </c>
    </row>
    <row r="67" spans="1:22">
      <c r="A67" s="165">
        <v>56</v>
      </c>
      <c r="B67" s="137" t="s">
        <v>96</v>
      </c>
      <c r="C67" s="138" t="s">
        <v>97</v>
      </c>
      <c r="D67" s="2">
        <v>265615717.56</v>
      </c>
      <c r="E67" s="3">
        <f>(D67/$D$99)</f>
        <v>1.1950384598517641E-3</v>
      </c>
      <c r="F67" s="7">
        <v>1065.92</v>
      </c>
      <c r="G67" s="7">
        <v>1065.92</v>
      </c>
      <c r="H67" s="58">
        <v>112</v>
      </c>
      <c r="I67" s="5">
        <v>2.7469999999999999E-3</v>
      </c>
      <c r="J67" s="5">
        <v>3.2759999999999997E-2</v>
      </c>
      <c r="K67" s="2">
        <v>266003558.80000001</v>
      </c>
      <c r="L67" s="3">
        <f t="shared" si="14"/>
        <v>1.2072270325767548E-3</v>
      </c>
      <c r="M67" s="7">
        <v>1068.54</v>
      </c>
      <c r="N67" s="7">
        <v>1068.54</v>
      </c>
      <c r="O67" s="58">
        <v>112</v>
      </c>
      <c r="P67" s="5">
        <v>2.467E-3</v>
      </c>
      <c r="Q67" s="5">
        <v>3.5115E-2</v>
      </c>
      <c r="R67" s="77">
        <f t="shared" si="15"/>
        <v>1.4601592238697243E-3</v>
      </c>
      <c r="S67" s="77">
        <f t="shared" si="16"/>
        <v>2.4579705794054814E-3</v>
      </c>
      <c r="T67" s="77">
        <f t="shared" si="17"/>
        <v>0</v>
      </c>
      <c r="U67" s="78">
        <f t="shared" si="18"/>
        <v>-2.7999999999999987E-4</v>
      </c>
      <c r="V67" s="80">
        <f t="shared" si="19"/>
        <v>2.3550000000000029E-3</v>
      </c>
    </row>
    <row r="68" spans="1:22" ht="15" customHeight="1">
      <c r="A68" s="165">
        <v>57</v>
      </c>
      <c r="B68" s="137" t="s">
        <v>98</v>
      </c>
      <c r="C68" s="138" t="s">
        <v>99</v>
      </c>
      <c r="D68" s="2">
        <v>1654652865.3199999</v>
      </c>
      <c r="E68" s="3">
        <f>(D68/$K$99)</f>
        <v>7.5094546763067151E-3</v>
      </c>
      <c r="F68" s="7">
        <v>1.0384</v>
      </c>
      <c r="G68" s="7">
        <v>1.0384</v>
      </c>
      <c r="H68" s="58">
        <v>872</v>
      </c>
      <c r="I68" s="5">
        <v>1.9E-3</v>
      </c>
      <c r="J68" s="5">
        <v>6.2799999999999995E-2</v>
      </c>
      <c r="K68" s="2">
        <v>1657328440.79</v>
      </c>
      <c r="L68" s="3">
        <f t="shared" si="14"/>
        <v>7.5215974726273909E-3</v>
      </c>
      <c r="M68" s="7">
        <v>1.0408999999999999</v>
      </c>
      <c r="N68" s="7">
        <v>1.0408999999999999</v>
      </c>
      <c r="O68" s="58">
        <v>872</v>
      </c>
      <c r="P68" s="5">
        <v>2.3999999999999998E-3</v>
      </c>
      <c r="Q68" s="5">
        <v>6.5199999999999994E-2</v>
      </c>
      <c r="R68" s="77">
        <f t="shared" si="15"/>
        <v>1.6170010798504182E-3</v>
      </c>
      <c r="S68" s="77">
        <f t="shared" si="16"/>
        <v>2.4075500770415511E-3</v>
      </c>
      <c r="T68" s="77">
        <f t="shared" si="17"/>
        <v>0</v>
      </c>
      <c r="U68" s="78">
        <f t="shared" si="18"/>
        <v>4.9999999999999979E-4</v>
      </c>
      <c r="V68" s="80">
        <v>7.87</v>
      </c>
    </row>
    <row r="69" spans="1:22">
      <c r="A69" s="165">
        <v>58</v>
      </c>
      <c r="B69" s="137" t="s">
        <v>100</v>
      </c>
      <c r="C69" s="138" t="s">
        <v>101</v>
      </c>
      <c r="D69" s="2">
        <v>419676696.5803588</v>
      </c>
      <c r="E69" s="3">
        <f t="shared" ref="E69:E85" si="20">(D69/$D$99)</f>
        <v>1.8881781459479236E-3</v>
      </c>
      <c r="F69" s="7">
        <v>2.3934000000000002</v>
      </c>
      <c r="G69" s="7">
        <v>2.3934000000000002</v>
      </c>
      <c r="H69" s="58">
        <v>1392</v>
      </c>
      <c r="I69" s="5">
        <v>8.3099999999999993E-2</v>
      </c>
      <c r="J69" s="5">
        <v>0.11890000000000001</v>
      </c>
      <c r="K69" s="2">
        <v>420713176.34848195</v>
      </c>
      <c r="L69" s="3">
        <f t="shared" si="14"/>
        <v>1.9093591143680548E-3</v>
      </c>
      <c r="M69" s="7">
        <v>2.3984000000000001</v>
      </c>
      <c r="N69" s="7">
        <v>2.3984000000000001</v>
      </c>
      <c r="O69" s="58">
        <v>1392</v>
      </c>
      <c r="P69" s="5">
        <v>0.10920000000000001</v>
      </c>
      <c r="Q69" s="5">
        <v>0.11890000000000001</v>
      </c>
      <c r="R69" s="77">
        <f t="shared" si="15"/>
        <v>2.4697100805659983E-3</v>
      </c>
      <c r="S69" s="77">
        <f t="shared" si="16"/>
        <v>2.0890782986545888E-3</v>
      </c>
      <c r="T69" s="77">
        <f t="shared" si="17"/>
        <v>0</v>
      </c>
      <c r="U69" s="78">
        <f t="shared" si="18"/>
        <v>2.6100000000000012E-2</v>
      </c>
      <c r="V69" s="80">
        <f t="shared" si="19"/>
        <v>0</v>
      </c>
    </row>
    <row r="70" spans="1:22">
      <c r="A70" s="165">
        <v>59</v>
      </c>
      <c r="B70" s="137" t="s">
        <v>269</v>
      </c>
      <c r="C70" s="138" t="s">
        <v>267</v>
      </c>
      <c r="D70" s="2">
        <v>132124877.70999999</v>
      </c>
      <c r="E70" s="3">
        <f t="shared" si="20"/>
        <v>5.9444641234754597E-4</v>
      </c>
      <c r="F70" s="7">
        <v>10.6</v>
      </c>
      <c r="G70" s="7">
        <v>10.64</v>
      </c>
      <c r="H70" s="58">
        <v>29</v>
      </c>
      <c r="I70" s="5">
        <v>0.61229999999999996</v>
      </c>
      <c r="J70" s="5">
        <v>2.0299999999999999E-2</v>
      </c>
      <c r="K70" s="2">
        <v>132207233.72</v>
      </c>
      <c r="L70" s="3">
        <f t="shared" si="14"/>
        <v>6.0000756068447406E-4</v>
      </c>
      <c r="M70" s="7">
        <v>10.61</v>
      </c>
      <c r="N70" s="7">
        <v>10.65</v>
      </c>
      <c r="O70" s="58">
        <v>29</v>
      </c>
      <c r="P70" s="5">
        <v>6.6600000000000006E-2</v>
      </c>
      <c r="Q70" s="5">
        <v>2.23E-2</v>
      </c>
      <c r="R70" s="77">
        <f>((K70-D70)/D70)</f>
        <v>6.233194794758336E-4</v>
      </c>
      <c r="S70" s="77">
        <f>((N70-G70)/G70)</f>
        <v>9.3984962406013027E-4</v>
      </c>
      <c r="T70" s="77">
        <f>((O70-H70)/H70)</f>
        <v>0</v>
      </c>
      <c r="U70" s="78">
        <f>P70-I70</f>
        <v>-0.54569999999999996</v>
      </c>
      <c r="V70" s="80">
        <f>Q70-J70</f>
        <v>2.0000000000000018E-3</v>
      </c>
    </row>
    <row r="71" spans="1:22">
      <c r="A71" s="165">
        <v>60</v>
      </c>
      <c r="B71" s="137" t="s">
        <v>102</v>
      </c>
      <c r="C71" s="138" t="s">
        <v>56</v>
      </c>
      <c r="D71" s="2">
        <v>2400931539.1992998</v>
      </c>
      <c r="E71" s="3">
        <f t="shared" si="20"/>
        <v>1.0802092418217423E-2</v>
      </c>
      <c r="F71" s="2">
        <v>4224.0448035988002</v>
      </c>
      <c r="G71" s="2">
        <v>4224.0448035988002</v>
      </c>
      <c r="H71" s="58">
        <v>1047</v>
      </c>
      <c r="I71" s="5">
        <v>0.10246606005917307</v>
      </c>
      <c r="J71" s="5">
        <v>9.5940976037125397E-2</v>
      </c>
      <c r="K71" s="2">
        <v>2378900458.8975501</v>
      </c>
      <c r="L71" s="3">
        <f t="shared" si="14"/>
        <v>1.0796370374689775E-2</v>
      </c>
      <c r="M71" s="2">
        <v>4232.2411861391301</v>
      </c>
      <c r="N71" s="2">
        <v>4232.2411861391301</v>
      </c>
      <c r="O71" s="58">
        <v>1045</v>
      </c>
      <c r="P71" s="5">
        <v>0.10145576943572929</v>
      </c>
      <c r="Q71" s="5">
        <v>9.6295160768963814E-2</v>
      </c>
      <c r="R71" s="77">
        <f t="shared" si="15"/>
        <v>-9.176055186103713E-3</v>
      </c>
      <c r="S71" s="77">
        <f t="shared" si="16"/>
        <v>1.9404108908472814E-3</v>
      </c>
      <c r="T71" s="77">
        <f t="shared" si="17"/>
        <v>-1.9102196752626551E-3</v>
      </c>
      <c r="U71" s="78">
        <f t="shared" si="18"/>
        <v>-1.0102906234437797E-3</v>
      </c>
      <c r="V71" s="80">
        <f t="shared" si="19"/>
        <v>3.541847318384167E-4</v>
      </c>
    </row>
    <row r="72" spans="1:22">
      <c r="A72" s="165">
        <v>61</v>
      </c>
      <c r="B72" s="137" t="s">
        <v>103</v>
      </c>
      <c r="C72" s="138" t="s">
        <v>58</v>
      </c>
      <c r="D72" s="2">
        <v>348382636.62</v>
      </c>
      <c r="E72" s="3">
        <f t="shared" si="20"/>
        <v>1.567417219620735E-3</v>
      </c>
      <c r="F72" s="14">
        <v>109.55</v>
      </c>
      <c r="G72" s="14">
        <v>109.55</v>
      </c>
      <c r="H72" s="58">
        <v>128</v>
      </c>
      <c r="I72" s="5">
        <v>4.7000000000000002E-3</v>
      </c>
      <c r="J72" s="5">
        <v>0.11360000000000001</v>
      </c>
      <c r="K72" s="2">
        <v>349423083.47000003</v>
      </c>
      <c r="L72" s="3">
        <f t="shared" si="14"/>
        <v>1.585817099869973E-3</v>
      </c>
      <c r="M72" s="14">
        <v>109.79</v>
      </c>
      <c r="N72" s="14">
        <v>109.79</v>
      </c>
      <c r="O72" s="58">
        <v>130</v>
      </c>
      <c r="P72" s="5">
        <v>6.8999999999999999E-3</v>
      </c>
      <c r="Q72" s="5">
        <v>0.1221</v>
      </c>
      <c r="R72" s="77">
        <f t="shared" si="15"/>
        <v>2.986506044314993E-3</v>
      </c>
      <c r="S72" s="77">
        <f t="shared" si="16"/>
        <v>2.190780465540932E-3</v>
      </c>
      <c r="T72" s="77">
        <f t="shared" si="17"/>
        <v>1.5625E-2</v>
      </c>
      <c r="U72" s="78">
        <f t="shared" si="18"/>
        <v>2.1999999999999997E-3</v>
      </c>
      <c r="V72" s="80">
        <f t="shared" si="19"/>
        <v>8.4999999999999937E-3</v>
      </c>
    </row>
    <row r="73" spans="1:22" ht="13.5" customHeight="1">
      <c r="A73" s="165">
        <v>62</v>
      </c>
      <c r="B73" s="137" t="s">
        <v>104</v>
      </c>
      <c r="C73" s="138" t="s">
        <v>105</v>
      </c>
      <c r="D73" s="2">
        <v>335611312.94999999</v>
      </c>
      <c r="E73" s="3">
        <f t="shared" si="20"/>
        <v>1.5099574310620341E-3</v>
      </c>
      <c r="F73" s="14">
        <v>1.3502000000000001</v>
      </c>
      <c r="G73" s="14">
        <v>1.3502000000000001</v>
      </c>
      <c r="H73" s="58">
        <v>343</v>
      </c>
      <c r="I73" s="5">
        <v>-3.5424354243541734E-3</v>
      </c>
      <c r="J73" s="5">
        <v>3.0163528174521281E-2</v>
      </c>
      <c r="K73" s="2">
        <v>334855633.50999999</v>
      </c>
      <c r="L73" s="3">
        <f t="shared" si="14"/>
        <v>1.5197043776689751E-3</v>
      </c>
      <c r="M73" s="14">
        <v>1.3452</v>
      </c>
      <c r="N73" s="14">
        <v>1.3452</v>
      </c>
      <c r="O73" s="58">
        <v>345</v>
      </c>
      <c r="P73" s="5">
        <v>-3.7031550881351238E-3</v>
      </c>
      <c r="Q73" s="5">
        <v>2.6512560668132124E-2</v>
      </c>
      <c r="R73" s="77">
        <f t="shared" si="15"/>
        <v>-2.2516506769620732E-3</v>
      </c>
      <c r="S73" s="77">
        <f t="shared" si="16"/>
        <v>-3.7031550881351763E-3</v>
      </c>
      <c r="T73" s="77">
        <f t="shared" si="17"/>
        <v>5.8309037900874635E-3</v>
      </c>
      <c r="U73" s="78">
        <f t="shared" si="18"/>
        <v>-1.6071966378095048E-4</v>
      </c>
      <c r="V73" s="80">
        <f t="shared" si="19"/>
        <v>-3.6509675063891578E-3</v>
      </c>
    </row>
    <row r="74" spans="1:22">
      <c r="A74" s="165">
        <v>63</v>
      </c>
      <c r="B74" s="137" t="s">
        <v>106</v>
      </c>
      <c r="C74" s="138" t="s">
        <v>25</v>
      </c>
      <c r="D74" s="2">
        <v>115813175.45</v>
      </c>
      <c r="E74" s="3">
        <f t="shared" si="20"/>
        <v>5.2105801603795029E-4</v>
      </c>
      <c r="F74" s="14">
        <v>121.1593</v>
      </c>
      <c r="G74" s="14">
        <v>121.1593</v>
      </c>
      <c r="H74" s="58">
        <v>140</v>
      </c>
      <c r="I74" s="5">
        <v>3.6099999999999999E-4</v>
      </c>
      <c r="J74" s="5">
        <v>0.16839999999999999</v>
      </c>
      <c r="K74" s="2">
        <v>115296880.97</v>
      </c>
      <c r="L74" s="3">
        <f t="shared" si="14"/>
        <v>5.2326183945313593E-4</v>
      </c>
      <c r="M74" s="14">
        <v>121.61960000000001</v>
      </c>
      <c r="N74" s="14">
        <v>121.61960000000001</v>
      </c>
      <c r="O74" s="58">
        <v>141</v>
      </c>
      <c r="P74" s="5">
        <v>3.6099999999999999E-4</v>
      </c>
      <c r="Q74" s="5">
        <v>0.13350000000000001</v>
      </c>
      <c r="R74" s="77">
        <f t="shared" si="15"/>
        <v>-4.4579943343570948E-3</v>
      </c>
      <c r="S74" s="77">
        <f t="shared" si="16"/>
        <v>3.7991305661224826E-3</v>
      </c>
      <c r="T74" s="77">
        <f t="shared" si="17"/>
        <v>7.1428571428571426E-3</v>
      </c>
      <c r="U74" s="78">
        <f t="shared" si="18"/>
        <v>0</v>
      </c>
      <c r="V74" s="80">
        <f t="shared" si="19"/>
        <v>-3.4899999999999987E-2</v>
      </c>
    </row>
    <row r="75" spans="1:22">
      <c r="A75" s="165">
        <v>64</v>
      </c>
      <c r="B75" s="137" t="s">
        <v>107</v>
      </c>
      <c r="C75" s="138" t="s">
        <v>108</v>
      </c>
      <c r="D75" s="2">
        <v>1564073109.2400002</v>
      </c>
      <c r="E75" s="3">
        <f t="shared" si="20"/>
        <v>7.0369612789932595E-3</v>
      </c>
      <c r="F75" s="7">
        <v>1000</v>
      </c>
      <c r="G75" s="7">
        <v>1000</v>
      </c>
      <c r="H75" s="58">
        <v>333</v>
      </c>
      <c r="I75" s="5">
        <v>8.8999999999999999E-3</v>
      </c>
      <c r="J75" s="5">
        <v>0.16120000000000001</v>
      </c>
      <c r="K75" s="2">
        <v>1615461164.9100003</v>
      </c>
      <c r="L75" s="3">
        <f t="shared" si="14"/>
        <v>7.3315875815917362E-3</v>
      </c>
      <c r="M75" s="7">
        <v>1000</v>
      </c>
      <c r="N75" s="7">
        <v>1000</v>
      </c>
      <c r="O75" s="58">
        <v>334</v>
      </c>
      <c r="P75" s="5">
        <v>3.3E-3</v>
      </c>
      <c r="Q75" s="5">
        <v>0.1699</v>
      </c>
      <c r="R75" s="77">
        <f t="shared" si="15"/>
        <v>3.285527726703906E-2</v>
      </c>
      <c r="S75" s="77">
        <f t="shared" si="16"/>
        <v>0</v>
      </c>
      <c r="T75" s="77">
        <f t="shared" si="17"/>
        <v>3.003003003003003E-3</v>
      </c>
      <c r="U75" s="78">
        <f t="shared" si="18"/>
        <v>-5.5999999999999999E-3</v>
      </c>
      <c r="V75" s="80">
        <f t="shared" si="19"/>
        <v>8.6999999999999855E-3</v>
      </c>
    </row>
    <row r="76" spans="1:22">
      <c r="A76" s="165">
        <v>65</v>
      </c>
      <c r="B76" s="137" t="s">
        <v>109</v>
      </c>
      <c r="C76" s="138" t="s">
        <v>64</v>
      </c>
      <c r="D76" s="2">
        <v>221988322.25</v>
      </c>
      <c r="E76" s="3">
        <f t="shared" si="20"/>
        <v>9.9875333117962757E-4</v>
      </c>
      <c r="F76" s="7">
        <v>1046.8599999999999</v>
      </c>
      <c r="G76" s="7">
        <v>1049.68</v>
      </c>
      <c r="H76" s="58">
        <v>76</v>
      </c>
      <c r="I76" s="5">
        <v>1.7000000000000001E-2</v>
      </c>
      <c r="J76" s="5">
        <v>5.2699999999999997E-2</v>
      </c>
      <c r="K76" s="2">
        <v>222643663.80000001</v>
      </c>
      <c r="L76" s="3">
        <f t="shared" si="14"/>
        <v>1.0104430586711784E-3</v>
      </c>
      <c r="M76" s="7">
        <v>1049.05</v>
      </c>
      <c r="N76" s="7">
        <v>1052.47</v>
      </c>
      <c r="O76" s="58">
        <v>76</v>
      </c>
      <c r="P76" s="5">
        <v>2.8E-3</v>
      </c>
      <c r="Q76" s="5">
        <v>5.5500000000000001E-2</v>
      </c>
      <c r="R76" s="77">
        <f t="shared" si="15"/>
        <v>2.9521442540656525E-3</v>
      </c>
      <c r="S76" s="77">
        <f t="shared" si="16"/>
        <v>2.6579528999313728E-3</v>
      </c>
      <c r="T76" s="77">
        <f t="shared" si="17"/>
        <v>0</v>
      </c>
      <c r="U76" s="78">
        <f t="shared" si="18"/>
        <v>-1.4200000000000001E-2</v>
      </c>
      <c r="V76" s="80">
        <f t="shared" si="19"/>
        <v>2.8000000000000039E-3</v>
      </c>
    </row>
    <row r="77" spans="1:22">
      <c r="A77" s="165">
        <v>66</v>
      </c>
      <c r="B77" s="137" t="s">
        <v>110</v>
      </c>
      <c r="C77" s="138" t="s">
        <v>67</v>
      </c>
      <c r="D77" s="2">
        <v>1088768654.3099999</v>
      </c>
      <c r="E77" s="3">
        <f t="shared" si="20"/>
        <v>4.898506864480223E-3</v>
      </c>
      <c r="F77" s="15">
        <v>1.1849000000000001</v>
      </c>
      <c r="G77" s="15">
        <v>1.1849000000000001</v>
      </c>
      <c r="H77" s="58">
        <v>45</v>
      </c>
      <c r="I77" s="5">
        <v>2.4534686971236252E-3</v>
      </c>
      <c r="J77" s="5">
        <v>0.30099762144831077</v>
      </c>
      <c r="K77" s="2">
        <v>1090910123.7</v>
      </c>
      <c r="L77" s="3">
        <f t="shared" si="14"/>
        <v>4.9509720748980128E-3</v>
      </c>
      <c r="M77" s="15">
        <v>1.1877</v>
      </c>
      <c r="N77" s="15">
        <v>1.1877</v>
      </c>
      <c r="O77" s="58">
        <v>45</v>
      </c>
      <c r="P77" s="5">
        <v>2.3630686133850227E-3</v>
      </c>
      <c r="Q77" s="5">
        <v>0.31310615787240836</v>
      </c>
      <c r="R77" s="77">
        <f t="shared" si="15"/>
        <v>1.9668727433719583E-3</v>
      </c>
      <c r="S77" s="77">
        <f t="shared" si="16"/>
        <v>2.3630686133850227E-3</v>
      </c>
      <c r="T77" s="77">
        <f t="shared" si="17"/>
        <v>0</v>
      </c>
      <c r="U77" s="78">
        <f t="shared" si="18"/>
        <v>-9.0400083738602453E-5</v>
      </c>
      <c r="V77" s="80">
        <f t="shared" si="19"/>
        <v>1.2108536424097593E-2</v>
      </c>
    </row>
    <row r="78" spans="1:22">
      <c r="A78" s="165">
        <v>67</v>
      </c>
      <c r="B78" s="137" t="s">
        <v>111</v>
      </c>
      <c r="C78" s="138" t="s">
        <v>27</v>
      </c>
      <c r="D78" s="2">
        <v>34648493697.279999</v>
      </c>
      <c r="E78" s="3">
        <f t="shared" si="20"/>
        <v>0.15588792306625368</v>
      </c>
      <c r="F78" s="15">
        <v>1654.22</v>
      </c>
      <c r="G78" s="15">
        <v>1654.22</v>
      </c>
      <c r="H78" s="58">
        <v>2329</v>
      </c>
      <c r="I78" s="5">
        <v>1.9E-3</v>
      </c>
      <c r="J78" s="5">
        <v>6.9000000000000006E-2</v>
      </c>
      <c r="K78" s="2">
        <v>33298981739.939999</v>
      </c>
      <c r="L78" s="3">
        <f t="shared" si="14"/>
        <v>0.1511236582513546</v>
      </c>
      <c r="M78" s="15">
        <v>1656.79</v>
      </c>
      <c r="N78" s="15">
        <v>1656.79</v>
      </c>
      <c r="O78" s="58">
        <v>2326</v>
      </c>
      <c r="P78" s="5">
        <v>1.6000000000000001E-3</v>
      </c>
      <c r="Q78" s="5">
        <v>7.0699999999999999E-2</v>
      </c>
      <c r="R78" s="77">
        <f t="shared" si="15"/>
        <v>-3.8948647209039872E-2</v>
      </c>
      <c r="S78" s="77">
        <f t="shared" si="16"/>
        <v>1.5536023019912322E-3</v>
      </c>
      <c r="T78" s="77">
        <f t="shared" si="17"/>
        <v>-1.2881064834693002E-3</v>
      </c>
      <c r="U78" s="78">
        <f t="shared" si="18"/>
        <v>-2.9999999999999992E-4</v>
      </c>
      <c r="V78" s="80">
        <f t="shared" si="19"/>
        <v>1.6999999999999932E-3</v>
      </c>
    </row>
    <row r="79" spans="1:22">
      <c r="A79" s="165">
        <v>68</v>
      </c>
      <c r="B79" s="137" t="s">
        <v>112</v>
      </c>
      <c r="C79" s="138" t="s">
        <v>72</v>
      </c>
      <c r="D79" s="2">
        <v>22928215.82</v>
      </c>
      <c r="E79" s="3">
        <f t="shared" si="20"/>
        <v>1.0315692148184807E-4</v>
      </c>
      <c r="F79" s="14">
        <v>0.69930000000000003</v>
      </c>
      <c r="G79" s="14">
        <v>0.69930000000000003</v>
      </c>
      <c r="H79" s="58">
        <v>746</v>
      </c>
      <c r="I79" s="5">
        <v>1.6999999999999999E-3</v>
      </c>
      <c r="J79" s="5">
        <v>-8.5199999999999998E-2</v>
      </c>
      <c r="K79" s="2">
        <v>22985870.620000001</v>
      </c>
      <c r="L79" s="3">
        <f t="shared" si="14"/>
        <v>1.0431877116591349E-4</v>
      </c>
      <c r="M79" s="14">
        <v>0.70099999999999996</v>
      </c>
      <c r="N79" s="14">
        <v>0.70099999999999996</v>
      </c>
      <c r="O79" s="58">
        <v>746</v>
      </c>
      <c r="P79" s="5">
        <v>2.0999999999999999E-3</v>
      </c>
      <c r="Q79" s="5">
        <v>-8.2900000000000001E-2</v>
      </c>
      <c r="R79" s="77">
        <f t="shared" si="15"/>
        <v>2.5145785634881008E-3</v>
      </c>
      <c r="S79" s="77">
        <f t="shared" si="16"/>
        <v>2.4310024310023218E-3</v>
      </c>
      <c r="T79" s="77">
        <f t="shared" si="17"/>
        <v>0</v>
      </c>
      <c r="U79" s="78">
        <f t="shared" si="18"/>
        <v>3.9999999999999996E-4</v>
      </c>
      <c r="V79" s="80">
        <f t="shared" si="19"/>
        <v>2.2999999999999965E-3</v>
      </c>
    </row>
    <row r="80" spans="1:22">
      <c r="A80" s="165">
        <v>69</v>
      </c>
      <c r="B80" s="137" t="s">
        <v>249</v>
      </c>
      <c r="C80" s="138" t="s">
        <v>32</v>
      </c>
      <c r="D80" s="2">
        <v>10250802897.610001</v>
      </c>
      <c r="E80" s="3">
        <f t="shared" si="20"/>
        <v>4.611964916660731E-2</v>
      </c>
      <c r="F80" s="14">
        <v>1</v>
      </c>
      <c r="G80" s="14">
        <v>1</v>
      </c>
      <c r="H80" s="58">
        <v>5238</v>
      </c>
      <c r="I80" s="5">
        <v>0.06</v>
      </c>
      <c r="J80" s="5">
        <v>0.06</v>
      </c>
      <c r="K80" s="2">
        <v>10288612216.98</v>
      </c>
      <c r="L80" s="3">
        <f t="shared" si="14"/>
        <v>4.6693701588317663E-2</v>
      </c>
      <c r="M80" s="14">
        <v>1</v>
      </c>
      <c r="N80" s="14">
        <v>1</v>
      </c>
      <c r="O80" s="58">
        <v>5238</v>
      </c>
      <c r="P80" s="5">
        <v>0.06</v>
      </c>
      <c r="Q80" s="5">
        <v>0.06</v>
      </c>
      <c r="R80" s="77">
        <f>((K80-D80)/D80)</f>
        <v>3.6884251650974838E-3</v>
      </c>
      <c r="S80" s="77">
        <f>((N80-G80)/G80)</f>
        <v>0</v>
      </c>
      <c r="T80" s="77">
        <f>((O80-H80)/H80)</f>
        <v>0</v>
      </c>
      <c r="U80" s="78">
        <f>P80-I80</f>
        <v>0</v>
      </c>
      <c r="V80" s="80">
        <f>Q80-J80</f>
        <v>0</v>
      </c>
    </row>
    <row r="81" spans="1:22">
      <c r="A81" s="165">
        <v>70</v>
      </c>
      <c r="B81" s="137" t="s">
        <v>113</v>
      </c>
      <c r="C81" s="138" t="s">
        <v>114</v>
      </c>
      <c r="D81" s="2">
        <v>1183798781.4300001</v>
      </c>
      <c r="E81" s="3">
        <f t="shared" si="20"/>
        <v>5.3260593368874678E-3</v>
      </c>
      <c r="F81" s="2">
        <v>224.84</v>
      </c>
      <c r="G81" s="2">
        <v>226.79</v>
      </c>
      <c r="H81" s="58">
        <v>488</v>
      </c>
      <c r="I81" s="5">
        <v>1E-3</v>
      </c>
      <c r="J81" s="5">
        <v>9.1999999999999998E-2</v>
      </c>
      <c r="K81" s="2">
        <v>1180436278.3900001</v>
      </c>
      <c r="L81" s="3">
        <f t="shared" si="14"/>
        <v>5.3572763910958165E-3</v>
      </c>
      <c r="M81" s="2">
        <v>225.51</v>
      </c>
      <c r="N81" s="2">
        <v>227.56</v>
      </c>
      <c r="O81" s="58">
        <v>488</v>
      </c>
      <c r="P81" s="5">
        <v>1E-3</v>
      </c>
      <c r="Q81" s="5">
        <v>9.1999999999999998E-2</v>
      </c>
      <c r="R81" s="77">
        <f t="shared" si="15"/>
        <v>-2.8404346184054525E-3</v>
      </c>
      <c r="S81" s="77">
        <f t="shared" si="16"/>
        <v>3.3952114290754015E-3</v>
      </c>
      <c r="T81" s="77">
        <f t="shared" si="17"/>
        <v>0</v>
      </c>
      <c r="U81" s="78">
        <f t="shared" si="18"/>
        <v>0</v>
      </c>
      <c r="V81" s="80">
        <f t="shared" si="19"/>
        <v>0</v>
      </c>
    </row>
    <row r="82" spans="1:22">
      <c r="A82" s="165">
        <v>71</v>
      </c>
      <c r="B82" s="137" t="s">
        <v>115</v>
      </c>
      <c r="C82" s="138" t="s">
        <v>34</v>
      </c>
      <c r="D82" s="2">
        <v>1054063675.36</v>
      </c>
      <c r="E82" s="3">
        <f t="shared" si="20"/>
        <v>4.7423648071705793E-3</v>
      </c>
      <c r="F82" s="14">
        <v>3.48</v>
      </c>
      <c r="G82" s="14">
        <v>3.48</v>
      </c>
      <c r="H82" s="59">
        <v>771</v>
      </c>
      <c r="I82" s="12">
        <v>1.1999999999999999E-3</v>
      </c>
      <c r="J82" s="12">
        <v>-4.6800000000000001E-2</v>
      </c>
      <c r="K82" s="2">
        <v>1056178400.0700001</v>
      </c>
      <c r="L82" s="3">
        <f t="shared" si="14"/>
        <v>4.7933460798050449E-3</v>
      </c>
      <c r="M82" s="14">
        <v>3.49</v>
      </c>
      <c r="N82" s="14">
        <v>3.49</v>
      </c>
      <c r="O82" s="59">
        <v>772</v>
      </c>
      <c r="P82" s="12">
        <v>1.8E-3</v>
      </c>
      <c r="Q82" s="12">
        <v>-4.24E-2</v>
      </c>
      <c r="R82" s="77">
        <f t="shared" si="15"/>
        <v>2.0062589760317705E-3</v>
      </c>
      <c r="S82" s="77">
        <f t="shared" si="16"/>
        <v>2.8735632183908709E-3</v>
      </c>
      <c r="T82" s="77">
        <f t="shared" si="17"/>
        <v>1.2970168612191958E-3</v>
      </c>
      <c r="U82" s="78">
        <f t="shared" si="18"/>
        <v>6.0000000000000006E-4</v>
      </c>
      <c r="V82" s="80">
        <f t="shared" si="19"/>
        <v>4.4000000000000011E-3</v>
      </c>
    </row>
    <row r="83" spans="1:22">
      <c r="A83" s="165">
        <v>72</v>
      </c>
      <c r="B83" s="137" t="s">
        <v>256</v>
      </c>
      <c r="C83" s="138" t="s">
        <v>36</v>
      </c>
      <c r="D83" s="2">
        <v>529748729.54000002</v>
      </c>
      <c r="E83" s="3">
        <f t="shared" si="20"/>
        <v>2.3834060411538184E-3</v>
      </c>
      <c r="F83" s="14">
        <v>105.4</v>
      </c>
      <c r="G83" s="14">
        <v>105.4</v>
      </c>
      <c r="H83" s="59">
        <v>62</v>
      </c>
      <c r="I83" s="12">
        <v>0.14019999999999999</v>
      </c>
      <c r="J83" s="12">
        <v>0.16139999999999999</v>
      </c>
      <c r="K83" s="2">
        <v>530734328.63999999</v>
      </c>
      <c r="L83" s="3">
        <f t="shared" si="14"/>
        <v>2.4086776565738315E-3</v>
      </c>
      <c r="M83" s="14">
        <v>105.68</v>
      </c>
      <c r="N83" s="14">
        <v>105.68</v>
      </c>
      <c r="O83" s="59">
        <v>62</v>
      </c>
      <c r="P83" s="12">
        <v>0.14019999999999999</v>
      </c>
      <c r="Q83" s="12">
        <v>0.16139999999999999</v>
      </c>
      <c r="R83" s="77">
        <f>((K83-D83)/D83)</f>
        <v>1.860502998951589E-3</v>
      </c>
      <c r="S83" s="77">
        <f>((N83-G83)/G83)</f>
        <v>2.6565464895635781E-3</v>
      </c>
      <c r="T83" s="77">
        <f>((O83-H83)/H83)</f>
        <v>0</v>
      </c>
      <c r="U83" s="78">
        <f>P83-I83</f>
        <v>0</v>
      </c>
      <c r="V83" s="80">
        <f>Q83-J83</f>
        <v>0</v>
      </c>
    </row>
    <row r="84" spans="1:22">
      <c r="A84" s="165">
        <v>73</v>
      </c>
      <c r="B84" s="138" t="s">
        <v>116</v>
      </c>
      <c r="C84" s="180" t="s">
        <v>40</v>
      </c>
      <c r="D84" s="2">
        <v>1758222291.1500001</v>
      </c>
      <c r="E84" s="3">
        <f t="shared" si="20"/>
        <v>7.9104628227367919E-3</v>
      </c>
      <c r="F84" s="14">
        <v>98.11</v>
      </c>
      <c r="G84" s="14">
        <v>98.11</v>
      </c>
      <c r="H84" s="58">
        <v>139</v>
      </c>
      <c r="I84" s="5">
        <v>1.1999999999999999E-3</v>
      </c>
      <c r="J84" s="5">
        <v>6.4000000000000001E-2</v>
      </c>
      <c r="K84" s="2">
        <v>1763687067.3199999</v>
      </c>
      <c r="L84" s="3">
        <f t="shared" si="14"/>
        <v>8.0042940563647934E-3</v>
      </c>
      <c r="M84" s="14">
        <v>98.31</v>
      </c>
      <c r="N84" s="14">
        <v>98.31</v>
      </c>
      <c r="O84" s="58">
        <v>139</v>
      </c>
      <c r="P84" s="5">
        <v>2.0999999999999999E-3</v>
      </c>
      <c r="Q84" s="5">
        <v>6.6000000000000003E-2</v>
      </c>
      <c r="R84" s="77">
        <f t="shared" si="15"/>
        <v>3.1081258595723371E-3</v>
      </c>
      <c r="S84" s="77">
        <f t="shared" si="16"/>
        <v>2.0385281826521542E-3</v>
      </c>
      <c r="T84" s="77">
        <f t="shared" si="17"/>
        <v>0</v>
      </c>
      <c r="U84" s="78">
        <f t="shared" si="18"/>
        <v>8.9999999999999998E-4</v>
      </c>
      <c r="V84" s="80">
        <f t="shared" si="19"/>
        <v>2.0000000000000018E-3</v>
      </c>
    </row>
    <row r="85" spans="1:22">
      <c r="A85" s="165">
        <v>74</v>
      </c>
      <c r="B85" s="137" t="s">
        <v>117</v>
      </c>
      <c r="C85" s="138" t="s">
        <v>17</v>
      </c>
      <c r="D85" s="2">
        <v>1278772436.3299999</v>
      </c>
      <c r="E85" s="3">
        <f t="shared" si="20"/>
        <v>5.7533577336871628E-3</v>
      </c>
      <c r="F85" s="14">
        <v>336.09160000000003</v>
      </c>
      <c r="G85" s="14">
        <v>336.09160000000003</v>
      </c>
      <c r="H85" s="58">
        <v>105</v>
      </c>
      <c r="I85" s="5">
        <v>2.3E-3</v>
      </c>
      <c r="J85" s="5">
        <v>6.3100000000000003E-2</v>
      </c>
      <c r="K85" s="2">
        <v>1281918506.75</v>
      </c>
      <c r="L85" s="3">
        <f t="shared" si="14"/>
        <v>5.8178419938832307E-3</v>
      </c>
      <c r="M85" s="14">
        <v>336.90530000000001</v>
      </c>
      <c r="N85" s="14">
        <v>336.90530000000001</v>
      </c>
      <c r="O85" s="58">
        <v>105</v>
      </c>
      <c r="P85" s="5">
        <v>2.3E-3</v>
      </c>
      <c r="Q85" s="5">
        <v>6.5500000000000003E-2</v>
      </c>
      <c r="R85" s="77">
        <f t="shared" si="15"/>
        <v>2.4602269572130513E-3</v>
      </c>
      <c r="S85" s="77">
        <f t="shared" si="16"/>
        <v>2.4210661617249077E-3</v>
      </c>
      <c r="T85" s="77">
        <f t="shared" si="17"/>
        <v>0</v>
      </c>
      <c r="U85" s="78">
        <f t="shared" si="18"/>
        <v>0</v>
      </c>
      <c r="V85" s="80">
        <f t="shared" si="19"/>
        <v>2.3999999999999994E-3</v>
      </c>
    </row>
    <row r="86" spans="1:22">
      <c r="A86" s="165">
        <v>75</v>
      </c>
      <c r="B86" s="137" t="s">
        <v>250</v>
      </c>
      <c r="C86" s="138" t="s">
        <v>78</v>
      </c>
      <c r="D86" s="9">
        <v>1563105132.26</v>
      </c>
      <c r="E86" s="3">
        <f>(D86/$K$61)</f>
        <v>1.2827346066915505E-3</v>
      </c>
      <c r="F86" s="14">
        <v>102.4</v>
      </c>
      <c r="G86" s="14">
        <v>102.4</v>
      </c>
      <c r="H86" s="58">
        <v>373</v>
      </c>
      <c r="I86" s="5">
        <v>2.3999999999999998E-3</v>
      </c>
      <c r="J86" s="5">
        <v>8.0399999999999999E-2</v>
      </c>
      <c r="K86" s="9">
        <v>1555998063.02</v>
      </c>
      <c r="L86" s="3">
        <f>(K86/$K$61)</f>
        <v>1.2769023159017942E-3</v>
      </c>
      <c r="M86" s="14">
        <v>102.38</v>
      </c>
      <c r="N86" s="14">
        <v>102.38</v>
      </c>
      <c r="O86" s="58">
        <v>373</v>
      </c>
      <c r="P86" s="5">
        <v>2.3E-3</v>
      </c>
      <c r="Q86" s="5">
        <v>9.0200000000000002E-2</v>
      </c>
      <c r="R86" s="77">
        <f t="shared" si="15"/>
        <v>-4.5467634219358774E-3</v>
      </c>
      <c r="S86" s="77">
        <f t="shared" si="16"/>
        <v>-1.9531250000009992E-4</v>
      </c>
      <c r="T86" s="77">
        <f t="shared" si="17"/>
        <v>0</v>
      </c>
      <c r="U86" s="78">
        <f t="shared" si="18"/>
        <v>-9.9999999999999829E-5</v>
      </c>
      <c r="V86" s="80">
        <f t="shared" si="19"/>
        <v>9.8000000000000032E-3</v>
      </c>
    </row>
    <row r="87" spans="1:22">
      <c r="A87" s="165">
        <v>76</v>
      </c>
      <c r="B87" s="137" t="s">
        <v>118</v>
      </c>
      <c r="C87" s="138" t="s">
        <v>38</v>
      </c>
      <c r="D87" s="2">
        <v>57338962.280000001</v>
      </c>
      <c r="E87" s="3">
        <f t="shared" ref="E87:E98" si="21">(D87/$D$99)</f>
        <v>2.5797518987975962E-4</v>
      </c>
      <c r="F87" s="2">
        <v>12.523901</v>
      </c>
      <c r="G87" s="2">
        <v>12.714498000000001</v>
      </c>
      <c r="H87" s="58">
        <v>56</v>
      </c>
      <c r="I87" s="5">
        <v>6.9999999999999999E-4</v>
      </c>
      <c r="J87" s="5">
        <v>7.5800000000000006E-2</v>
      </c>
      <c r="K87" s="2">
        <v>57459972.009999998</v>
      </c>
      <c r="L87" s="3">
        <f t="shared" ref="L87:L98" si="22">(K87/$K$99)</f>
        <v>2.6077557689267912E-4</v>
      </c>
      <c r="M87" s="2">
        <v>12.550331</v>
      </c>
      <c r="N87" s="2">
        <v>12.748725</v>
      </c>
      <c r="O87" s="58">
        <v>56</v>
      </c>
      <c r="P87" s="5">
        <v>6.9999999999999999E-4</v>
      </c>
      <c r="Q87" s="5">
        <v>7.6999999999999999E-2</v>
      </c>
      <c r="R87" s="77">
        <f t="shared" si="15"/>
        <v>2.1104276252694805E-3</v>
      </c>
      <c r="S87" s="77">
        <f t="shared" si="16"/>
        <v>2.6919662891920358E-3</v>
      </c>
      <c r="T87" s="77">
        <f t="shared" si="17"/>
        <v>0</v>
      </c>
      <c r="U87" s="78">
        <f t="shared" si="18"/>
        <v>0</v>
      </c>
      <c r="V87" s="80">
        <f t="shared" si="19"/>
        <v>1.1999999999999927E-3</v>
      </c>
    </row>
    <row r="88" spans="1:22">
      <c r="A88" s="165">
        <v>77</v>
      </c>
      <c r="B88" s="137" t="s">
        <v>234</v>
      </c>
      <c r="C88" s="138" t="s">
        <v>235</v>
      </c>
      <c r="D88" s="2">
        <v>300135922.25</v>
      </c>
      <c r="E88" s="3">
        <f t="shared" si="21"/>
        <v>1.3503491945683066E-3</v>
      </c>
      <c r="F88" s="2">
        <v>122.78</v>
      </c>
      <c r="G88" s="2">
        <v>122.78</v>
      </c>
      <c r="H88" s="58">
        <v>86</v>
      </c>
      <c r="I88" s="5">
        <v>0.15340000000000001</v>
      </c>
      <c r="J88" s="5">
        <v>0.17199999999999999</v>
      </c>
      <c r="K88" s="2">
        <v>301445692.38999999</v>
      </c>
      <c r="L88" s="3">
        <f t="shared" si="22"/>
        <v>1.3680771428349211E-3</v>
      </c>
      <c r="M88" s="2">
        <v>123.19</v>
      </c>
      <c r="N88" s="2">
        <v>122.78</v>
      </c>
      <c r="O88" s="58">
        <v>86</v>
      </c>
      <c r="P88" s="5">
        <v>0.20250000000000001</v>
      </c>
      <c r="Q88" s="5">
        <v>0.17249999999999999</v>
      </c>
      <c r="R88" s="77">
        <f>((K88-D88)/D88)</f>
        <v>4.3639232857605259E-3</v>
      </c>
      <c r="S88" s="77">
        <f>((N88-G88)/G88)</f>
        <v>0</v>
      </c>
      <c r="T88" s="77">
        <f>((O88-H88)/H88)</f>
        <v>0</v>
      </c>
      <c r="U88" s="78">
        <f t="shared" si="18"/>
        <v>4.9100000000000005E-2</v>
      </c>
      <c r="V88" s="80">
        <f t="shared" si="19"/>
        <v>5.0000000000000044E-4</v>
      </c>
    </row>
    <row r="89" spans="1:22">
      <c r="A89" s="165">
        <v>78</v>
      </c>
      <c r="B89" s="137" t="s">
        <v>119</v>
      </c>
      <c r="C89" s="138" t="s">
        <v>120</v>
      </c>
      <c r="D89" s="2">
        <v>7341728457.4663572</v>
      </c>
      <c r="E89" s="3">
        <f t="shared" si="21"/>
        <v>3.3031358042577362E-2</v>
      </c>
      <c r="F89" s="2">
        <v>1.08</v>
      </c>
      <c r="G89" s="2">
        <v>1.08</v>
      </c>
      <c r="H89" s="58">
        <v>4497</v>
      </c>
      <c r="I89" s="5">
        <v>0.1502</v>
      </c>
      <c r="J89" s="5">
        <v>0.1502</v>
      </c>
      <c r="K89" s="2">
        <v>7730676451.4492693</v>
      </c>
      <c r="L89" s="3">
        <f t="shared" si="22"/>
        <v>3.5084799746273536E-2</v>
      </c>
      <c r="M89" s="2">
        <v>1.08</v>
      </c>
      <c r="N89" s="2">
        <v>1.08</v>
      </c>
      <c r="O89" s="58">
        <v>4497</v>
      </c>
      <c r="P89" s="5">
        <v>0.15029999999999999</v>
      </c>
      <c r="Q89" s="5">
        <v>0.15029999999999999</v>
      </c>
      <c r="R89" s="77">
        <f t="shared" si="15"/>
        <v>5.2977714476399838E-2</v>
      </c>
      <c r="S89" s="77">
        <f t="shared" si="16"/>
        <v>0</v>
      </c>
      <c r="T89" s="77">
        <f t="shared" si="17"/>
        <v>0</v>
      </c>
      <c r="U89" s="78">
        <f t="shared" si="18"/>
        <v>9.9999999999988987E-5</v>
      </c>
      <c r="V89" s="80">
        <f t="shared" si="19"/>
        <v>9.9999999999988987E-5</v>
      </c>
    </row>
    <row r="90" spans="1:22" ht="14.25" customHeight="1">
      <c r="A90" s="165">
        <v>79</v>
      </c>
      <c r="B90" s="137" t="s">
        <v>121</v>
      </c>
      <c r="C90" s="138" t="s">
        <v>42</v>
      </c>
      <c r="D90" s="2">
        <v>15551398808.290001</v>
      </c>
      <c r="E90" s="3">
        <f t="shared" si="21"/>
        <v>6.9967695628559257E-2</v>
      </c>
      <c r="F90" s="2">
        <v>5163.34</v>
      </c>
      <c r="G90" s="2">
        <v>5163.34</v>
      </c>
      <c r="H90" s="58">
        <v>354</v>
      </c>
      <c r="I90" s="5">
        <v>1E-4</v>
      </c>
      <c r="J90" s="5">
        <v>3.0300000000000001E-2</v>
      </c>
      <c r="K90" s="2">
        <v>14857442683.120001</v>
      </c>
      <c r="L90" s="3">
        <f t="shared" si="22"/>
        <v>6.7428821339596962E-2</v>
      </c>
      <c r="M90" s="2">
        <v>5163.59</v>
      </c>
      <c r="N90" s="2">
        <v>5163.59</v>
      </c>
      <c r="O90" s="58">
        <v>343</v>
      </c>
      <c r="P90" s="5">
        <v>0</v>
      </c>
      <c r="Q90" s="5">
        <v>3.0300000000000001E-2</v>
      </c>
      <c r="R90" s="77">
        <f t="shared" si="15"/>
        <v>-4.4623389427841831E-2</v>
      </c>
      <c r="S90" s="77">
        <f t="shared" si="16"/>
        <v>4.8418271893774181E-5</v>
      </c>
      <c r="T90" s="77">
        <f t="shared" si="17"/>
        <v>-3.1073446327683617E-2</v>
      </c>
      <c r="U90" s="78">
        <f t="shared" si="18"/>
        <v>-1E-4</v>
      </c>
      <c r="V90" s="80">
        <f t="shared" si="19"/>
        <v>0</v>
      </c>
    </row>
    <row r="91" spans="1:22">
      <c r="A91" s="165">
        <v>80</v>
      </c>
      <c r="B91" s="137" t="s">
        <v>122</v>
      </c>
      <c r="C91" s="138" t="s">
        <v>42</v>
      </c>
      <c r="D91" s="2">
        <v>25470922476.990002</v>
      </c>
      <c r="E91" s="3">
        <f t="shared" si="21"/>
        <v>0.11459687795406912</v>
      </c>
      <c r="F91" s="14">
        <v>258.39</v>
      </c>
      <c r="G91" s="14">
        <v>258.36</v>
      </c>
      <c r="H91" s="58">
        <v>6512</v>
      </c>
      <c r="I91" s="5">
        <v>0</v>
      </c>
      <c r="J91" s="5">
        <v>1.01E-2</v>
      </c>
      <c r="K91" s="2">
        <v>25450457418.450001</v>
      </c>
      <c r="L91" s="3">
        <f t="shared" si="22"/>
        <v>0.11550401929057368</v>
      </c>
      <c r="M91" s="14">
        <v>258.39</v>
      </c>
      <c r="N91" s="14">
        <v>258.39</v>
      </c>
      <c r="O91" s="58">
        <v>6505</v>
      </c>
      <c r="P91" s="5">
        <v>0</v>
      </c>
      <c r="Q91" s="5">
        <v>1.01E-2</v>
      </c>
      <c r="R91" s="77">
        <f t="shared" si="15"/>
        <v>-8.0346750528916661E-4</v>
      </c>
      <c r="S91" s="77">
        <f t="shared" si="16"/>
        <v>1.161170459822446E-4</v>
      </c>
      <c r="T91" s="77">
        <f t="shared" si="17"/>
        <v>-1.0749385749385749E-3</v>
      </c>
      <c r="U91" s="78">
        <f t="shared" si="18"/>
        <v>0</v>
      </c>
      <c r="V91" s="80">
        <f t="shared" si="19"/>
        <v>0</v>
      </c>
    </row>
    <row r="92" spans="1:22" ht="12.75" customHeight="1">
      <c r="A92" s="165">
        <v>81</v>
      </c>
      <c r="B92" s="137" t="s">
        <v>123</v>
      </c>
      <c r="C92" s="138" t="s">
        <v>42</v>
      </c>
      <c r="D92" s="2">
        <v>343114186.92000002</v>
      </c>
      <c r="E92" s="3">
        <f t="shared" si="21"/>
        <v>1.5437138029964072E-3</v>
      </c>
      <c r="F92" s="2">
        <v>5949.27</v>
      </c>
      <c r="G92" s="7">
        <v>5977.81</v>
      </c>
      <c r="H92" s="58">
        <v>15</v>
      </c>
      <c r="I92" s="5">
        <v>2E-3</v>
      </c>
      <c r="J92" s="5">
        <v>0.126</v>
      </c>
      <c r="K92" s="2">
        <v>347619081.17000002</v>
      </c>
      <c r="L92" s="3">
        <f t="shared" si="22"/>
        <v>1.5776298396949009E-3</v>
      </c>
      <c r="M92" s="2">
        <v>6026.85</v>
      </c>
      <c r="N92" s="7">
        <v>6056.66</v>
      </c>
      <c r="O92" s="58">
        <v>15</v>
      </c>
      <c r="P92" s="5">
        <v>1.32E-2</v>
      </c>
      <c r="Q92" s="5">
        <v>0.14080000000000001</v>
      </c>
      <c r="R92" s="77">
        <f t="shared" si="15"/>
        <v>1.3129431605375018E-2</v>
      </c>
      <c r="S92" s="77">
        <f t="shared" si="16"/>
        <v>1.3190449345161431E-2</v>
      </c>
      <c r="T92" s="77">
        <f t="shared" si="17"/>
        <v>0</v>
      </c>
      <c r="U92" s="78">
        <f t="shared" si="18"/>
        <v>1.12E-2</v>
      </c>
      <c r="V92" s="80">
        <f t="shared" si="19"/>
        <v>1.4800000000000008E-2</v>
      </c>
    </row>
    <row r="93" spans="1:22" ht="12.75" customHeight="1">
      <c r="A93" s="165">
        <v>82</v>
      </c>
      <c r="B93" s="137" t="s">
        <v>124</v>
      </c>
      <c r="C93" s="138" t="s">
        <v>42</v>
      </c>
      <c r="D93" s="2">
        <v>11571613585.68</v>
      </c>
      <c r="E93" s="3">
        <f t="shared" si="21"/>
        <v>5.20621422725372E-2</v>
      </c>
      <c r="F93" s="14">
        <v>132.63</v>
      </c>
      <c r="G93" s="14">
        <v>132.63</v>
      </c>
      <c r="H93" s="58">
        <v>4448</v>
      </c>
      <c r="I93" s="5">
        <v>2.8E-3</v>
      </c>
      <c r="J93" s="5">
        <v>5.33E-2</v>
      </c>
      <c r="K93" s="2">
        <v>11286023100.700001</v>
      </c>
      <c r="L93" s="3">
        <f t="shared" si="22"/>
        <v>5.122033794929351E-2</v>
      </c>
      <c r="M93" s="14">
        <v>133.03</v>
      </c>
      <c r="N93" s="14">
        <v>133.03</v>
      </c>
      <c r="O93" s="58">
        <v>4440</v>
      </c>
      <c r="P93" s="5">
        <v>3.0000000000000001E-3</v>
      </c>
      <c r="Q93" s="5">
        <v>5.6500000000000002E-2</v>
      </c>
      <c r="R93" s="77">
        <f t="shared" si="15"/>
        <v>-2.4680264585867345E-2</v>
      </c>
      <c r="S93" s="77">
        <f t="shared" si="16"/>
        <v>3.0159089195506725E-3</v>
      </c>
      <c r="T93" s="77">
        <f t="shared" si="17"/>
        <v>-1.7985611510791368E-3</v>
      </c>
      <c r="U93" s="78">
        <f t="shared" si="18"/>
        <v>2.0000000000000009E-4</v>
      </c>
      <c r="V93" s="80">
        <f t="shared" si="19"/>
        <v>3.2000000000000015E-3</v>
      </c>
    </row>
    <row r="94" spans="1:22" ht="12.75" customHeight="1">
      <c r="A94" s="165">
        <v>83</v>
      </c>
      <c r="B94" s="137" t="s">
        <v>125</v>
      </c>
      <c r="C94" s="138" t="s">
        <v>42</v>
      </c>
      <c r="D94" s="2">
        <v>9491310370.1499996</v>
      </c>
      <c r="E94" s="3">
        <f t="shared" si="21"/>
        <v>4.2702596935578471E-2</v>
      </c>
      <c r="F94" s="14">
        <v>358.18</v>
      </c>
      <c r="G94" s="14">
        <v>358.69</v>
      </c>
      <c r="H94" s="58">
        <v>10204</v>
      </c>
      <c r="I94" s="5">
        <v>-1.2999999999999999E-3</v>
      </c>
      <c r="J94" s="5">
        <v>1.5100000000000001E-2</v>
      </c>
      <c r="K94" s="2">
        <v>9341591197.9400005</v>
      </c>
      <c r="L94" s="3">
        <f t="shared" si="22"/>
        <v>4.2395753922651047E-2</v>
      </c>
      <c r="M94" s="14">
        <v>359.07</v>
      </c>
      <c r="N94" s="14">
        <v>359.61</v>
      </c>
      <c r="O94" s="58">
        <v>10204</v>
      </c>
      <c r="P94" s="5">
        <v>2.5999999999999999E-3</v>
      </c>
      <c r="Q94" s="5">
        <v>1.77E-2</v>
      </c>
      <c r="R94" s="77">
        <f t="shared" si="15"/>
        <v>-1.5774341621032979E-2</v>
      </c>
      <c r="S94" s="77">
        <f t="shared" si="16"/>
        <v>2.564888901279701E-3</v>
      </c>
      <c r="T94" s="77">
        <f t="shared" si="17"/>
        <v>0</v>
      </c>
      <c r="U94" s="78">
        <f t="shared" si="18"/>
        <v>3.8999999999999998E-3</v>
      </c>
      <c r="V94" s="80">
        <f t="shared" si="19"/>
        <v>2.5999999999999999E-3</v>
      </c>
    </row>
    <row r="95" spans="1:22">
      <c r="A95" s="165">
        <v>84</v>
      </c>
      <c r="B95" s="137" t="s">
        <v>126</v>
      </c>
      <c r="C95" s="138" t="s">
        <v>45</v>
      </c>
      <c r="D95" s="2">
        <v>85695156009.229996</v>
      </c>
      <c r="E95" s="3">
        <f t="shared" si="21"/>
        <v>0.3855532654271247</v>
      </c>
      <c r="F95" s="2">
        <v>1.9027000000000001</v>
      </c>
      <c r="G95" s="2">
        <v>1.9027000000000001</v>
      </c>
      <c r="H95" s="58">
        <v>6222</v>
      </c>
      <c r="I95" s="5">
        <v>7.9799999999999996E-2</v>
      </c>
      <c r="J95" s="5">
        <v>5.4300000000000001E-2</v>
      </c>
      <c r="K95" s="2">
        <v>85809739069.460007</v>
      </c>
      <c r="L95" s="3">
        <f t="shared" si="22"/>
        <v>0.3894377847060963</v>
      </c>
      <c r="M95" s="2">
        <v>1.9055</v>
      </c>
      <c r="N95" s="2">
        <v>1.9055</v>
      </c>
      <c r="O95" s="58">
        <v>6258</v>
      </c>
      <c r="P95" s="5">
        <v>7.9699999999999993E-2</v>
      </c>
      <c r="Q95" s="5">
        <v>5.4899999999999997E-2</v>
      </c>
      <c r="R95" s="77">
        <f t="shared" si="15"/>
        <v>1.3371007833589748E-3</v>
      </c>
      <c r="S95" s="77">
        <f t="shared" si="16"/>
        <v>1.4715929994218288E-3</v>
      </c>
      <c r="T95" s="77">
        <f t="shared" si="17"/>
        <v>5.7859209257473485E-3</v>
      </c>
      <c r="U95" s="78">
        <f t="shared" si="18"/>
        <v>-1.0000000000000286E-4</v>
      </c>
      <c r="V95" s="80">
        <f t="shared" si="19"/>
        <v>5.9999999999999637E-4</v>
      </c>
    </row>
    <row r="96" spans="1:22">
      <c r="A96" s="165">
        <v>85</v>
      </c>
      <c r="B96" s="137" t="s">
        <v>239</v>
      </c>
      <c r="C96" s="137" t="s">
        <v>240</v>
      </c>
      <c r="D96" s="2">
        <v>87188574.5</v>
      </c>
      <c r="E96" s="3">
        <f t="shared" si="21"/>
        <v>3.9227234270733418E-4</v>
      </c>
      <c r="F96" s="2">
        <v>107.23293283840817</v>
      </c>
      <c r="G96" s="2">
        <v>107.23293283840817</v>
      </c>
      <c r="H96" s="58">
        <v>56</v>
      </c>
      <c r="I96" s="5">
        <v>1.9687356938572964E-3</v>
      </c>
      <c r="J96" s="5">
        <v>5.5452640659929386E-2</v>
      </c>
      <c r="K96" s="2">
        <v>87319225.049999997</v>
      </c>
      <c r="L96" s="3">
        <f t="shared" si="22"/>
        <v>3.9628841591277737E-4</v>
      </c>
      <c r="M96" s="2">
        <v>107.39361950789204</v>
      </c>
      <c r="N96" s="2">
        <v>107.39361950789204</v>
      </c>
      <c r="O96" s="58">
        <v>56</v>
      </c>
      <c r="P96" s="5">
        <v>1.4984824645802451E-3</v>
      </c>
      <c r="Q96" s="5">
        <v>5.7034217934153197E-2</v>
      </c>
      <c r="R96" s="77">
        <f>((K96-D96)/D96)</f>
        <v>1.4984824645802304E-3</v>
      </c>
      <c r="S96" s="77">
        <f>((N96-G96)/G96)</f>
        <v>1.4984824645802451E-3</v>
      </c>
      <c r="T96" s="77">
        <f>((O96-H96)/H96)</f>
        <v>0</v>
      </c>
      <c r="U96" s="78">
        <f>P96-I96</f>
        <v>-4.7025322927705124E-4</v>
      </c>
      <c r="V96" s="80">
        <f>Q96-J96</f>
        <v>1.581577274223811E-3</v>
      </c>
    </row>
    <row r="97" spans="1:28">
      <c r="A97" s="165">
        <v>86</v>
      </c>
      <c r="B97" s="137" t="s">
        <v>260</v>
      </c>
      <c r="C97" s="138" t="s">
        <v>259</v>
      </c>
      <c r="D97" s="2">
        <v>230622780.49000001</v>
      </c>
      <c r="E97" s="3">
        <f t="shared" si="21"/>
        <v>1.0376008428087283E-3</v>
      </c>
      <c r="F97" s="2">
        <v>0.97330000000000005</v>
      </c>
      <c r="G97" s="2">
        <v>0.97330000000000005</v>
      </c>
      <c r="H97" s="58">
        <v>298</v>
      </c>
      <c r="I97" s="5">
        <v>4.705E-3</v>
      </c>
      <c r="J97" s="5">
        <v>-6.4893999999999993E-2</v>
      </c>
      <c r="K97" s="2">
        <v>231563905.25</v>
      </c>
      <c r="L97" s="3">
        <f t="shared" si="22"/>
        <v>1.0509265644713709E-3</v>
      </c>
      <c r="M97" s="2">
        <v>0.97689999999999999</v>
      </c>
      <c r="N97" s="2">
        <v>0.97689999999999999</v>
      </c>
      <c r="O97" s="58">
        <v>301</v>
      </c>
      <c r="P97" s="5">
        <v>3.6779999999999998E-3</v>
      </c>
      <c r="Q97" s="5">
        <v>-6.1455000000000003E-2</v>
      </c>
      <c r="R97" s="77">
        <f>((K97-D97)/D97)</f>
        <v>4.0807970400859785E-3</v>
      </c>
      <c r="S97" s="77">
        <f>((N97-G97)/G97)</f>
        <v>3.6987568067398916E-3</v>
      </c>
      <c r="T97" s="77">
        <f>((O97-H97)/H97)</f>
        <v>1.0067114093959731E-2</v>
      </c>
      <c r="U97" s="78">
        <f>P97-I97</f>
        <v>-1.0270000000000001E-3</v>
      </c>
      <c r="V97" s="80">
        <f>Q97-J97</f>
        <v>3.4389999999999907E-3</v>
      </c>
    </row>
    <row r="98" spans="1:28">
      <c r="A98" s="165">
        <v>87</v>
      </c>
      <c r="B98" s="137" t="s">
        <v>127</v>
      </c>
      <c r="C98" s="138" t="s">
        <v>91</v>
      </c>
      <c r="D98" s="2">
        <v>2554176819.21</v>
      </c>
      <c r="E98" s="3">
        <f t="shared" si="21"/>
        <v>1.1491562172062738E-2</v>
      </c>
      <c r="F98" s="14">
        <v>26.971</v>
      </c>
      <c r="G98" s="14">
        <v>26.971</v>
      </c>
      <c r="H98" s="58">
        <v>1312</v>
      </c>
      <c r="I98" s="5">
        <v>0.13150000000000001</v>
      </c>
      <c r="J98" s="5">
        <v>0.13150000000000001</v>
      </c>
      <c r="K98" s="2">
        <v>2546289296.7600002</v>
      </c>
      <c r="L98" s="3">
        <f t="shared" si="22"/>
        <v>1.1556045662233925E-2</v>
      </c>
      <c r="M98" s="14">
        <v>27.0382</v>
      </c>
      <c r="N98" s="14">
        <v>27.0382</v>
      </c>
      <c r="O98" s="58">
        <v>1314</v>
      </c>
      <c r="P98" s="5">
        <v>0.13189999999999999</v>
      </c>
      <c r="Q98" s="5">
        <v>0.13189999999999999</v>
      </c>
      <c r="R98" s="77">
        <f t="shared" si="15"/>
        <v>-3.0880878687323606E-3</v>
      </c>
      <c r="S98" s="77">
        <f t="shared" si="16"/>
        <v>2.4915650142745801E-3</v>
      </c>
      <c r="T98" s="77">
        <f t="shared" si="17"/>
        <v>1.5243902439024391E-3</v>
      </c>
      <c r="U98" s="78">
        <f t="shared" si="18"/>
        <v>3.999999999999837E-4</v>
      </c>
      <c r="V98" s="80">
        <f t="shared" si="19"/>
        <v>3.999999999999837E-4</v>
      </c>
    </row>
    <row r="99" spans="1:28">
      <c r="A99" s="72"/>
      <c r="B99" s="130"/>
      <c r="C99" s="69" t="s">
        <v>46</v>
      </c>
      <c r="D99" s="57">
        <f>SUM(D64:D98)</f>
        <v>222265413610.996</v>
      </c>
      <c r="E99" s="97">
        <f>(D99/$D$199)</f>
        <v>6.8359683071978025E-2</v>
      </c>
      <c r="F99" s="30"/>
      <c r="G99" s="11"/>
      <c r="H99" s="63">
        <f>SUM(H64:H98)</f>
        <v>50162</v>
      </c>
      <c r="I99" s="12"/>
      <c r="J99" s="12"/>
      <c r="K99" s="57">
        <f>SUM(K64:K98)</f>
        <v>220342612965.04529</v>
      </c>
      <c r="L99" s="97">
        <f>(K99/$K$199)</f>
        <v>6.7908650265164641E-2</v>
      </c>
      <c r="M99" s="30"/>
      <c r="N99" s="11"/>
      <c r="O99" s="63">
        <f>SUM(O64:O98)</f>
        <v>50182</v>
      </c>
      <c r="P99" s="12"/>
      <c r="Q99" s="12"/>
      <c r="R99" s="77">
        <f t="shared" si="15"/>
        <v>-8.6509215028657462E-3</v>
      </c>
      <c r="S99" s="77" t="e">
        <f t="shared" si="16"/>
        <v>#DIV/0!</v>
      </c>
      <c r="T99" s="77">
        <f t="shared" si="17"/>
        <v>3.9870818547904787E-4</v>
      </c>
      <c r="U99" s="78">
        <f t="shared" si="18"/>
        <v>0</v>
      </c>
      <c r="V99" s="80">
        <f t="shared" si="19"/>
        <v>0</v>
      </c>
    </row>
    <row r="100" spans="1:28" ht="8.25" customHeight="1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</row>
    <row r="101" spans="1:28" ht="15" customHeight="1">
      <c r="A101" s="173" t="s">
        <v>128</v>
      </c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</row>
    <row r="102" spans="1:28">
      <c r="A102" s="177" t="s">
        <v>228</v>
      </c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  <c r="S102" s="177"/>
      <c r="T102" s="177"/>
      <c r="U102" s="177"/>
      <c r="V102" s="177"/>
      <c r="Z102" s="111"/>
      <c r="AB102" s="100"/>
    </row>
    <row r="103" spans="1:28" ht="16.5" customHeight="1">
      <c r="A103" s="165">
        <v>88</v>
      </c>
      <c r="B103" s="137" t="s">
        <v>129</v>
      </c>
      <c r="C103" s="138" t="s">
        <v>17</v>
      </c>
      <c r="D103" s="2">
        <f>1823973.61*1619.232</f>
        <v>2953436436.4675202</v>
      </c>
      <c r="E103" s="3">
        <f>(D103/$D$133)</f>
        <v>1.8432850083124502E-3</v>
      </c>
      <c r="F103" s="2">
        <f>109.4275*1619.232</f>
        <v>177188.50967999999</v>
      </c>
      <c r="G103" s="2">
        <f>109.4275*1619.232</f>
        <v>177188.50967999999</v>
      </c>
      <c r="H103" s="58">
        <v>241</v>
      </c>
      <c r="I103" s="5">
        <v>-5.9999999999999995E-4</v>
      </c>
      <c r="J103" s="5">
        <v>3.3599999999999998E-2</v>
      </c>
      <c r="K103" s="2">
        <f>1823089.69*1568.657</f>
        <v>2859802403.8463297</v>
      </c>
      <c r="L103" s="3">
        <f t="shared" ref="L103:L117" si="23">(K103/$K$133)</f>
        <v>1.8160682806500012E-3</v>
      </c>
      <c r="M103" s="2">
        <f>109.5564*1568.657</f>
        <v>171856.41375479999</v>
      </c>
      <c r="N103" s="2">
        <f>109.5564*1568.657</f>
        <v>171856.41375479999</v>
      </c>
      <c r="O103" s="58">
        <v>242</v>
      </c>
      <c r="P103" s="5">
        <v>1.1999999999999999E-3</v>
      </c>
      <c r="Q103" s="5">
        <v>3.4700000000000002E-2</v>
      </c>
      <c r="R103" s="78">
        <f>((K103-D103)/D103)</f>
        <v>-3.1703418927539959E-2</v>
      </c>
      <c r="S103" s="78">
        <f>((N103-G103)/G103)</f>
        <v>-3.0092786122698899E-2</v>
      </c>
      <c r="T103" s="78">
        <f>((O103-H103)/H103)</f>
        <v>4.1493775933609959E-3</v>
      </c>
      <c r="U103" s="78">
        <f>P103-I103</f>
        <v>1.8E-3</v>
      </c>
      <c r="V103" s="80">
        <f>Q103-J103</f>
        <v>1.1000000000000038E-3</v>
      </c>
      <c r="X103" s="111"/>
      <c r="Y103" s="113"/>
      <c r="Z103" s="111"/>
      <c r="AA103" s="101"/>
    </row>
    <row r="104" spans="1:28" ht="16.5" customHeight="1">
      <c r="A104" s="165">
        <v>89</v>
      </c>
      <c r="B104" s="137" t="s">
        <v>266</v>
      </c>
      <c r="C104" s="138" t="s">
        <v>50</v>
      </c>
      <c r="D104" s="2">
        <f>941646.21*1619.232</f>
        <v>1524743675.9107199</v>
      </c>
      <c r="E104" s="3">
        <f>(D104/$D$133)</f>
        <v>9.5161592937040187E-4</v>
      </c>
      <c r="F104" s="2">
        <f>100*1619.232</f>
        <v>161923.20000000001</v>
      </c>
      <c r="G104" s="2">
        <f>100*1619.232</f>
        <v>161923.20000000001</v>
      </c>
      <c r="H104" s="58">
        <v>15</v>
      </c>
      <c r="I104" s="5">
        <v>-1.9400000000000001E-3</v>
      </c>
      <c r="J104" s="5">
        <v>6.7646999999999999E-2</v>
      </c>
      <c r="K104" s="2">
        <f>952871.17*1568.657</f>
        <v>1494728030.91869</v>
      </c>
      <c r="L104" s="3">
        <f t="shared" si="23"/>
        <v>9.4920130198468465E-4</v>
      </c>
      <c r="M104" s="2">
        <f>100*1568.657</f>
        <v>156865.69999999998</v>
      </c>
      <c r="N104" s="2">
        <f>100*1568.657</f>
        <v>156865.69999999998</v>
      </c>
      <c r="O104" s="58">
        <v>15</v>
      </c>
      <c r="P104" s="5">
        <v>9.3980000000000001E-3</v>
      </c>
      <c r="Q104" s="5">
        <v>7.7045000000000002E-2</v>
      </c>
      <c r="R104" s="78">
        <f>((K104-D104)/D104)</f>
        <v>-1.9685698957958783E-2</v>
      </c>
      <c r="S104" s="78">
        <f>((N104-G104)/G104)</f>
        <v>-3.1233943005079128E-2</v>
      </c>
      <c r="T104" s="78">
        <f>((O104-H104)/H104)</f>
        <v>0</v>
      </c>
      <c r="U104" s="78">
        <f>P104-I104</f>
        <v>1.1338000000000001E-2</v>
      </c>
      <c r="V104" s="80">
        <f>Q104-J104</f>
        <v>9.3980000000000036E-3</v>
      </c>
      <c r="X104" s="111"/>
      <c r="Y104" s="113"/>
      <c r="Z104" s="111"/>
      <c r="AA104" s="101"/>
    </row>
    <row r="105" spans="1:28">
      <c r="A105" s="165">
        <v>90</v>
      </c>
      <c r="B105" s="137" t="s">
        <v>130</v>
      </c>
      <c r="C105" s="138" t="s">
        <v>21</v>
      </c>
      <c r="D105" s="2">
        <f>10953536.81*1600.36</f>
        <v>17529602169.251598</v>
      </c>
      <c r="E105" s="3">
        <f>(D105/$D$133)</f>
        <v>1.0940493752054454E-2</v>
      </c>
      <c r="F105" s="2">
        <f>1.1359*1600.36</f>
        <v>1817.8489239999997</v>
      </c>
      <c r="G105" s="2">
        <f>1.1359*1600.36</f>
        <v>1817.8489239999997</v>
      </c>
      <c r="H105" s="58">
        <v>310</v>
      </c>
      <c r="I105" s="5">
        <v>4.6100000000000002E-2</v>
      </c>
      <c r="J105" s="5">
        <v>-5.79E-2</v>
      </c>
      <c r="K105" s="2">
        <f>11070725.78*1568.157</f>
        <v>17360636126.987457</v>
      </c>
      <c r="L105" s="3">
        <f t="shared" si="23"/>
        <v>1.1024573082295569E-2</v>
      </c>
      <c r="M105" s="2">
        <f>1.1372*1568.157</f>
        <v>1783.3081404</v>
      </c>
      <c r="N105" s="2">
        <f>1.1372*1568.157</f>
        <v>1783.3081404</v>
      </c>
      <c r="O105" s="58">
        <v>311</v>
      </c>
      <c r="P105" s="5">
        <v>5.9799999999999999E-2</v>
      </c>
      <c r="Q105" s="5">
        <v>-5.4300000000000001E-2</v>
      </c>
      <c r="R105" s="78">
        <f t="shared" ref="R105:R117" si="24">((K105-D105)/D105)</f>
        <v>-9.6388977132933328E-3</v>
      </c>
      <c r="S105" s="78">
        <f t="shared" ref="S105:S117" si="25">((N105-G105)/G105)</f>
        <v>-1.900090989079339E-2</v>
      </c>
      <c r="T105" s="78">
        <f t="shared" ref="T105:T117" si="26">((O105-H105)/H105)</f>
        <v>3.2258064516129032E-3</v>
      </c>
      <c r="U105" s="78">
        <f t="shared" ref="U105:U117" si="27">P105-I105</f>
        <v>1.3699999999999997E-2</v>
      </c>
      <c r="V105" s="80">
        <f t="shared" ref="V105:V117" si="28">Q105-J105</f>
        <v>3.599999999999999E-3</v>
      </c>
    </row>
    <row r="106" spans="1:28">
      <c r="A106" s="165">
        <v>91</v>
      </c>
      <c r="B106" s="137" t="s">
        <v>265</v>
      </c>
      <c r="C106" s="138" t="s">
        <v>99</v>
      </c>
      <c r="D106" s="2">
        <f>1796092.96*1619.232</f>
        <v>2908291195.8067198</v>
      </c>
      <c r="E106" s="3">
        <f>(D106/$D$133)</f>
        <v>1.8151091707426254E-3</v>
      </c>
      <c r="F106" s="2">
        <f>1.0334*1619.232</f>
        <v>1673.3143488000001</v>
      </c>
      <c r="G106" s="2">
        <f>1.0334*1619.232</f>
        <v>1673.3143488000001</v>
      </c>
      <c r="H106" s="58">
        <v>222</v>
      </c>
      <c r="I106" s="5">
        <v>1.4E-3</v>
      </c>
      <c r="J106" s="5">
        <v>3.3399999999999999E-2</v>
      </c>
      <c r="K106" s="2">
        <f>1904199.72*1568.657</f>
        <v>2987036220.1760397</v>
      </c>
      <c r="L106" s="3">
        <f t="shared" si="23"/>
        <v>1.8968659251836445E-3</v>
      </c>
      <c r="M106" s="2">
        <f>1.0349*1568.657</f>
        <v>1623.4031292999998</v>
      </c>
      <c r="N106" s="2">
        <f>1.0349*1568.657</f>
        <v>1623.4031292999998</v>
      </c>
      <c r="O106" s="58">
        <v>222</v>
      </c>
      <c r="P106" s="5">
        <v>1.5E-3</v>
      </c>
      <c r="Q106" s="5">
        <v>3.49E-2</v>
      </c>
      <c r="R106" s="78">
        <f>((K106-D106)/D106)</f>
        <v>2.7076045370854666E-2</v>
      </c>
      <c r="S106" s="78">
        <f t="shared" ref="S106:T109" si="29">((N106-G106)/G106)</f>
        <v>-2.982776041799531E-2</v>
      </c>
      <c r="T106" s="78">
        <f t="shared" si="29"/>
        <v>0</v>
      </c>
      <c r="U106" s="78">
        <f>P106-I106</f>
        <v>1.0000000000000005E-4</v>
      </c>
      <c r="V106" s="80">
        <f>Q106-J106</f>
        <v>1.5000000000000013E-3</v>
      </c>
    </row>
    <row r="107" spans="1:28">
      <c r="A107" s="165">
        <v>92</v>
      </c>
      <c r="B107" s="137" t="s">
        <v>270</v>
      </c>
      <c r="C107" s="138" t="s">
        <v>267</v>
      </c>
      <c r="D107" s="2">
        <f>379581.09*1619.232</f>
        <v>614629847.52288008</v>
      </c>
      <c r="E107" s="3">
        <f>(D107/$D$133)</f>
        <v>3.8359992096371337E-4</v>
      </c>
      <c r="F107" s="2">
        <f>1.04*1619.232</f>
        <v>1684.00128</v>
      </c>
      <c r="G107" s="2">
        <f>1.04*1619.232</f>
        <v>1684.00128</v>
      </c>
      <c r="H107" s="58">
        <v>15</v>
      </c>
      <c r="I107" s="5">
        <v>-0.57569999999999999</v>
      </c>
      <c r="J107" s="5">
        <v>4.4600000000000001E-2</v>
      </c>
      <c r="K107" s="2">
        <f>377628.93*1568.657</f>
        <v>592370264.44700992</v>
      </c>
      <c r="L107" s="3">
        <f t="shared" si="23"/>
        <v>3.7617453786862215E-4</v>
      </c>
      <c r="M107" s="2">
        <f>1.03*1568.657</f>
        <v>1615.7167099999999</v>
      </c>
      <c r="N107" s="2">
        <f>1.04*1568.657</f>
        <v>1631.40328</v>
      </c>
      <c r="O107" s="58">
        <v>15</v>
      </c>
      <c r="P107" s="5">
        <v>-0.39</v>
      </c>
      <c r="Q107" s="5">
        <v>3.5000000000000003E-2</v>
      </c>
      <c r="R107" s="78">
        <f>((K107-D107)/D107)</f>
        <v>-3.6216241638088564E-2</v>
      </c>
      <c r="S107" s="78">
        <f t="shared" si="29"/>
        <v>-3.1233943005078927E-2</v>
      </c>
      <c r="T107" s="78">
        <f t="shared" si="29"/>
        <v>0</v>
      </c>
      <c r="U107" s="78">
        <f>P107-I107</f>
        <v>0.18569999999999998</v>
      </c>
      <c r="V107" s="80">
        <f>Q107-J107</f>
        <v>-9.5999999999999974E-3</v>
      </c>
    </row>
    <row r="108" spans="1:28">
      <c r="A108" s="165">
        <v>93</v>
      </c>
      <c r="B108" s="137" t="s">
        <v>241</v>
      </c>
      <c r="C108" s="138" t="s">
        <v>25</v>
      </c>
      <c r="D108" s="2">
        <f>507441.89*1602.364</f>
        <v>813106616.62796009</v>
      </c>
      <c r="E108" s="3">
        <v>0</v>
      </c>
      <c r="F108" s="2">
        <f>1.2019*1602.364</f>
        <v>1925.8812915999999</v>
      </c>
      <c r="G108" s="2">
        <f>1.2019*1602.364</f>
        <v>1925.8812915999999</v>
      </c>
      <c r="H108" s="58">
        <v>35</v>
      </c>
      <c r="I108" s="5">
        <v>2.5000000000000001E-4</v>
      </c>
      <c r="J108" s="5">
        <v>0.1197</v>
      </c>
      <c r="K108" s="2">
        <f>508651.42*1568.657</f>
        <v>797899610.5429399</v>
      </c>
      <c r="L108" s="3">
        <f t="shared" si="23"/>
        <v>5.0669241060190609E-4</v>
      </c>
      <c r="M108" s="2">
        <f>1.2019*1568.657</f>
        <v>1885.3688482999999</v>
      </c>
      <c r="N108" s="2">
        <f>1.2019*1568.657</f>
        <v>1885.3688482999999</v>
      </c>
      <c r="O108" s="58">
        <v>35</v>
      </c>
      <c r="P108" s="5">
        <v>2.5000000000000001E-4</v>
      </c>
      <c r="Q108" s="5">
        <v>9.4299999999999995E-2</v>
      </c>
      <c r="R108" s="78">
        <f>((K108-D108)/D108)</f>
        <v>-1.8702351910608307E-2</v>
      </c>
      <c r="S108" s="78">
        <f t="shared" si="29"/>
        <v>-2.1035794613458659E-2</v>
      </c>
      <c r="T108" s="78">
        <f t="shared" si="29"/>
        <v>0</v>
      </c>
      <c r="U108" s="78">
        <f>P108-I108</f>
        <v>0</v>
      </c>
      <c r="V108" s="80">
        <f t="shared" si="28"/>
        <v>-2.5400000000000006E-2</v>
      </c>
    </row>
    <row r="109" spans="1:28">
      <c r="A109" s="165">
        <v>94</v>
      </c>
      <c r="B109" s="137" t="s">
        <v>138</v>
      </c>
      <c r="C109" s="138" t="s">
        <v>64</v>
      </c>
      <c r="D109" s="2">
        <f>433380.12*1619.232</f>
        <v>701742958.46783996</v>
      </c>
      <c r="E109" s="3">
        <f t="shared" ref="E109:E117" si="30">(D109/$D$133)</f>
        <v>4.3796855048612826E-4</v>
      </c>
      <c r="F109" s="2">
        <f>105.35*1619.232</f>
        <v>170586.0912</v>
      </c>
      <c r="G109" s="2">
        <f>105.68*1619.232</f>
        <v>171120.43776</v>
      </c>
      <c r="H109" s="58">
        <v>43</v>
      </c>
      <c r="I109" s="5">
        <v>2.2700000000000001E-2</v>
      </c>
      <c r="J109" s="5">
        <v>6.4799999999999996E-2</v>
      </c>
      <c r="K109" s="2">
        <f>430222.98 *1568.657</f>
        <v>674872289.13785994</v>
      </c>
      <c r="L109" s="3">
        <f t="shared" si="23"/>
        <v>4.2856602824884599E-4</v>
      </c>
      <c r="M109" s="2">
        <f>105.44*1568.657</f>
        <v>165399.19407999999</v>
      </c>
      <c r="N109" s="2">
        <f>105.86*1568.657</f>
        <v>166058.03002000001</v>
      </c>
      <c r="O109" s="58">
        <v>43</v>
      </c>
      <c r="P109" s="5">
        <v>1.2999999999999999E-3</v>
      </c>
      <c r="Q109" s="5">
        <v>6.6100000000000006E-2</v>
      </c>
      <c r="R109" s="78">
        <f>((K109-D109)/D109)</f>
        <v>-3.8291327338215775E-2</v>
      </c>
      <c r="S109" s="78">
        <f t="shared" si="29"/>
        <v>-2.9583887268335114E-2</v>
      </c>
      <c r="T109" s="78">
        <f t="shared" si="29"/>
        <v>0</v>
      </c>
      <c r="U109" s="78">
        <f>P109-I109</f>
        <v>-2.1400000000000002E-2</v>
      </c>
      <c r="V109" s="80">
        <f>Q109-J109</f>
        <v>1.3000000000000095E-3</v>
      </c>
    </row>
    <row r="110" spans="1:28">
      <c r="A110" s="165">
        <v>95</v>
      </c>
      <c r="B110" s="137" t="s">
        <v>131</v>
      </c>
      <c r="C110" s="138" t="s">
        <v>67</v>
      </c>
      <c r="D110" s="2">
        <v>4840298598.8555994</v>
      </c>
      <c r="E110" s="3">
        <f t="shared" si="30"/>
        <v>3.0209046427616942E-3</v>
      </c>
      <c r="F110" s="2">
        <v>172748.00216999999</v>
      </c>
      <c r="G110" s="2">
        <v>172748.00216999999</v>
      </c>
      <c r="H110" s="58">
        <v>51</v>
      </c>
      <c r="I110" s="5">
        <v>9.8217147219489646E-4</v>
      </c>
      <c r="J110" s="5">
        <v>0.13647968652010123</v>
      </c>
      <c r="K110" s="2">
        <v>4795364981.3025599</v>
      </c>
      <c r="L110" s="3">
        <f t="shared" si="23"/>
        <v>3.0452139717661851E-3</v>
      </c>
      <c r="M110" s="2">
        <v>171144.29638260001</v>
      </c>
      <c r="N110" s="2">
        <v>171144.29638260001</v>
      </c>
      <c r="O110" s="58">
        <v>51</v>
      </c>
      <c r="P110" s="5">
        <v>1.2078478633325116E-3</v>
      </c>
      <c r="Q110" s="5">
        <v>0.14168945067725502</v>
      </c>
      <c r="R110" s="78">
        <f t="shared" si="24"/>
        <v>-9.2832325600043127E-3</v>
      </c>
      <c r="S110" s="78">
        <f t="shared" si="25"/>
        <v>-9.2834983169402616E-3</v>
      </c>
      <c r="T110" s="78">
        <f t="shared" si="26"/>
        <v>0</v>
      </c>
      <c r="U110" s="78">
        <f t="shared" si="27"/>
        <v>2.2567639113761509E-4</v>
      </c>
      <c r="V110" s="80">
        <f t="shared" si="28"/>
        <v>5.2097641571537956E-3</v>
      </c>
      <c r="X110" s="105"/>
    </row>
    <row r="111" spans="1:28">
      <c r="A111" s="165">
        <v>96</v>
      </c>
      <c r="B111" s="137" t="s">
        <v>132</v>
      </c>
      <c r="C111" s="138" t="s">
        <v>27</v>
      </c>
      <c r="D111" s="2">
        <v>56874720935.339996</v>
      </c>
      <c r="E111" s="3">
        <f t="shared" si="30"/>
        <v>3.5496386229140163E-2</v>
      </c>
      <c r="F111" s="2">
        <v>209460.37</v>
      </c>
      <c r="G111" s="2">
        <v>209460.37</v>
      </c>
      <c r="H111" s="58">
        <v>2152</v>
      </c>
      <c r="I111" s="5">
        <v>1.2999999999999999E-3</v>
      </c>
      <c r="J111" s="5">
        <v>4.53E-2</v>
      </c>
      <c r="K111" s="2">
        <v>55456177722.370003</v>
      </c>
      <c r="L111" s="3">
        <f t="shared" si="23"/>
        <v>3.5216490898892581E-2</v>
      </c>
      <c r="M111" s="2">
        <v>204205.22</v>
      </c>
      <c r="N111" s="2">
        <v>204205.22</v>
      </c>
      <c r="O111" s="58">
        <v>2153</v>
      </c>
      <c r="P111" s="5">
        <v>1.5E-3</v>
      </c>
      <c r="Q111" s="5">
        <v>4.6600000000000003E-2</v>
      </c>
      <c r="R111" s="78">
        <f t="shared" si="24"/>
        <v>-2.494154150809309E-2</v>
      </c>
      <c r="S111" s="78">
        <f t="shared" si="25"/>
        <v>-2.5088994161520838E-2</v>
      </c>
      <c r="T111" s="78">
        <f t="shared" si="26"/>
        <v>4.6468401486988845E-4</v>
      </c>
      <c r="U111" s="78">
        <f t="shared" si="27"/>
        <v>2.0000000000000009E-4</v>
      </c>
      <c r="V111" s="80">
        <f t="shared" si="28"/>
        <v>1.3000000000000025E-3</v>
      </c>
    </row>
    <row r="112" spans="1:28">
      <c r="A112" s="165">
        <v>97</v>
      </c>
      <c r="B112" s="181" t="s">
        <v>133</v>
      </c>
      <c r="C112" s="181" t="s">
        <v>27</v>
      </c>
      <c r="D112" s="2">
        <v>87355987634.199997</v>
      </c>
      <c r="E112" s="3">
        <f t="shared" si="30"/>
        <v>5.4520212591756399E-2</v>
      </c>
      <c r="F112" s="2">
        <v>190977.15</v>
      </c>
      <c r="G112" s="2">
        <v>190977.15</v>
      </c>
      <c r="H112" s="58">
        <v>459</v>
      </c>
      <c r="I112" s="5">
        <v>1.4E-3</v>
      </c>
      <c r="J112" s="5">
        <v>5.5599999999999997E-2</v>
      </c>
      <c r="K112" s="2">
        <v>85925763812.529999</v>
      </c>
      <c r="L112" s="3">
        <f t="shared" si="23"/>
        <v>5.4565676964493021E-2</v>
      </c>
      <c r="M112" s="2">
        <v>186243.6</v>
      </c>
      <c r="N112" s="2">
        <v>186243.6</v>
      </c>
      <c r="O112" s="58">
        <v>462</v>
      </c>
      <c r="P112" s="5">
        <v>1.8E-3</v>
      </c>
      <c r="Q112" s="5">
        <v>5.7500000000000002E-2</v>
      </c>
      <c r="R112" s="78">
        <f t="shared" si="24"/>
        <v>-1.6372361648053342E-2</v>
      </c>
      <c r="S112" s="78">
        <f t="shared" si="25"/>
        <v>-2.4785949523280604E-2</v>
      </c>
      <c r="T112" s="78">
        <f t="shared" si="26"/>
        <v>6.5359477124183009E-3</v>
      </c>
      <c r="U112" s="78">
        <f t="shared" si="27"/>
        <v>3.9999999999999996E-4</v>
      </c>
      <c r="V112" s="80">
        <f t="shared" si="28"/>
        <v>1.9000000000000059E-3</v>
      </c>
    </row>
    <row r="113" spans="1:24">
      <c r="A113" s="165">
        <v>98</v>
      </c>
      <c r="B113" s="137" t="s">
        <v>134</v>
      </c>
      <c r="C113" s="138" t="s">
        <v>31</v>
      </c>
      <c r="D113" s="2">
        <f>98035.2993*1619.232</f>
        <v>158741893.75613761</v>
      </c>
      <c r="E113" s="3">
        <f t="shared" si="30"/>
        <v>9.9073252208464825E-5</v>
      </c>
      <c r="F113" s="2">
        <f>113.4143*1619.232</f>
        <v>183644.06381759999</v>
      </c>
      <c r="G113" s="2">
        <f>113.4143*1619.232</f>
        <v>183644.06381759999</v>
      </c>
      <c r="H113" s="58">
        <v>4</v>
      </c>
      <c r="I113" s="5">
        <v>2E-3</v>
      </c>
      <c r="J113" s="5">
        <v>-1.03E-2</v>
      </c>
      <c r="K113" s="2">
        <f>98251.0493*1568.657</f>
        <v>154122196.24179009</v>
      </c>
      <c r="L113" s="3">
        <f t="shared" si="23"/>
        <v>9.7872647271846243E-5</v>
      </c>
      <c r="M113" s="2">
        <f>113.6649*1568.657</f>
        <v>178301.24103929999</v>
      </c>
      <c r="N113" s="2">
        <f>113.6649*1568.657</f>
        <v>178301.24103929999</v>
      </c>
      <c r="O113" s="58">
        <v>4</v>
      </c>
      <c r="P113" s="5">
        <v>2.2000000000000001E-3</v>
      </c>
      <c r="Q113" s="5">
        <v>-8.0999999999999996E-3</v>
      </c>
      <c r="R113" s="78">
        <f t="shared" si="24"/>
        <v>-2.910194281444313E-2</v>
      </c>
      <c r="S113" s="78">
        <f t="shared" si="25"/>
        <v>-2.9093359552349228E-2</v>
      </c>
      <c r="T113" s="78">
        <f t="shared" si="26"/>
        <v>0</v>
      </c>
      <c r="U113" s="78">
        <f t="shared" si="27"/>
        <v>2.0000000000000009E-4</v>
      </c>
      <c r="V113" s="80">
        <f t="shared" si="28"/>
        <v>2.2000000000000006E-3</v>
      </c>
    </row>
    <row r="114" spans="1:24">
      <c r="A114" s="165">
        <v>99</v>
      </c>
      <c r="B114" s="137" t="s">
        <v>135</v>
      </c>
      <c r="C114" s="138" t="s">
        <v>34</v>
      </c>
      <c r="D114" s="2">
        <f>10350274.32*1619.232</f>
        <v>16759495387.72224</v>
      </c>
      <c r="E114" s="3">
        <f t="shared" si="30"/>
        <v>1.0459858290371504E-2</v>
      </c>
      <c r="F114" s="2">
        <f>1.36*1619.232</f>
        <v>2202.1555200000003</v>
      </c>
      <c r="G114" s="2">
        <f>1.36*1619.232</f>
        <v>2202.1555200000003</v>
      </c>
      <c r="H114" s="59">
        <v>112</v>
      </c>
      <c r="I114" s="12">
        <v>6.9999999999999999E-4</v>
      </c>
      <c r="J114" s="12">
        <v>4.6899999999999997E-2</v>
      </c>
      <c r="K114" s="2">
        <f>10103508.88*1568.657</f>
        <v>15848939929.17416</v>
      </c>
      <c r="L114" s="3">
        <f t="shared" si="23"/>
        <v>1.0064596438057648E-2</v>
      </c>
      <c r="M114" s="2">
        <f>1.36*1568.657</f>
        <v>2133.3735200000001</v>
      </c>
      <c r="N114" s="2">
        <f>1.36*1568.657</f>
        <v>2133.3735200000001</v>
      </c>
      <c r="O114" s="59">
        <v>111</v>
      </c>
      <c r="P114" s="12">
        <v>8.9999999999999998E-4</v>
      </c>
      <c r="Q114" s="12">
        <v>4.6899999999999997E-2</v>
      </c>
      <c r="R114" s="78">
        <f t="shared" si="24"/>
        <v>-5.4330720435362273E-2</v>
      </c>
      <c r="S114" s="78">
        <f t="shared" si="25"/>
        <v>-3.1233943005079017E-2</v>
      </c>
      <c r="T114" s="78">
        <f t="shared" si="26"/>
        <v>-8.9285714285714281E-3</v>
      </c>
      <c r="U114" s="78">
        <f t="shared" si="27"/>
        <v>1.9999999999999998E-4</v>
      </c>
      <c r="V114" s="80">
        <f t="shared" si="28"/>
        <v>0</v>
      </c>
    </row>
    <row r="115" spans="1:24">
      <c r="A115" s="165">
        <v>100</v>
      </c>
      <c r="B115" s="137" t="s">
        <v>277</v>
      </c>
      <c r="C115" s="138" t="s">
        <v>45</v>
      </c>
      <c r="D115" s="4">
        <f>148805817.92*1617.08</f>
        <v>240630912042.07358</v>
      </c>
      <c r="E115" s="3">
        <f t="shared" si="30"/>
        <v>0.15018144532482947</v>
      </c>
      <c r="F115" s="2">
        <f>121.5165*1617.08</f>
        <v>196501.90181999997</v>
      </c>
      <c r="G115" s="2">
        <f>121.5165*1617.08</f>
        <v>196501.90181999997</v>
      </c>
      <c r="H115" s="58">
        <v>3196</v>
      </c>
      <c r="I115" s="5">
        <v>5.5599999999999997E-2</v>
      </c>
      <c r="J115" s="5">
        <v>5.3400000000000003E-2</v>
      </c>
      <c r="K115" s="4">
        <v>224663287260.436</v>
      </c>
      <c r="L115" s="3">
        <f t="shared" si="23"/>
        <v>0.14266855264947223</v>
      </c>
      <c r="M115" s="2">
        <v>191489.62349999999</v>
      </c>
      <c r="N115" s="2">
        <v>191489.62349999999</v>
      </c>
      <c r="O115" s="58">
        <v>3227</v>
      </c>
      <c r="P115" s="5">
        <v>5.5500000000000001E-2</v>
      </c>
      <c r="Q115" s="5">
        <v>5.3400000000000003E-2</v>
      </c>
      <c r="R115" s="78">
        <f t="shared" ref="R115" si="31">((K115-D115)/D115)</f>
        <v>-6.635732976337505E-2</v>
      </c>
      <c r="S115" s="78">
        <f t="shared" ref="S115" si="32">((N115-G115)/G115)</f>
        <v>-2.5507530835967886E-2</v>
      </c>
      <c r="T115" s="78">
        <f t="shared" ref="T115" si="33">((O115-H115)/H115)</f>
        <v>9.6996245306633297E-3</v>
      </c>
      <c r="U115" s="78">
        <f t="shared" ref="U115" si="34">P115-I115</f>
        <v>-9.9999999999995925E-5</v>
      </c>
      <c r="V115" s="80">
        <f t="shared" ref="V115" si="35">Q115-J115</f>
        <v>0</v>
      </c>
    </row>
    <row r="116" spans="1:24">
      <c r="A116" s="165">
        <v>101</v>
      </c>
      <c r="B116" s="137" t="s">
        <v>136</v>
      </c>
      <c r="C116" s="138" t="s">
        <v>78</v>
      </c>
      <c r="D116" s="2">
        <f>14113036.08*1619.232</f>
        <v>22852279637.89056</v>
      </c>
      <c r="E116" s="3">
        <f t="shared" si="30"/>
        <v>1.4262458450830717E-2</v>
      </c>
      <c r="F116" s="2">
        <f>103.68*1619.232</f>
        <v>167881.97375999999</v>
      </c>
      <c r="G116" s="2">
        <f>103.68*1619.232</f>
        <v>167881.97375999999</v>
      </c>
      <c r="H116" s="58">
        <v>368</v>
      </c>
      <c r="I116" s="5">
        <v>1.2999999999999999E-3</v>
      </c>
      <c r="J116" s="5">
        <v>5.9700000000000003E-2</v>
      </c>
      <c r="K116" s="2">
        <f>15129961.11*1568.657</f>
        <v>23733719404.929268</v>
      </c>
      <c r="L116" s="3">
        <f t="shared" si="23"/>
        <v>1.5071689895486757E-2</v>
      </c>
      <c r="M116" s="2">
        <f>103.86*1568.657</f>
        <v>162920.71601999999</v>
      </c>
      <c r="N116" s="2">
        <f>103.86*1568.657</f>
        <v>162920.71601999999</v>
      </c>
      <c r="O116" s="58">
        <v>372</v>
      </c>
      <c r="P116" s="5">
        <v>1.8E-3</v>
      </c>
      <c r="Q116" s="5">
        <v>6.1499999999999999E-2</v>
      </c>
      <c r="R116" s="78">
        <f t="shared" si="24"/>
        <v>3.8571196441042295E-2</v>
      </c>
      <c r="S116" s="78">
        <f t="shared" si="25"/>
        <v>-2.9552057489462775E-2</v>
      </c>
      <c r="T116" s="78">
        <f t="shared" si="26"/>
        <v>1.0869565217391304E-2</v>
      </c>
      <c r="U116" s="78">
        <f t="shared" si="27"/>
        <v>5.0000000000000001E-4</v>
      </c>
      <c r="V116" s="80">
        <f t="shared" si="28"/>
        <v>1.799999999999996E-3</v>
      </c>
    </row>
    <row r="117" spans="1:24">
      <c r="A117" s="165">
        <v>102</v>
      </c>
      <c r="B117" s="137" t="s">
        <v>137</v>
      </c>
      <c r="C117" s="138" t="s">
        <v>38</v>
      </c>
      <c r="D117" s="2">
        <f>1923918.67*1619.232</f>
        <v>3115270675.8614397</v>
      </c>
      <c r="E117" s="3">
        <f t="shared" si="30"/>
        <v>1.9442882408936977E-3</v>
      </c>
      <c r="F117" s="2">
        <f>135.07*1619.232</f>
        <v>218709.66623999999</v>
      </c>
      <c r="G117" s="2">
        <f>138.82*1619.232</f>
        <v>224781.78623999999</v>
      </c>
      <c r="H117" s="58">
        <v>48</v>
      </c>
      <c r="I117" s="5">
        <v>5.9999999999999995E-4</v>
      </c>
      <c r="J117" s="5">
        <v>2.5600000000000001E-2</v>
      </c>
      <c r="K117" s="2">
        <f>1921815.03*1568.657</f>
        <v>3014668599.5147099</v>
      </c>
      <c r="L117" s="3">
        <f t="shared" si="23"/>
        <v>1.9144133919486051E-3</v>
      </c>
      <c r="M117" s="2">
        <f>135.18*1568.657</f>
        <v>212051.05326000002</v>
      </c>
      <c r="N117" s="2">
        <f>138.98*1568.657</f>
        <v>218011.94985999996</v>
      </c>
      <c r="O117" s="58">
        <v>47</v>
      </c>
      <c r="P117" s="5">
        <v>-1.5E-3</v>
      </c>
      <c r="Q117" s="5">
        <v>2.6599999999999999E-2</v>
      </c>
      <c r="R117" s="78">
        <f t="shared" si="24"/>
        <v>-3.2293205571586846E-2</v>
      </c>
      <c r="S117" s="78">
        <f t="shared" si="25"/>
        <v>-3.0117370687551409E-2</v>
      </c>
      <c r="T117" s="78">
        <f t="shared" si="26"/>
        <v>-2.0833333333333332E-2</v>
      </c>
      <c r="U117" s="78">
        <f t="shared" si="27"/>
        <v>-2.0999999999999999E-3</v>
      </c>
      <c r="V117" s="80">
        <f t="shared" si="28"/>
        <v>9.9999999999999742E-4</v>
      </c>
    </row>
    <row r="118" spans="1:24" ht="6" customHeight="1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</row>
    <row r="119" spans="1:24">
      <c r="A119" s="177" t="s">
        <v>229</v>
      </c>
      <c r="B119" s="177"/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</row>
    <row r="120" spans="1:24">
      <c r="A120" s="165">
        <v>103</v>
      </c>
      <c r="B120" s="137" t="s">
        <v>139</v>
      </c>
      <c r="C120" s="138" t="s">
        <v>97</v>
      </c>
      <c r="D120" s="4">
        <f>1113089.67*1619.232</f>
        <v>1802350412.5334399</v>
      </c>
      <c r="E120" s="3">
        <f t="shared" ref="E120:E130" si="36">(D120/$D$133)</f>
        <v>1.1248745543080813E-3</v>
      </c>
      <c r="F120" s="2">
        <f>103.96*1619.232</f>
        <v>168335.35871999999</v>
      </c>
      <c r="G120" s="2">
        <f>103.96*1619.232</f>
        <v>168335.35871999999</v>
      </c>
      <c r="H120" s="58">
        <v>21</v>
      </c>
      <c r="I120" s="5">
        <v>-9.9989999999999992E-3</v>
      </c>
      <c r="J120" s="5">
        <v>4.4400000000000002E-2</v>
      </c>
      <c r="K120" s="4">
        <f>1112397.96*1568.657</f>
        <v>1744970846.7397199</v>
      </c>
      <c r="L120" s="3">
        <f t="shared" ref="L120:L132" si="37">(K120/$K$133)</f>
        <v>1.1081136938554947E-3</v>
      </c>
      <c r="M120" s="2">
        <f>103.89*1568.657</f>
        <v>162967.77572999999</v>
      </c>
      <c r="N120" s="2">
        <f>103.89*1568.657</f>
        <v>162967.77572999999</v>
      </c>
      <c r="O120" s="58">
        <v>21</v>
      </c>
      <c r="P120" s="5">
        <v>-6.7299999999999999E-4</v>
      </c>
      <c r="Q120" s="5">
        <v>4.36E-2</v>
      </c>
      <c r="R120" s="78">
        <f>((K120-D120)/D120)</f>
        <v>-3.1835965633933247E-2</v>
      </c>
      <c r="S120" s="78">
        <f>((N120-G120)/G120)</f>
        <v>-3.1886247968426797E-2</v>
      </c>
      <c r="T120" s="78">
        <f>((O120-H120)/H120)</f>
        <v>0</v>
      </c>
      <c r="U120" s="78">
        <f>P120-I120</f>
        <v>9.3259999999999992E-3</v>
      </c>
      <c r="V120" s="80">
        <f>Q120-J120</f>
        <v>-8.000000000000021E-4</v>
      </c>
    </row>
    <row r="121" spans="1:24">
      <c r="A121" s="165">
        <v>104</v>
      </c>
      <c r="B121" s="138" t="s">
        <v>140</v>
      </c>
      <c r="C121" s="138" t="s">
        <v>23</v>
      </c>
      <c r="D121" s="2">
        <f xml:space="preserve"> 9073833.19*1619.232</f>
        <v>14692641063.910078</v>
      </c>
      <c r="E121" s="3">
        <f t="shared" si="36"/>
        <v>9.1699027855205277E-3</v>
      </c>
      <c r="F121" s="4">
        <f>130.52*1619.232</f>
        <v>211342.16064000002</v>
      </c>
      <c r="G121" s="4">
        <f>130.52*1619.232</f>
        <v>211342.16064000002</v>
      </c>
      <c r="H121" s="58">
        <v>451</v>
      </c>
      <c r="I121" s="5">
        <v>5.0000000000000001E-4</v>
      </c>
      <c r="J121" s="5">
        <v>3.3500000000000002E-2</v>
      </c>
      <c r="K121" s="2">
        <f xml:space="preserve"> 8994814.66*1568.657</f>
        <v>14109778980.11162</v>
      </c>
      <c r="L121" s="3">
        <f t="shared" si="37"/>
        <v>8.9601722196956893E-3</v>
      </c>
      <c r="M121" s="4">
        <f>131.61*1568.657</f>
        <v>206450.94777</v>
      </c>
      <c r="N121" s="4">
        <f>131.61*1568.657</f>
        <v>206450.94777</v>
      </c>
      <c r="O121" s="58">
        <v>455</v>
      </c>
      <c r="P121" s="5">
        <v>5.0000000000000001E-4</v>
      </c>
      <c r="Q121" s="5">
        <v>4.1799999999999997E-2</v>
      </c>
      <c r="R121" s="78">
        <f t="shared" ref="R121:R133" si="38">((K121-D121)/D121)</f>
        <v>-3.9670341177132383E-2</v>
      </c>
      <c r="S121" s="78">
        <f t="shared" ref="S121:S133" si="39">((N121-G121)/G121)</f>
        <v>-2.314357369673959E-2</v>
      </c>
      <c r="T121" s="78">
        <f t="shared" ref="T121:T133" si="40">((O121-H121)/H121)</f>
        <v>8.869179600886918E-3</v>
      </c>
      <c r="U121" s="78">
        <f t="shared" ref="U121:U133" si="41">P121-I121</f>
        <v>0</v>
      </c>
      <c r="V121" s="80">
        <f t="shared" ref="V121:V133" si="42">Q121-J121</f>
        <v>8.2999999999999949E-3</v>
      </c>
    </row>
    <row r="122" spans="1:24">
      <c r="A122" s="165">
        <v>105</v>
      </c>
      <c r="B122" s="137" t="s">
        <v>141</v>
      </c>
      <c r="C122" s="138" t="s">
        <v>58</v>
      </c>
      <c r="D122" s="4">
        <v>16717990888.66</v>
      </c>
      <c r="E122" s="3">
        <f t="shared" si="36"/>
        <v>1.0433954695510173E-2</v>
      </c>
      <c r="F122" s="4">
        <v>184652.21</v>
      </c>
      <c r="G122" s="4">
        <v>184652.21</v>
      </c>
      <c r="H122" s="58">
        <v>616</v>
      </c>
      <c r="I122" s="5">
        <v>2.8E-3</v>
      </c>
      <c r="J122" s="5">
        <v>6.4299999999999996E-2</v>
      </c>
      <c r="K122" s="4">
        <v>16601854515.02</v>
      </c>
      <c r="L122" s="3">
        <f t="shared" si="37"/>
        <v>1.0542721883212298E-2</v>
      </c>
      <c r="M122" s="4">
        <v>184749.92</v>
      </c>
      <c r="N122" s="4">
        <v>184749.92</v>
      </c>
      <c r="O122" s="58">
        <v>617</v>
      </c>
      <c r="P122" s="5">
        <v>3.3999999999999998E-3</v>
      </c>
      <c r="Q122" s="5">
        <v>6.3899999999999998E-2</v>
      </c>
      <c r="R122" s="78">
        <f t="shared" si="38"/>
        <v>-6.9467901025580762E-3</v>
      </c>
      <c r="S122" s="78">
        <f t="shared" si="39"/>
        <v>5.2915694862260769E-4</v>
      </c>
      <c r="T122" s="78">
        <f t="shared" si="40"/>
        <v>1.6233766233766235E-3</v>
      </c>
      <c r="U122" s="78">
        <f t="shared" si="41"/>
        <v>5.9999999999999984E-4</v>
      </c>
      <c r="V122" s="80">
        <f t="shared" si="42"/>
        <v>-3.9999999999999758E-4</v>
      </c>
    </row>
    <row r="123" spans="1:24">
      <c r="A123" s="165">
        <v>106</v>
      </c>
      <c r="B123" s="137" t="s">
        <v>142</v>
      </c>
      <c r="C123" s="138" t="s">
        <v>56</v>
      </c>
      <c r="D123" s="4">
        <v>7255178964.0387936</v>
      </c>
      <c r="E123" s="3">
        <f t="shared" si="36"/>
        <v>4.5280685414147166E-3</v>
      </c>
      <c r="F123" s="4">
        <v>1973.8242245776182</v>
      </c>
      <c r="G123" s="4">
        <v>1973.8242245776182</v>
      </c>
      <c r="H123" s="58">
        <v>202</v>
      </c>
      <c r="I123" s="5">
        <v>4.838168089635448E-2</v>
      </c>
      <c r="J123" s="5">
        <v>5.2614756743611726E-2</v>
      </c>
      <c r="K123" s="4">
        <v>7233468236.8962946</v>
      </c>
      <c r="L123" s="3">
        <f t="shared" si="37"/>
        <v>4.5934894685201238E-3</v>
      </c>
      <c r="M123" s="4">
        <v>1962.2987362701981</v>
      </c>
      <c r="N123" s="4">
        <v>1962.2987362701981</v>
      </c>
      <c r="O123" s="58">
        <v>204</v>
      </c>
      <c r="P123" s="5">
        <v>5.7439547244568213E-2</v>
      </c>
      <c r="Q123" s="5">
        <v>5.2822868246234028E-2</v>
      </c>
      <c r="R123" s="78">
        <f t="shared" si="38"/>
        <v>-2.9924454310653009E-3</v>
      </c>
      <c r="S123" s="78">
        <f t="shared" si="39"/>
        <v>-5.8391665093108667E-3</v>
      </c>
      <c r="T123" s="78">
        <f t="shared" si="40"/>
        <v>9.9009900990099011E-3</v>
      </c>
      <c r="U123" s="78">
        <f t="shared" si="41"/>
        <v>9.0578663482137334E-3</v>
      </c>
      <c r="V123" s="80">
        <f t="shared" si="42"/>
        <v>2.0811150262230182E-4</v>
      </c>
    </row>
    <row r="124" spans="1:24">
      <c r="A124" s="165">
        <v>107</v>
      </c>
      <c r="B124" s="137" t="s">
        <v>276</v>
      </c>
      <c r="C124" s="138" t="s">
        <v>32</v>
      </c>
      <c r="D124" s="4">
        <v>66728748684.190895</v>
      </c>
      <c r="E124" s="3">
        <f t="shared" si="36"/>
        <v>4.1646436183381493E-2</v>
      </c>
      <c r="F124" s="4">
        <f>100*1619.232</f>
        <v>161923.20000000001</v>
      </c>
      <c r="G124" s="4">
        <f>100*1619.232</f>
        <v>161923.20000000001</v>
      </c>
      <c r="H124" s="58">
        <v>1557</v>
      </c>
      <c r="I124" s="5">
        <v>5.2699999999999997E-2</v>
      </c>
      <c r="J124" s="5">
        <v>5.9528200000000003E-2</v>
      </c>
      <c r="K124" s="4">
        <v>67763269629.558907</v>
      </c>
      <c r="L124" s="3">
        <f t="shared" si="37"/>
        <v>4.3031897728969183E-2</v>
      </c>
      <c r="M124" s="4">
        <f>100*1608.03</f>
        <v>160803</v>
      </c>
      <c r="N124" s="4">
        <f>100*1608.03</f>
        <v>160803</v>
      </c>
      <c r="O124" s="58">
        <v>1582</v>
      </c>
      <c r="P124" s="5">
        <v>5.5399999999999998E-2</v>
      </c>
      <c r="Q124" s="5">
        <v>5.9111799999999999E-2</v>
      </c>
      <c r="R124" s="78">
        <f>((K124-D124)/D124)</f>
        <v>1.550337696671219E-2</v>
      </c>
      <c r="S124" s="78">
        <f>((N124-G124)/G124)</f>
        <v>-6.9180945040612559E-3</v>
      </c>
      <c r="T124" s="78">
        <f>((O124-H124)/H124)</f>
        <v>1.6056518946692359E-2</v>
      </c>
      <c r="U124" s="78">
        <f>P124-I124</f>
        <v>2.700000000000001E-3</v>
      </c>
      <c r="V124" s="80">
        <f>Q124-J124</f>
        <v>-4.1640000000000427E-4</v>
      </c>
    </row>
    <row r="125" spans="1:24" ht="15.75">
      <c r="A125" s="165">
        <v>108</v>
      </c>
      <c r="B125" s="137" t="s">
        <v>251</v>
      </c>
      <c r="C125" s="138" t="s">
        <v>114</v>
      </c>
      <c r="D125" s="4">
        <f>926826.97*1619.232</f>
        <v>1500747888.28704</v>
      </c>
      <c r="E125" s="3">
        <f t="shared" si="36"/>
        <v>9.3663979003547808E-4</v>
      </c>
      <c r="F125" s="4">
        <f>1.05*1619.232</f>
        <v>1700.1936000000001</v>
      </c>
      <c r="G125" s="4">
        <f>1.07*1619.232</f>
        <v>1732.5782400000001</v>
      </c>
      <c r="H125" s="58">
        <v>36</v>
      </c>
      <c r="I125" s="5">
        <v>5.1000000000000004E-3</v>
      </c>
      <c r="J125" s="5">
        <v>8.1699999999999995E-2</v>
      </c>
      <c r="K125" s="4">
        <f>987110.49*1568.657</f>
        <v>1548437779.9119298</v>
      </c>
      <c r="L125" s="3">
        <f t="shared" si="37"/>
        <v>9.833087533866094E-4</v>
      </c>
      <c r="M125" s="4">
        <f>1.05*1568.657</f>
        <v>1647.0898500000001</v>
      </c>
      <c r="N125" s="4">
        <f>1.07*1568.657</f>
        <v>1678.46299</v>
      </c>
      <c r="O125" s="58">
        <v>36</v>
      </c>
      <c r="P125" s="5">
        <v>5.1000000000000004E-3</v>
      </c>
      <c r="Q125" s="5">
        <v>8.1699999999999995E-2</v>
      </c>
      <c r="R125" s="78">
        <f t="shared" si="38"/>
        <v>3.1777417111226655E-2</v>
      </c>
      <c r="S125" s="78">
        <f t="shared" si="39"/>
        <v>-3.1233943005078986E-2</v>
      </c>
      <c r="T125" s="78">
        <f t="shared" si="40"/>
        <v>0</v>
      </c>
      <c r="U125" s="78">
        <f t="shared" si="41"/>
        <v>0</v>
      </c>
      <c r="V125" s="80">
        <f t="shared" si="42"/>
        <v>0</v>
      </c>
      <c r="X125" s="114"/>
    </row>
    <row r="126" spans="1:24" ht="15.75">
      <c r="A126" s="165">
        <v>109</v>
      </c>
      <c r="B126" s="137" t="s">
        <v>257</v>
      </c>
      <c r="C126" s="138" t="s">
        <v>36</v>
      </c>
      <c r="D126" s="2">
        <f>1801322.48*1619.232</f>
        <v>2916759001.93536</v>
      </c>
      <c r="E126" s="3">
        <f t="shared" si="36"/>
        <v>1.8203940585084469E-3</v>
      </c>
      <c r="F126" s="4">
        <f>10.26*1619.232</f>
        <v>16613.320319999999</v>
      </c>
      <c r="G126" s="4">
        <f>10.26*1619.232</f>
        <v>16613.320319999999</v>
      </c>
      <c r="H126" s="58">
        <v>61</v>
      </c>
      <c r="I126" s="5">
        <v>7.6399999999999996E-2</v>
      </c>
      <c r="J126" s="5">
        <v>9.7299999999999998E-2</v>
      </c>
      <c r="K126" s="2">
        <f>1831656.6*1568.657</f>
        <v>2873240947.1862001</v>
      </c>
      <c r="L126" s="3">
        <f t="shared" si="37"/>
        <v>1.8246021962327193E-3</v>
      </c>
      <c r="M126" s="4">
        <f>10.27*1568.657</f>
        <v>16110.107389999999</v>
      </c>
      <c r="N126" s="4">
        <f>10.27*1568.657</f>
        <v>16110.107389999999</v>
      </c>
      <c r="O126" s="58">
        <v>61</v>
      </c>
      <c r="P126" s="5">
        <v>7.6399999999999996E-2</v>
      </c>
      <c r="Q126" s="5">
        <v>9.64E-2</v>
      </c>
      <c r="R126" s="78">
        <f>((K126-D126)/D126)</f>
        <v>-1.492000357941271E-2</v>
      </c>
      <c r="S126" s="78">
        <f>((N126-G126)/G126)</f>
        <v>-3.0289726575259322E-2</v>
      </c>
      <c r="T126" s="78">
        <f>((O126-H126)/H126)</f>
        <v>0</v>
      </c>
      <c r="U126" s="78">
        <f>P126-I126</f>
        <v>0</v>
      </c>
      <c r="V126" s="80">
        <f>Q126-J126</f>
        <v>-8.9999999999999802E-4</v>
      </c>
      <c r="X126" s="114"/>
    </row>
    <row r="127" spans="1:24" ht="15.75">
      <c r="A127" s="165">
        <v>110</v>
      </c>
      <c r="B127" s="138" t="s">
        <v>143</v>
      </c>
      <c r="C127" s="180" t="s">
        <v>40</v>
      </c>
      <c r="D127" s="4">
        <v>18388814217</v>
      </c>
      <c r="E127" s="3">
        <f t="shared" si="36"/>
        <v>1.1476741177941282E-2</v>
      </c>
      <c r="F127" s="4">
        <f>1.0268*1619.232</f>
        <v>1662.6274175999999</v>
      </c>
      <c r="G127" s="4">
        <f>1.0268*1619.232</f>
        <v>1662.6274175999999</v>
      </c>
      <c r="H127" s="58">
        <v>371</v>
      </c>
      <c r="I127" s="5">
        <v>-5.9999999999999995E-4</v>
      </c>
      <c r="J127" s="5">
        <v>6.2799999999999995E-2</v>
      </c>
      <c r="K127" s="4">
        <v>18635659880</v>
      </c>
      <c r="L127" s="3">
        <f t="shared" si="37"/>
        <v>1.1834254965144222E-2</v>
      </c>
      <c r="M127" s="4">
        <f>1.025*1568.657</f>
        <v>1607.8734249999998</v>
      </c>
      <c r="N127" s="4">
        <f>1.025*1568.657</f>
        <v>1607.8734249999998</v>
      </c>
      <c r="O127" s="58">
        <v>371</v>
      </c>
      <c r="P127" s="5">
        <v>4.1999999999999997E-3</v>
      </c>
      <c r="Q127" s="5">
        <v>6.5299999999999997E-2</v>
      </c>
      <c r="R127" s="78">
        <f t="shared" si="38"/>
        <v>1.3423685730197728E-2</v>
      </c>
      <c r="S127" s="78">
        <f t="shared" si="39"/>
        <v>-3.2932208395214289E-2</v>
      </c>
      <c r="T127" s="78">
        <f t="shared" si="40"/>
        <v>0</v>
      </c>
      <c r="U127" s="78">
        <f t="shared" si="41"/>
        <v>4.7999999999999996E-3</v>
      </c>
      <c r="V127" s="80">
        <f t="shared" si="42"/>
        <v>2.5000000000000022E-3</v>
      </c>
      <c r="X127" s="114"/>
    </row>
    <row r="128" spans="1:24">
      <c r="A128" s="165">
        <v>111</v>
      </c>
      <c r="B128" s="137" t="s">
        <v>144</v>
      </c>
      <c r="C128" s="138" t="s">
        <v>80</v>
      </c>
      <c r="D128" s="2">
        <f>307667.89*1600.26</f>
        <v>492348617.65140003</v>
      </c>
      <c r="E128" s="3">
        <f t="shared" si="36"/>
        <v>3.0728232867122509E-4</v>
      </c>
      <c r="F128" s="4">
        <f>1.05*1600.26</f>
        <v>1680.2730000000001</v>
      </c>
      <c r="G128" s="4">
        <f>1.05*1600.26</f>
        <v>1680.2730000000001</v>
      </c>
      <c r="H128" s="58">
        <v>3</v>
      </c>
      <c r="I128" s="5">
        <v>-4.7019999999999996E-3</v>
      </c>
      <c r="J128" s="5">
        <v>1.0883E-2</v>
      </c>
      <c r="K128" s="2">
        <f>318206.55*1589.17</f>
        <v>505684303.06349999</v>
      </c>
      <c r="L128" s="3">
        <f t="shared" si="37"/>
        <v>3.2112611052465294E-4</v>
      </c>
      <c r="M128" s="4">
        <f>1.05*1589.17</f>
        <v>1668.6285000000003</v>
      </c>
      <c r="N128" s="4">
        <f>1.05*1589.17</f>
        <v>1668.6285000000003</v>
      </c>
      <c r="O128" s="58">
        <v>3</v>
      </c>
      <c r="P128" s="5">
        <v>1.3630000000000001E-3</v>
      </c>
      <c r="Q128" s="5">
        <v>1.226E-2</v>
      </c>
      <c r="R128" s="78">
        <f t="shared" si="38"/>
        <v>2.7085859356554724E-2</v>
      </c>
      <c r="S128" s="78">
        <f t="shared" si="39"/>
        <v>-6.9301238548735112E-3</v>
      </c>
      <c r="T128" s="78">
        <f t="shared" si="40"/>
        <v>0</v>
      </c>
      <c r="U128" s="78">
        <f t="shared" si="41"/>
        <v>6.0649999999999992E-3</v>
      </c>
      <c r="V128" s="80">
        <f t="shared" si="42"/>
        <v>1.3769999999999998E-3</v>
      </c>
    </row>
    <row r="129" spans="1:22">
      <c r="A129" s="165">
        <v>112</v>
      </c>
      <c r="B129" s="137" t="s">
        <v>145</v>
      </c>
      <c r="C129" s="138" t="s">
        <v>42</v>
      </c>
      <c r="D129" s="2">
        <v>932236747645.75</v>
      </c>
      <c r="E129" s="3">
        <f t="shared" si="36"/>
        <v>0.58182326185040456</v>
      </c>
      <c r="F129" s="4">
        <v>2471.71</v>
      </c>
      <c r="G129" s="4">
        <v>2471.71</v>
      </c>
      <c r="H129" s="58">
        <v>7980</v>
      </c>
      <c r="I129" s="5">
        <v>1.4E-3</v>
      </c>
      <c r="J129" s="5">
        <v>4.36E-2</v>
      </c>
      <c r="K129" s="2">
        <v>924735955346.81006</v>
      </c>
      <c r="L129" s="3">
        <f t="shared" si="37"/>
        <v>0.58723764768615061</v>
      </c>
      <c r="M129" s="4">
        <v>2432.38</v>
      </c>
      <c r="N129" s="4">
        <v>2432.38</v>
      </c>
      <c r="O129" s="58">
        <v>8036</v>
      </c>
      <c r="P129" s="5">
        <v>1.4E-3</v>
      </c>
      <c r="Q129" s="5">
        <v>4.4999999999999998E-2</v>
      </c>
      <c r="R129" s="78">
        <f t="shared" si="38"/>
        <v>-8.0460165487814938E-3</v>
      </c>
      <c r="S129" s="78">
        <f t="shared" si="39"/>
        <v>-1.5912060880928558E-2</v>
      </c>
      <c r="T129" s="78">
        <f t="shared" si="40"/>
        <v>7.0175438596491229E-3</v>
      </c>
      <c r="U129" s="78">
        <f t="shared" si="41"/>
        <v>0</v>
      </c>
      <c r="V129" s="80">
        <f t="shared" si="42"/>
        <v>1.3999999999999985E-3</v>
      </c>
    </row>
    <row r="130" spans="1:22" ht="16.5" customHeight="1">
      <c r="A130" s="165">
        <v>113</v>
      </c>
      <c r="B130" s="137" t="s">
        <v>146</v>
      </c>
      <c r="C130" s="138" t="s">
        <v>45</v>
      </c>
      <c r="D130" s="2">
        <f>48488420.6*1617.08</f>
        <v>78409655183.847992</v>
      </c>
      <c r="E130" s="3">
        <f t="shared" si="36"/>
        <v>4.8936669204299316E-2</v>
      </c>
      <c r="F130" s="4">
        <f>1.1234*1617.08</f>
        <v>1816.6276719999998</v>
      </c>
      <c r="G130" s="4">
        <f>1.1234*1617.08</f>
        <v>1816.6276719999998</v>
      </c>
      <c r="H130" s="58">
        <v>289</v>
      </c>
      <c r="I130" s="5">
        <v>0.10249999999999999</v>
      </c>
      <c r="J130" s="5">
        <v>8.5599999999999996E-2</v>
      </c>
      <c r="K130" s="2">
        <f>48937349.59*1574.2</f>
        <v>77037175724.578003</v>
      </c>
      <c r="L130" s="3">
        <f t="shared" si="37"/>
        <v>4.8921132130002959E-2</v>
      </c>
      <c r="M130" s="4">
        <f>1.1255*1574.2</f>
        <v>1771.7620999999999</v>
      </c>
      <c r="N130" s="4">
        <f>1.1255*1574.2</f>
        <v>1771.7620999999999</v>
      </c>
      <c r="O130" s="58">
        <v>289</v>
      </c>
      <c r="P130" s="5">
        <v>0.1023</v>
      </c>
      <c r="Q130" s="5">
        <v>8.6099999999999996E-2</v>
      </c>
      <c r="R130" s="78">
        <f t="shared" si="38"/>
        <v>-1.7503959889275385E-2</v>
      </c>
      <c r="S130" s="78">
        <f t="shared" si="39"/>
        <v>-2.4697175261348729E-2</v>
      </c>
      <c r="T130" s="78">
        <f t="shared" si="40"/>
        <v>0</v>
      </c>
      <c r="U130" s="78">
        <f t="shared" si="41"/>
        <v>-1.9999999999999185E-4</v>
      </c>
      <c r="V130" s="80">
        <f t="shared" si="42"/>
        <v>5.0000000000000044E-4</v>
      </c>
    </row>
    <row r="131" spans="1:22" ht="16.5" customHeight="1">
      <c r="A131" s="165">
        <v>114</v>
      </c>
      <c r="B131" s="137" t="s">
        <v>280</v>
      </c>
      <c r="C131" s="138" t="s">
        <v>278</v>
      </c>
      <c r="D131" s="4">
        <v>90960379.350516513</v>
      </c>
      <c r="E131" s="3">
        <v>0</v>
      </c>
      <c r="F131" s="4">
        <v>161162.18459999998</v>
      </c>
      <c r="G131" s="4">
        <v>161162.18459999998</v>
      </c>
      <c r="H131" s="58">
        <v>4</v>
      </c>
      <c r="I131" s="5">
        <v>3.0300000000000001E-2</v>
      </c>
      <c r="J131" s="5">
        <v>2.8000000000000001E-2</v>
      </c>
      <c r="K131" s="4">
        <v>90397134.445122927</v>
      </c>
      <c r="L131" s="3">
        <f t="shared" si="37"/>
        <v>5.7405143903173967E-5</v>
      </c>
      <c r="M131" s="4">
        <v>160156.5526</v>
      </c>
      <c r="N131" s="4">
        <v>160156.5526</v>
      </c>
      <c r="O131" s="58">
        <v>4</v>
      </c>
      <c r="P131" s="5">
        <v>8.9999999999999998E-4</v>
      </c>
      <c r="Q131" s="5">
        <v>2.7099999999999999E-2</v>
      </c>
      <c r="R131" s="78">
        <f>((K131-D131)/D131)</f>
        <v>-6.1922004878972306E-3</v>
      </c>
      <c r="S131" s="78">
        <f>((N131-G131)/G131)</f>
        <v>-6.2398757034470191E-3</v>
      </c>
      <c r="T131" s="78">
        <f>((O131-H131)/H131)</f>
        <v>0</v>
      </c>
      <c r="U131" s="78">
        <f>P131-I131</f>
        <v>-2.9399999999999999E-2</v>
      </c>
      <c r="V131" s="80">
        <f>Q131-J131</f>
        <v>-9.0000000000000149E-4</v>
      </c>
    </row>
    <row r="132" spans="1:22">
      <c r="A132" s="165">
        <v>115</v>
      </c>
      <c r="B132" s="137" t="s">
        <v>261</v>
      </c>
      <c r="C132" s="138" t="s">
        <v>259</v>
      </c>
      <c r="D132" s="4">
        <f>865668.09*1619.232</f>
        <v>1401717472.7068799</v>
      </c>
      <c r="E132" s="3">
        <f>(D132/$D$133)</f>
        <v>8.7483338778759673E-4</v>
      </c>
      <c r="F132" s="4">
        <f>1.18*1619.232</f>
        <v>1910.6937599999999</v>
      </c>
      <c r="G132" s="4">
        <f>1.18*1619.232</f>
        <v>1910.6937599999999</v>
      </c>
      <c r="H132" s="58">
        <v>44</v>
      </c>
      <c r="I132" s="5">
        <v>9.8200000000000002E-4</v>
      </c>
      <c r="J132" s="5">
        <v>7.3473999999999998E-2</v>
      </c>
      <c r="K132" s="4">
        <f>945119.61*1568.657</f>
        <v>1482568492.0637698</v>
      </c>
      <c r="L132" s="3">
        <f t="shared" si="37"/>
        <v>9.4147959618009775E-4</v>
      </c>
      <c r="M132" s="4">
        <f>1.18*1568.657</f>
        <v>1851.0152599999999</v>
      </c>
      <c r="N132" s="4">
        <f>1.18*1568.657</f>
        <v>1851.0152599999999</v>
      </c>
      <c r="O132" s="58">
        <v>46</v>
      </c>
      <c r="P132" s="5">
        <v>-2.1789999999999999E-3</v>
      </c>
      <c r="Q132" s="5">
        <v>7.1135000000000004E-2</v>
      </c>
      <c r="R132" s="78">
        <f t="shared" si="38"/>
        <v>5.7679968275459403E-2</v>
      </c>
      <c r="S132" s="78">
        <f t="shared" si="39"/>
        <v>-3.1233943005078944E-2</v>
      </c>
      <c r="T132" s="78">
        <f t="shared" si="40"/>
        <v>4.5454545454545456E-2</v>
      </c>
      <c r="U132" s="78">
        <f t="shared" si="41"/>
        <v>-3.1609999999999997E-3</v>
      </c>
      <c r="V132" s="80">
        <f t="shared" si="42"/>
        <v>-2.3389999999999939E-3</v>
      </c>
    </row>
    <row r="133" spans="1:22">
      <c r="A133" s="72"/>
      <c r="B133" s="130"/>
      <c r="C133" s="64" t="s">
        <v>46</v>
      </c>
      <c r="D133" s="57">
        <f>SUM(D103:D132)</f>
        <v>1602267920125.6169</v>
      </c>
      <c r="E133" s="97">
        <f>(D133/$D$199)</f>
        <v>0.49279159288310359</v>
      </c>
      <c r="F133" s="30"/>
      <c r="G133" s="11"/>
      <c r="H133" s="63">
        <f>SUM(H103:H132)</f>
        <v>18906</v>
      </c>
      <c r="I133" s="33"/>
      <c r="J133" s="33"/>
      <c r="K133" s="57">
        <f>SUM(K103:K132)</f>
        <v>1574721850668.9399</v>
      </c>
      <c r="L133" s="97">
        <f>(K133/$K$199)</f>
        <v>0.48532253467900094</v>
      </c>
      <c r="M133" s="30"/>
      <c r="N133" s="11"/>
      <c r="O133" s="63">
        <f>SUM(O103:O132)</f>
        <v>19035</v>
      </c>
      <c r="P133" s="33"/>
      <c r="Q133" s="33"/>
      <c r="R133" s="78">
        <f t="shared" si="38"/>
        <v>-1.7191924715385554E-2</v>
      </c>
      <c r="S133" s="78" t="e">
        <f t="shared" si="39"/>
        <v>#DIV/0!</v>
      </c>
      <c r="T133" s="78">
        <f t="shared" si="40"/>
        <v>6.8232307204062204E-3</v>
      </c>
      <c r="U133" s="78">
        <f t="shared" si="41"/>
        <v>0</v>
      </c>
      <c r="V133" s="80">
        <f t="shared" si="42"/>
        <v>0</v>
      </c>
    </row>
    <row r="134" spans="1:22" ht="8.25" customHeight="1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</row>
    <row r="135" spans="1:22" ht="15.75">
      <c r="A135" s="173" t="s">
        <v>147</v>
      </c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</row>
    <row r="136" spans="1:22">
      <c r="A136" s="165">
        <v>116</v>
      </c>
      <c r="B136" s="137" t="s">
        <v>243</v>
      </c>
      <c r="C136" s="138" t="s">
        <v>244</v>
      </c>
      <c r="D136" s="2">
        <v>2365947150.7614784</v>
      </c>
      <c r="E136" s="3">
        <f>(D136/$D$141)</f>
        <v>2.4112237621741649E-2</v>
      </c>
      <c r="F136" s="14">
        <v>111.49609570035243</v>
      </c>
      <c r="G136" s="14">
        <v>111.49609570035243</v>
      </c>
      <c r="H136" s="58">
        <v>7</v>
      </c>
      <c r="I136" s="5">
        <v>2.8195627065954465E-3</v>
      </c>
      <c r="J136" s="5">
        <v>9.0800000000000006E-2</v>
      </c>
      <c r="K136" s="2">
        <v>2372343345.7400732</v>
      </c>
      <c r="L136" s="3">
        <f>(K136/$K$141)</f>
        <v>2.4104011868701591E-2</v>
      </c>
      <c r="M136" s="14">
        <v>111.8</v>
      </c>
      <c r="N136" s="14">
        <v>111.8</v>
      </c>
      <c r="O136" s="58">
        <v>7</v>
      </c>
      <c r="P136" s="5">
        <v>2.7000000000000001E-3</v>
      </c>
      <c r="Q136" s="5">
        <v>9.3700000000000006E-2</v>
      </c>
      <c r="R136" s="78">
        <f t="shared" ref="R136:R141" si="43">((K136-D136)/D136)</f>
        <v>2.7034394984419533E-3</v>
      </c>
      <c r="S136" s="78">
        <f t="shared" ref="S136:T141" si="44">((N136-G136)/G136)</f>
        <v>2.7256945432808499E-3</v>
      </c>
      <c r="T136" s="78">
        <f t="shared" si="44"/>
        <v>0</v>
      </c>
      <c r="U136" s="78">
        <f t="shared" ref="U136:V141" si="45">P136-I136</f>
        <v>-1.1956270659544636E-4</v>
      </c>
      <c r="V136" s="80">
        <f t="shared" si="45"/>
        <v>2.8999999999999998E-3</v>
      </c>
    </row>
    <row r="137" spans="1:22">
      <c r="A137" s="165">
        <v>117</v>
      </c>
      <c r="B137" s="137" t="s">
        <v>148</v>
      </c>
      <c r="C137" s="138" t="s">
        <v>40</v>
      </c>
      <c r="D137" s="2">
        <v>53749983529</v>
      </c>
      <c r="E137" s="3">
        <f>(D137/$D$141)</f>
        <v>0.54778585168262128</v>
      </c>
      <c r="F137" s="14">
        <v>102.5</v>
      </c>
      <c r="G137" s="14">
        <v>102.5</v>
      </c>
      <c r="H137" s="58">
        <v>666</v>
      </c>
      <c r="I137" s="5">
        <v>0</v>
      </c>
      <c r="J137" s="5">
        <v>7.6999999999999999E-2</v>
      </c>
      <c r="K137" s="2">
        <v>53749983529</v>
      </c>
      <c r="L137" s="3">
        <f>(K137/$K$141)</f>
        <v>0.5461225683255222</v>
      </c>
      <c r="M137" s="14">
        <v>102.5</v>
      </c>
      <c r="N137" s="14">
        <v>102.5</v>
      </c>
      <c r="O137" s="58">
        <v>666</v>
      </c>
      <c r="P137" s="5">
        <v>0</v>
      </c>
      <c r="Q137" s="5">
        <v>7.6999999999999999E-2</v>
      </c>
      <c r="R137" s="78">
        <f t="shared" si="43"/>
        <v>0</v>
      </c>
      <c r="S137" s="78">
        <f t="shared" si="44"/>
        <v>0</v>
      </c>
      <c r="T137" s="78">
        <f t="shared" si="44"/>
        <v>0</v>
      </c>
      <c r="U137" s="78">
        <f t="shared" si="45"/>
        <v>0</v>
      </c>
      <c r="V137" s="80">
        <f t="shared" si="45"/>
        <v>0</v>
      </c>
    </row>
    <row r="138" spans="1:22" ht="15.75" customHeight="1">
      <c r="A138" s="165">
        <v>118</v>
      </c>
      <c r="B138" s="137" t="s">
        <v>149</v>
      </c>
      <c r="C138" s="138" t="s">
        <v>120</v>
      </c>
      <c r="D138" s="2">
        <v>2463478362.5768404</v>
      </c>
      <c r="E138" s="3">
        <f>(D138/$D$141)</f>
        <v>2.5106214073866342E-2</v>
      </c>
      <c r="F138" s="14">
        <v>101.4</v>
      </c>
      <c r="G138" s="14">
        <v>101.4</v>
      </c>
      <c r="H138" s="58">
        <v>2835</v>
      </c>
      <c r="I138" s="5">
        <v>0.28641417238339917</v>
      </c>
      <c r="J138" s="5">
        <v>0.10096771861726926</v>
      </c>
      <c r="K138" s="2">
        <v>2467327360.0107818</v>
      </c>
      <c r="L138" s="3">
        <f>(K138/$K$141)</f>
        <v>2.5069089630918952E-2</v>
      </c>
      <c r="M138" s="14">
        <v>101.4</v>
      </c>
      <c r="N138" s="14">
        <v>101.4</v>
      </c>
      <c r="O138" s="58">
        <v>2835</v>
      </c>
      <c r="P138" s="5">
        <v>0.10425499007976341</v>
      </c>
      <c r="Q138" s="5">
        <v>0.10023898664061159</v>
      </c>
      <c r="R138" s="78">
        <f t="shared" si="43"/>
        <v>1.5624238850286663E-3</v>
      </c>
      <c r="S138" s="78">
        <f t="shared" si="44"/>
        <v>0</v>
      </c>
      <c r="T138" s="78">
        <f t="shared" si="44"/>
        <v>0</v>
      </c>
      <c r="U138" s="78">
        <f t="shared" si="45"/>
        <v>-0.18215918230363576</v>
      </c>
      <c r="V138" s="80">
        <f t="shared" si="45"/>
        <v>-7.2873197665766776E-4</v>
      </c>
    </row>
    <row r="139" spans="1:22">
      <c r="A139" s="165">
        <v>119</v>
      </c>
      <c r="B139" s="137" t="s">
        <v>150</v>
      </c>
      <c r="C139" s="138" t="s">
        <v>120</v>
      </c>
      <c r="D139" s="2">
        <v>10071975267.73</v>
      </c>
      <c r="E139" s="3">
        <f>(D139/$D$141)</f>
        <v>0.10264720448115128</v>
      </c>
      <c r="F139" s="14">
        <v>36.6</v>
      </c>
      <c r="G139" s="14">
        <v>36.6</v>
      </c>
      <c r="H139" s="58">
        <v>5261</v>
      </c>
      <c r="I139" s="5">
        <v>9.2247202338927095E-3</v>
      </c>
      <c r="J139" s="5">
        <v>0.19579343365253032</v>
      </c>
      <c r="K139" s="2">
        <v>10084870821.5</v>
      </c>
      <c r="L139" s="3">
        <f>(K139/$K$141)</f>
        <v>0.10246655333944742</v>
      </c>
      <c r="M139" s="14">
        <v>36.6</v>
      </c>
      <c r="N139" s="14">
        <v>36.6</v>
      </c>
      <c r="O139" s="58">
        <v>5261</v>
      </c>
      <c r="P139" s="5">
        <v>6.4561651084847682E-2</v>
      </c>
      <c r="Q139" s="5">
        <v>0.19541600423953398</v>
      </c>
      <c r="R139" s="78">
        <f t="shared" si="43"/>
        <v>1.2803400948885402E-3</v>
      </c>
      <c r="S139" s="78">
        <f t="shared" si="44"/>
        <v>0</v>
      </c>
      <c r="T139" s="78">
        <f t="shared" si="44"/>
        <v>0</v>
      </c>
      <c r="U139" s="78">
        <f t="shared" si="45"/>
        <v>5.5336930850954973E-2</v>
      </c>
      <c r="V139" s="80">
        <f t="shared" si="45"/>
        <v>-3.7742941299634403E-4</v>
      </c>
    </row>
    <row r="140" spans="1:22">
      <c r="A140" s="165">
        <v>120</v>
      </c>
      <c r="B140" s="137" t="s">
        <v>151</v>
      </c>
      <c r="C140" s="138" t="s">
        <v>42</v>
      </c>
      <c r="D140" s="2">
        <v>29470871611.470001</v>
      </c>
      <c r="E140" s="3">
        <f>(D140/$D$141)</f>
        <v>0.30034849214061943</v>
      </c>
      <c r="F140" s="14">
        <v>4.5999999999999996</v>
      </c>
      <c r="G140" s="14">
        <v>4.5999999999999996</v>
      </c>
      <c r="H140" s="58">
        <v>208270</v>
      </c>
      <c r="I140" s="5">
        <v>2.2200000000000001E-2</v>
      </c>
      <c r="J140" s="5">
        <v>-0.28129999999999999</v>
      </c>
      <c r="K140" s="2">
        <v>29746574247.16</v>
      </c>
      <c r="L140" s="3">
        <f>(K140/$K$141)</f>
        <v>0.30223777683540981</v>
      </c>
      <c r="M140" s="14">
        <v>4.8</v>
      </c>
      <c r="N140" s="14">
        <v>4.8</v>
      </c>
      <c r="O140" s="58">
        <v>208263</v>
      </c>
      <c r="P140" s="5">
        <v>4.3499999999999997E-2</v>
      </c>
      <c r="Q140" s="5">
        <v>-0.25</v>
      </c>
      <c r="R140" s="78">
        <f t="shared" si="43"/>
        <v>9.3550893005382215E-3</v>
      </c>
      <c r="S140" s="78">
        <f t="shared" si="44"/>
        <v>4.3478260869565258E-2</v>
      </c>
      <c r="T140" s="78">
        <f t="shared" si="44"/>
        <v>-3.3610217506121863E-5</v>
      </c>
      <c r="U140" s="78">
        <f t="shared" si="45"/>
        <v>2.1299999999999996E-2</v>
      </c>
      <c r="V140" s="80">
        <f t="shared" si="45"/>
        <v>3.1299999999999994E-2</v>
      </c>
    </row>
    <row r="141" spans="1:22">
      <c r="A141" s="116"/>
      <c r="B141" s="131"/>
      <c r="C141" s="69" t="s">
        <v>46</v>
      </c>
      <c r="D141" s="56">
        <f>SUM(D136:D140)</f>
        <v>98122255921.538315</v>
      </c>
      <c r="E141" s="97">
        <f>(D141/$D$199)</f>
        <v>3.0178362922642483E-2</v>
      </c>
      <c r="F141" s="30"/>
      <c r="G141" s="34"/>
      <c r="H141" s="63">
        <f>SUM(H136:H140)</f>
        <v>217039</v>
      </c>
      <c r="I141" s="35"/>
      <c r="J141" s="35"/>
      <c r="K141" s="56">
        <f>SUM(K136:K140)</f>
        <v>98421099303.410858</v>
      </c>
      <c r="L141" s="97">
        <f>(K141/$K$199)</f>
        <v>3.0332961570028436E-2</v>
      </c>
      <c r="M141" s="30"/>
      <c r="N141" s="34"/>
      <c r="O141" s="63">
        <f>SUM(O136:O140)</f>
        <v>217032</v>
      </c>
      <c r="P141" s="35"/>
      <c r="Q141" s="35"/>
      <c r="R141" s="78">
        <f t="shared" si="43"/>
        <v>3.0456228208971064E-3</v>
      </c>
      <c r="S141" s="78" t="e">
        <f t="shared" si="44"/>
        <v>#DIV/0!</v>
      </c>
      <c r="T141" s="78">
        <f t="shared" si="44"/>
        <v>-3.2252268025562223E-5</v>
      </c>
      <c r="U141" s="78">
        <f t="shared" si="45"/>
        <v>0</v>
      </c>
      <c r="V141" s="80">
        <f t="shared" si="45"/>
        <v>0</v>
      </c>
    </row>
    <row r="142" spans="1:22" ht="7.5" customHeight="1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</row>
    <row r="143" spans="1:22" ht="15" customHeight="1">
      <c r="A143" s="173" t="s">
        <v>152</v>
      </c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</row>
    <row r="144" spans="1:22">
      <c r="A144" s="165">
        <v>121</v>
      </c>
      <c r="B144" s="137" t="s">
        <v>153</v>
      </c>
      <c r="C144" s="138" t="s">
        <v>50</v>
      </c>
      <c r="D144" s="4">
        <v>240440805.19999999</v>
      </c>
      <c r="E144" s="3">
        <f t="shared" ref="E144:E171" si="46">(D144/$D$172)</f>
        <v>4.9139253093308808E-3</v>
      </c>
      <c r="F144" s="4">
        <v>5.38</v>
      </c>
      <c r="G144" s="4">
        <v>5.45</v>
      </c>
      <c r="H144" s="60">
        <v>11835</v>
      </c>
      <c r="I144" s="6">
        <v>3.4789999999999999E-3</v>
      </c>
      <c r="J144" s="6">
        <v>6.8587999999999996E-2</v>
      </c>
      <c r="K144" s="4">
        <v>242269191.88999999</v>
      </c>
      <c r="L144" s="16">
        <f t="shared" ref="L144:L171" si="47">(K144/$K$172)</f>
        <v>4.8890638697381876E-3</v>
      </c>
      <c r="M144" s="4">
        <v>5.42</v>
      </c>
      <c r="N144" s="4">
        <v>5.49</v>
      </c>
      <c r="O144" s="60">
        <v>11835</v>
      </c>
      <c r="P144" s="6">
        <v>8.2710000000000006E-3</v>
      </c>
      <c r="Q144" s="6">
        <v>7.6858999999999997E-2</v>
      </c>
      <c r="R144" s="78">
        <f>((K144-D144)/D144)</f>
        <v>7.6043111254727978E-3</v>
      </c>
      <c r="S144" s="78">
        <f>((N144-G144)/G144)</f>
        <v>7.3394495412844101E-3</v>
      </c>
      <c r="T144" s="78">
        <f>((O144-H144)/H144)</f>
        <v>0</v>
      </c>
      <c r="U144" s="78">
        <f>P144-I144</f>
        <v>4.7920000000000011E-3</v>
      </c>
      <c r="V144" s="80">
        <f>Q144-J144</f>
        <v>8.2710000000000006E-3</v>
      </c>
    </row>
    <row r="145" spans="1:24">
      <c r="A145" s="165">
        <v>122</v>
      </c>
      <c r="B145" s="137" t="s">
        <v>253</v>
      </c>
      <c r="C145" s="137" t="s">
        <v>252</v>
      </c>
      <c r="D145" s="4">
        <v>605212076.25965285</v>
      </c>
      <c r="E145" s="3">
        <f t="shared" si="46"/>
        <v>1.236881126134658E-2</v>
      </c>
      <c r="F145" s="4">
        <v>1155.2513690175449</v>
      </c>
      <c r="G145" s="4">
        <v>1165.8801658069008</v>
      </c>
      <c r="H145" s="60">
        <v>171</v>
      </c>
      <c r="I145" s="6">
        <v>-5.2517292674082033E-3</v>
      </c>
      <c r="J145" s="6">
        <v>3.1057255799591049E-2</v>
      </c>
      <c r="K145" s="4">
        <v>617663499.61931896</v>
      </c>
      <c r="L145" s="16">
        <f t="shared" si="47"/>
        <v>1.2464631908360715E-2</v>
      </c>
      <c r="M145" s="4">
        <v>1178.9236141640795</v>
      </c>
      <c r="N145" s="4">
        <v>1189.9289225723835</v>
      </c>
      <c r="O145" s="60">
        <v>171</v>
      </c>
      <c r="P145" s="6">
        <v>2.0573653183886705E-2</v>
      </c>
      <c r="Q145" s="6">
        <v>5.226987019314179E-2</v>
      </c>
      <c r="R145" s="78">
        <f>((K145-D145)/D145)</f>
        <v>2.0573653183886736E-2</v>
      </c>
      <c r="S145" s="78">
        <f>((N145-G145)/G145)</f>
        <v>2.0627125729374321E-2</v>
      </c>
      <c r="T145" s="78">
        <f>((O145-H145)/H145)</f>
        <v>0</v>
      </c>
      <c r="U145" s="78">
        <f>P145-I145</f>
        <v>2.5825382451294909E-2</v>
      </c>
      <c r="V145" s="80">
        <f>Q145-J145</f>
        <v>2.1212614393550742E-2</v>
      </c>
    </row>
    <row r="146" spans="1:24">
      <c r="A146" s="165">
        <v>123</v>
      </c>
      <c r="B146" s="137" t="s">
        <v>154</v>
      </c>
      <c r="C146" s="138" t="s">
        <v>21</v>
      </c>
      <c r="D146" s="4">
        <v>6433566862.6300001</v>
      </c>
      <c r="E146" s="3">
        <f t="shared" si="46"/>
        <v>0.13148378458162818</v>
      </c>
      <c r="F146" s="4">
        <v>766.44219999999996</v>
      </c>
      <c r="G146" s="4">
        <v>789.55100000000004</v>
      </c>
      <c r="H146" s="60">
        <v>21301</v>
      </c>
      <c r="I146" s="6">
        <v>6.6299999999999998E-2</v>
      </c>
      <c r="J146" s="6">
        <v>0.26719999999999999</v>
      </c>
      <c r="K146" s="4">
        <v>6474525101.4300003</v>
      </c>
      <c r="L146" s="16">
        <f t="shared" si="47"/>
        <v>0.13065782941764528</v>
      </c>
      <c r="M146" s="4">
        <v>771.67349999999999</v>
      </c>
      <c r="N146" s="4">
        <v>794.94010000000003</v>
      </c>
      <c r="O146" s="60">
        <v>21305</v>
      </c>
      <c r="P146" s="6">
        <v>0.3569</v>
      </c>
      <c r="Q146" s="6">
        <v>0.27179999999999999</v>
      </c>
      <c r="R146" s="78">
        <f t="shared" ref="R146:R172" si="48">((K146-D146)/D146)</f>
        <v>6.3663345193332973E-3</v>
      </c>
      <c r="S146" s="78">
        <f t="shared" ref="S146:S172" si="49">((N146-G146)/G146)</f>
        <v>6.8255248869293871E-3</v>
      </c>
      <c r="T146" s="78">
        <f t="shared" ref="T146:T172" si="50">((O146-H146)/H146)</f>
        <v>1.8778461105112436E-4</v>
      </c>
      <c r="U146" s="78">
        <f t="shared" ref="U146:U172" si="51">P146-I146</f>
        <v>0.29059999999999997</v>
      </c>
      <c r="V146" s="80">
        <f t="shared" ref="V146:V172" si="52">Q146-J146</f>
        <v>4.599999999999993E-3</v>
      </c>
    </row>
    <row r="147" spans="1:24">
      <c r="A147" s="165">
        <v>124</v>
      </c>
      <c r="B147" s="137" t="s">
        <v>155</v>
      </c>
      <c r="C147" s="138" t="s">
        <v>91</v>
      </c>
      <c r="D147" s="4">
        <v>3566893315.8499999</v>
      </c>
      <c r="E147" s="3">
        <f t="shared" si="46"/>
        <v>7.2897141256281495E-2</v>
      </c>
      <c r="F147" s="4">
        <v>19.925699999999999</v>
      </c>
      <c r="G147" s="4">
        <v>20.154299999999999</v>
      </c>
      <c r="H147" s="58">
        <v>6227</v>
      </c>
      <c r="I147" s="5">
        <v>1.26E-2</v>
      </c>
      <c r="J147" s="5">
        <v>8.0199999999999994E-2</v>
      </c>
      <c r="K147" s="4">
        <v>3647183058.6300001</v>
      </c>
      <c r="L147" s="16">
        <f t="shared" si="47"/>
        <v>7.3601231667810588E-2</v>
      </c>
      <c r="M147" s="4">
        <v>20.386900000000001</v>
      </c>
      <c r="N147" s="4">
        <v>20.625</v>
      </c>
      <c r="O147" s="58">
        <v>6227</v>
      </c>
      <c r="P147" s="5">
        <v>2.8400000000000002E-2</v>
      </c>
      <c r="Q147" s="5">
        <v>0.1053</v>
      </c>
      <c r="R147" s="78">
        <f t="shared" si="48"/>
        <v>2.2509712422073648E-2</v>
      </c>
      <c r="S147" s="78">
        <f t="shared" si="49"/>
        <v>2.3354817582352194E-2</v>
      </c>
      <c r="T147" s="78">
        <f t="shared" si="50"/>
        <v>0</v>
      </c>
      <c r="U147" s="78">
        <f t="shared" si="51"/>
        <v>1.5800000000000002E-2</v>
      </c>
      <c r="V147" s="80">
        <f t="shared" si="52"/>
        <v>2.5100000000000011E-2</v>
      </c>
    </row>
    <row r="148" spans="1:24">
      <c r="A148" s="165">
        <v>125</v>
      </c>
      <c r="B148" s="137" t="s">
        <v>156</v>
      </c>
      <c r="C148" s="138" t="s">
        <v>101</v>
      </c>
      <c r="D148" s="2">
        <v>1544525552.9632206</v>
      </c>
      <c r="E148" s="3">
        <f t="shared" si="46"/>
        <v>3.1565703663740036E-2</v>
      </c>
      <c r="F148" s="4">
        <v>3.6355</v>
      </c>
      <c r="G148" s="4">
        <v>3.7246999999999999</v>
      </c>
      <c r="H148" s="58">
        <v>2748</v>
      </c>
      <c r="I148" s="5">
        <v>8.3999999999999995E-3</v>
      </c>
      <c r="J148" s="5">
        <v>0.29049999999999998</v>
      </c>
      <c r="K148" s="2">
        <v>1625784282.6270998</v>
      </c>
      <c r="L148" s="16">
        <f t="shared" si="47"/>
        <v>3.2808807154437285E-2</v>
      </c>
      <c r="M148" s="4">
        <v>3.8250999999999999</v>
      </c>
      <c r="N148" s="4">
        <v>3.9222999999999999</v>
      </c>
      <c r="O148" s="58">
        <v>2748</v>
      </c>
      <c r="P148" s="5">
        <v>2.7738</v>
      </c>
      <c r="Q148" s="5">
        <v>0.38369999999999999</v>
      </c>
      <c r="R148" s="78">
        <f t="shared" si="48"/>
        <v>5.2610803044327588E-2</v>
      </c>
      <c r="S148" s="78">
        <f t="shared" si="49"/>
        <v>5.3051252449861731E-2</v>
      </c>
      <c r="T148" s="78">
        <f t="shared" si="50"/>
        <v>0</v>
      </c>
      <c r="U148" s="78">
        <f t="shared" si="51"/>
        <v>2.7654000000000001</v>
      </c>
      <c r="V148" s="80">
        <f t="shared" si="52"/>
        <v>9.3200000000000005E-2</v>
      </c>
    </row>
    <row r="149" spans="1:24">
      <c r="A149" s="165">
        <v>126</v>
      </c>
      <c r="B149" s="137" t="s">
        <v>157</v>
      </c>
      <c r="C149" s="138" t="s">
        <v>56</v>
      </c>
      <c r="D149" s="4">
        <v>2772063005.4642</v>
      </c>
      <c r="E149" s="3">
        <f t="shared" si="46"/>
        <v>5.6653073301263263E-2</v>
      </c>
      <c r="F149" s="4">
        <v>6487.4623989657503</v>
      </c>
      <c r="G149" s="4">
        <v>6532.5067984554198</v>
      </c>
      <c r="H149" s="58">
        <v>868</v>
      </c>
      <c r="I149" s="5">
        <v>0.32927649583735441</v>
      </c>
      <c r="J149" s="5">
        <v>0.20588953244738223</v>
      </c>
      <c r="K149" s="4">
        <v>2836994867.1963201</v>
      </c>
      <c r="L149" s="16">
        <f t="shared" si="47"/>
        <v>5.7251394598038158E-2</v>
      </c>
      <c r="M149" s="4">
        <v>6639.0214699500602</v>
      </c>
      <c r="N149" s="4">
        <v>6686.7502515629403</v>
      </c>
      <c r="O149" s="58">
        <v>868</v>
      </c>
      <c r="P149" s="5">
        <v>1.2214905914764529</v>
      </c>
      <c r="Q149" s="5">
        <v>0.24257128260760308</v>
      </c>
      <c r="R149" s="78">
        <f t="shared" si="48"/>
        <v>2.3423660141969525E-2</v>
      </c>
      <c r="S149" s="78">
        <f t="shared" si="49"/>
        <v>2.3611678926073316E-2</v>
      </c>
      <c r="T149" s="78">
        <f t="shared" si="50"/>
        <v>0</v>
      </c>
      <c r="U149" s="78">
        <f t="shared" si="51"/>
        <v>0.89221409563909848</v>
      </c>
      <c r="V149" s="80">
        <f t="shared" si="52"/>
        <v>3.668175016022085E-2</v>
      </c>
    </row>
    <row r="150" spans="1:24">
      <c r="A150" s="165">
        <v>127</v>
      </c>
      <c r="B150" s="137" t="s">
        <v>158</v>
      </c>
      <c r="C150" s="138" t="s">
        <v>58</v>
      </c>
      <c r="D150" s="4">
        <v>696937721.37</v>
      </c>
      <c r="E150" s="3">
        <f t="shared" si="46"/>
        <v>1.4243422222857523E-2</v>
      </c>
      <c r="F150" s="4">
        <v>172.84</v>
      </c>
      <c r="G150" s="4">
        <v>173.97</v>
      </c>
      <c r="H150" s="58">
        <v>673</v>
      </c>
      <c r="I150" s="5">
        <v>-9.1000000000000004E-3</v>
      </c>
      <c r="J150" s="5">
        <v>0.122</v>
      </c>
      <c r="K150" s="4">
        <v>710593031.66999996</v>
      </c>
      <c r="L150" s="16">
        <f t="shared" si="47"/>
        <v>1.4339977320776791E-2</v>
      </c>
      <c r="M150" s="4">
        <v>176.29</v>
      </c>
      <c r="N150" s="4">
        <v>177.47</v>
      </c>
      <c r="O150" s="58">
        <v>673</v>
      </c>
      <c r="P150" s="5">
        <v>1.0800000000000001E-2</v>
      </c>
      <c r="Q150" s="5">
        <v>0.1421</v>
      </c>
      <c r="R150" s="78">
        <f t="shared" si="48"/>
        <v>1.9593300636902147E-2</v>
      </c>
      <c r="S150" s="78">
        <f t="shared" si="49"/>
        <v>2.0118411220325344E-2</v>
      </c>
      <c r="T150" s="78">
        <f t="shared" si="50"/>
        <v>0</v>
      </c>
      <c r="U150" s="78">
        <f t="shared" si="51"/>
        <v>1.9900000000000001E-2</v>
      </c>
      <c r="V150" s="80">
        <f t="shared" si="52"/>
        <v>2.0100000000000007E-2</v>
      </c>
    </row>
    <row r="151" spans="1:24">
      <c r="A151" s="165">
        <v>128</v>
      </c>
      <c r="B151" s="137" t="s">
        <v>159</v>
      </c>
      <c r="C151" s="138" t="s">
        <v>60</v>
      </c>
      <c r="D151" s="4">
        <v>3734808.11</v>
      </c>
      <c r="E151" s="3">
        <f t="shared" si="46"/>
        <v>7.6328841445849689E-5</v>
      </c>
      <c r="F151" s="4">
        <v>102.747</v>
      </c>
      <c r="G151" s="4">
        <v>102.99</v>
      </c>
      <c r="H151" s="58">
        <v>0</v>
      </c>
      <c r="I151" s="5">
        <v>0</v>
      </c>
      <c r="J151" s="5">
        <v>0</v>
      </c>
      <c r="K151" s="4">
        <v>3734808.11</v>
      </c>
      <c r="L151" s="16">
        <f t="shared" si="47"/>
        <v>7.5369531092904358E-5</v>
      </c>
      <c r="M151" s="4">
        <v>102.747</v>
      </c>
      <c r="N151" s="4">
        <v>102.99</v>
      </c>
      <c r="O151" s="58">
        <v>0</v>
      </c>
      <c r="P151" s="5">
        <v>0</v>
      </c>
      <c r="Q151" s="5">
        <v>0</v>
      </c>
      <c r="R151" s="78">
        <f t="shared" si="48"/>
        <v>0</v>
      </c>
      <c r="S151" s="78">
        <f t="shared" si="49"/>
        <v>0</v>
      </c>
      <c r="T151" s="78" t="e">
        <f t="shared" si="50"/>
        <v>#DIV/0!</v>
      </c>
      <c r="U151" s="78">
        <f t="shared" si="51"/>
        <v>0</v>
      </c>
      <c r="V151" s="80">
        <f t="shared" si="52"/>
        <v>0</v>
      </c>
    </row>
    <row r="152" spans="1:24">
      <c r="A152" s="165">
        <v>129</v>
      </c>
      <c r="B152" s="137" t="s">
        <v>160</v>
      </c>
      <c r="C152" s="138" t="s">
        <v>105</v>
      </c>
      <c r="D152" s="4">
        <v>191321753.18000001</v>
      </c>
      <c r="E152" s="3">
        <f t="shared" si="46"/>
        <v>3.9100717716975854E-3</v>
      </c>
      <c r="F152" s="4">
        <v>1.4459</v>
      </c>
      <c r="G152" s="4">
        <v>1.4577</v>
      </c>
      <c r="H152" s="58">
        <v>325</v>
      </c>
      <c r="I152" s="5">
        <v>-7.6019350380107653E-4</v>
      </c>
      <c r="J152" s="5">
        <v>-1.2295921852585545E-2</v>
      </c>
      <c r="K152" s="4">
        <v>194185622.47</v>
      </c>
      <c r="L152" s="16">
        <f t="shared" si="47"/>
        <v>3.9187232327573722E-3</v>
      </c>
      <c r="M152" s="4">
        <v>1.4656</v>
      </c>
      <c r="N152" s="4">
        <v>1.4777</v>
      </c>
      <c r="O152" s="58">
        <v>329</v>
      </c>
      <c r="P152" s="5">
        <v>1.3624732000830031E-2</v>
      </c>
      <c r="Q152" s="5">
        <v>1.1612815082997496E-3</v>
      </c>
      <c r="R152" s="78">
        <f t="shared" si="48"/>
        <v>1.4968863928952168E-2</v>
      </c>
      <c r="S152" s="78">
        <f t="shared" si="49"/>
        <v>1.3720244220347134E-2</v>
      </c>
      <c r="T152" s="78">
        <f t="shared" si="50"/>
        <v>1.2307692307692308E-2</v>
      </c>
      <c r="U152" s="78">
        <f t="shared" si="51"/>
        <v>1.4384925504631108E-2</v>
      </c>
      <c r="V152" s="80">
        <f t="shared" si="52"/>
        <v>1.3457203360885295E-2</v>
      </c>
    </row>
    <row r="153" spans="1:24">
      <c r="A153" s="165">
        <v>130</v>
      </c>
      <c r="B153" s="137" t="s">
        <v>161</v>
      </c>
      <c r="C153" s="138" t="s">
        <v>25</v>
      </c>
      <c r="D153" s="9">
        <v>128044559.54000001</v>
      </c>
      <c r="E153" s="3">
        <f t="shared" si="46"/>
        <v>2.6168661401809799E-3</v>
      </c>
      <c r="F153" s="4">
        <v>145.8202</v>
      </c>
      <c r="G153" s="4">
        <v>146.4066</v>
      </c>
      <c r="H153" s="58">
        <v>112</v>
      </c>
      <c r="I153" s="5">
        <v>4.1399999999999998E-4</v>
      </c>
      <c r="J153" s="5">
        <v>0.27839999999999998</v>
      </c>
      <c r="K153" s="9">
        <v>130334927.95</v>
      </c>
      <c r="L153" s="16">
        <f t="shared" si="47"/>
        <v>2.6301973529287894E-3</v>
      </c>
      <c r="M153" s="4">
        <v>147.89769999999999</v>
      </c>
      <c r="N153" s="4">
        <v>148.50069999999999</v>
      </c>
      <c r="O153" s="58">
        <v>113</v>
      </c>
      <c r="P153" s="5">
        <v>4.1399999999999998E-4</v>
      </c>
      <c r="Q153" s="5">
        <v>0.13350000000000001</v>
      </c>
      <c r="R153" s="78">
        <f t="shared" si="48"/>
        <v>1.788727625935958E-2</v>
      </c>
      <c r="S153" s="78">
        <f t="shared" si="49"/>
        <v>1.4303316926969121E-2</v>
      </c>
      <c r="T153" s="78">
        <f t="shared" si="50"/>
        <v>8.9285714285714281E-3</v>
      </c>
      <c r="U153" s="78">
        <f t="shared" si="51"/>
        <v>0</v>
      </c>
      <c r="V153" s="80">
        <f t="shared" si="52"/>
        <v>-0.14489999999999997</v>
      </c>
    </row>
    <row r="154" spans="1:24">
      <c r="A154" s="165">
        <v>131</v>
      </c>
      <c r="B154" s="137" t="s">
        <v>162</v>
      </c>
      <c r="C154" s="138" t="s">
        <v>64</v>
      </c>
      <c r="D154" s="9">
        <v>211240992.50999999</v>
      </c>
      <c r="E154" s="3">
        <f t="shared" si="46"/>
        <v>4.3171642958009194E-3</v>
      </c>
      <c r="F154" s="4">
        <v>113.3</v>
      </c>
      <c r="G154" s="4">
        <v>113.65</v>
      </c>
      <c r="H154" s="58">
        <v>27</v>
      </c>
      <c r="I154" s="5">
        <v>-7.9000000000000008E-3</v>
      </c>
      <c r="J154" s="5">
        <v>0.1447</v>
      </c>
      <c r="K154" s="9">
        <v>212993592.86000001</v>
      </c>
      <c r="L154" s="16">
        <f t="shared" si="47"/>
        <v>4.2982736319620938E-3</v>
      </c>
      <c r="M154" s="4">
        <v>114.24</v>
      </c>
      <c r="N154" s="4">
        <v>114.68</v>
      </c>
      <c r="O154" s="58">
        <v>27</v>
      </c>
      <c r="P154" s="5">
        <v>8.6999999999999994E-3</v>
      </c>
      <c r="Q154" s="5">
        <v>0.15340000000000001</v>
      </c>
      <c r="R154" s="78">
        <f t="shared" si="48"/>
        <v>8.2966867802283083E-3</v>
      </c>
      <c r="S154" s="78">
        <f t="shared" si="49"/>
        <v>9.0629124505059496E-3</v>
      </c>
      <c r="T154" s="78">
        <f t="shared" si="50"/>
        <v>0</v>
      </c>
      <c r="U154" s="78">
        <f t="shared" si="51"/>
        <v>1.66E-2</v>
      </c>
      <c r="V154" s="80">
        <f t="shared" si="52"/>
        <v>8.7000000000000133E-3</v>
      </c>
    </row>
    <row r="155" spans="1:24" ht="15.75" customHeight="1">
      <c r="A155" s="165">
        <v>132</v>
      </c>
      <c r="B155" s="137" t="s">
        <v>163</v>
      </c>
      <c r="C155" s="138" t="s">
        <v>67</v>
      </c>
      <c r="D155" s="2">
        <v>318152016.73000002</v>
      </c>
      <c r="E155" s="3">
        <f t="shared" si="46"/>
        <v>6.5021211600243337E-3</v>
      </c>
      <c r="F155" s="4">
        <v>1.2331000000000001</v>
      </c>
      <c r="G155" s="4">
        <v>1.2474000000000001</v>
      </c>
      <c r="H155" s="58">
        <v>110</v>
      </c>
      <c r="I155" s="5">
        <v>-9.3195147425081011E-3</v>
      </c>
      <c r="J155" s="5">
        <v>0.18177159551914479</v>
      </c>
      <c r="K155" s="2">
        <v>320495353.83999997</v>
      </c>
      <c r="L155" s="16">
        <f t="shared" si="47"/>
        <v>6.467690929474623E-3</v>
      </c>
      <c r="M155" s="4">
        <v>1.2496</v>
      </c>
      <c r="N155" s="4">
        <v>1.2644</v>
      </c>
      <c r="O155" s="58">
        <v>109</v>
      </c>
      <c r="P155" s="5">
        <v>1.3380909901873293E-2</v>
      </c>
      <c r="Q155" s="5">
        <v>0.23777592610244369</v>
      </c>
      <c r="R155" s="78">
        <f t="shared" si="48"/>
        <v>7.3654636361731116E-3</v>
      </c>
      <c r="S155" s="78">
        <f t="shared" si="49"/>
        <v>1.3628346961680218E-2</v>
      </c>
      <c r="T155" s="78">
        <f t="shared" si="50"/>
        <v>-9.0909090909090905E-3</v>
      </c>
      <c r="U155" s="78">
        <f t="shared" si="51"/>
        <v>2.2700424644381392E-2</v>
      </c>
      <c r="V155" s="80">
        <f t="shared" si="52"/>
        <v>5.60043305832989E-2</v>
      </c>
      <c r="X155" s="102"/>
    </row>
    <row r="156" spans="1:24">
      <c r="A156" s="165">
        <v>133</v>
      </c>
      <c r="B156" s="137" t="s">
        <v>164</v>
      </c>
      <c r="C156" s="138" t="s">
        <v>27</v>
      </c>
      <c r="D156" s="4">
        <v>8594482462.0499992</v>
      </c>
      <c r="E156" s="3">
        <f t="shared" si="46"/>
        <v>0.17564674538391487</v>
      </c>
      <c r="F156" s="4">
        <v>315.77</v>
      </c>
      <c r="G156" s="4">
        <v>317.72000000000003</v>
      </c>
      <c r="H156" s="58">
        <v>5476</v>
      </c>
      <c r="I156" s="5">
        <v>5.5999999999999999E-3</v>
      </c>
      <c r="J156" s="5">
        <v>0.16769999999999999</v>
      </c>
      <c r="K156" s="4">
        <v>8669572918.4300003</v>
      </c>
      <c r="L156" s="16">
        <f t="shared" si="47"/>
        <v>0.17495454288220752</v>
      </c>
      <c r="M156" s="4">
        <v>318.39999999999998</v>
      </c>
      <c r="N156" s="4">
        <v>320.38</v>
      </c>
      <c r="O156" s="58">
        <v>5474</v>
      </c>
      <c r="P156" s="5">
        <v>8.3000000000000001E-3</v>
      </c>
      <c r="Q156" s="5">
        <v>0.17749999999999999</v>
      </c>
      <c r="R156" s="78">
        <f t="shared" si="48"/>
        <v>8.7370538844627667E-3</v>
      </c>
      <c r="S156" s="78">
        <f t="shared" si="49"/>
        <v>8.3721515800074531E-3</v>
      </c>
      <c r="T156" s="78">
        <f t="shared" si="50"/>
        <v>-3.652300949598247E-4</v>
      </c>
      <c r="U156" s="78">
        <f t="shared" si="51"/>
        <v>2.7000000000000001E-3</v>
      </c>
      <c r="V156" s="80">
        <f t="shared" si="52"/>
        <v>9.8000000000000032E-3</v>
      </c>
    </row>
    <row r="157" spans="1:24">
      <c r="A157" s="165">
        <v>134</v>
      </c>
      <c r="B157" s="137" t="s">
        <v>165</v>
      </c>
      <c r="C157" s="138" t="s">
        <v>72</v>
      </c>
      <c r="D157" s="4">
        <v>2877799280.1599998</v>
      </c>
      <c r="E157" s="3">
        <f t="shared" si="46"/>
        <v>5.881402163076941E-2</v>
      </c>
      <c r="F157" s="4">
        <v>2.0148000000000001</v>
      </c>
      <c r="G157" s="4">
        <v>2.0493000000000001</v>
      </c>
      <c r="H157" s="58">
        <v>10309</v>
      </c>
      <c r="I157" s="5">
        <v>-1.03E-2</v>
      </c>
      <c r="J157" s="5">
        <v>0.15509999999999999</v>
      </c>
      <c r="K157" s="4">
        <v>2939179369.6500001</v>
      </c>
      <c r="L157" s="16">
        <f t="shared" si="47"/>
        <v>5.9313508047528232E-2</v>
      </c>
      <c r="M157" s="4">
        <v>2.0573000000000001</v>
      </c>
      <c r="N157" s="4">
        <v>2.0933999999999999</v>
      </c>
      <c r="O157" s="58">
        <v>10309</v>
      </c>
      <c r="P157" s="5">
        <v>1.5299999999999999E-2</v>
      </c>
      <c r="Q157" s="5">
        <v>0.1797</v>
      </c>
      <c r="R157" s="78">
        <f t="shared" si="48"/>
        <v>2.132882925962357E-2</v>
      </c>
      <c r="S157" s="78">
        <f t="shared" si="49"/>
        <v>2.1519543258673599E-2</v>
      </c>
      <c r="T157" s="78">
        <f t="shared" si="50"/>
        <v>0</v>
      </c>
      <c r="U157" s="78">
        <f t="shared" si="51"/>
        <v>2.5599999999999998E-2</v>
      </c>
      <c r="V157" s="80">
        <f t="shared" si="52"/>
        <v>2.4600000000000011E-2</v>
      </c>
    </row>
    <row r="158" spans="1:24">
      <c r="A158" s="165">
        <v>135</v>
      </c>
      <c r="B158" s="137" t="s">
        <v>166</v>
      </c>
      <c r="C158" s="138" t="s">
        <v>74</v>
      </c>
      <c r="D158" s="4">
        <v>187880704.99471542</v>
      </c>
      <c r="E158" s="3">
        <f t="shared" si="46"/>
        <v>3.839746546516976E-3</v>
      </c>
      <c r="F158" s="4">
        <v>242.35181366205737</v>
      </c>
      <c r="G158" s="4">
        <v>250.41353169905773</v>
      </c>
      <c r="H158" s="58">
        <v>39</v>
      </c>
      <c r="I158" s="5">
        <v>-8.6224259035722062E-3</v>
      </c>
      <c r="J158" s="5">
        <v>-1.3022116918733265E-2</v>
      </c>
      <c r="K158" s="4">
        <v>187880704.99471542</v>
      </c>
      <c r="L158" s="16">
        <f t="shared" si="47"/>
        <v>3.7914881353451903E-3</v>
      </c>
      <c r="M158" s="4">
        <v>251.43</v>
      </c>
      <c r="N158" s="4">
        <v>259.63</v>
      </c>
      <c r="O158" s="58">
        <v>39</v>
      </c>
      <c r="P158" s="5">
        <v>3.7458710132046047E-2</v>
      </c>
      <c r="Q158" s="5">
        <v>4.864969698496615E-2</v>
      </c>
      <c r="R158" s="78">
        <f t="shared" si="48"/>
        <v>0</v>
      </c>
      <c r="S158" s="78">
        <f t="shared" si="49"/>
        <v>3.680499307848286E-2</v>
      </c>
      <c r="T158" s="78">
        <f t="shared" si="50"/>
        <v>0</v>
      </c>
      <c r="U158" s="78">
        <f t="shared" si="51"/>
        <v>4.6081136035618253E-2</v>
      </c>
      <c r="V158" s="80">
        <f t="shared" si="52"/>
        <v>6.1671813903699413E-2</v>
      </c>
    </row>
    <row r="159" spans="1:24">
      <c r="A159" s="165">
        <v>136</v>
      </c>
      <c r="B159" s="137" t="s">
        <v>275</v>
      </c>
      <c r="C159" s="137" t="s">
        <v>255</v>
      </c>
      <c r="D159" s="4">
        <v>48918407.729999997</v>
      </c>
      <c r="E159" s="3">
        <f t="shared" si="46"/>
        <v>9.9975293975855637E-4</v>
      </c>
      <c r="F159" s="4">
        <v>0.95699999999999996</v>
      </c>
      <c r="G159" s="4">
        <v>0.96899999999999997</v>
      </c>
      <c r="H159" s="58">
        <v>15</v>
      </c>
      <c r="I159" s="5">
        <v>1.0800000000000001E-2</v>
      </c>
      <c r="J159" s="5">
        <v>2.1600000000000001E-2</v>
      </c>
      <c r="K159" s="4">
        <v>54324222.329999998</v>
      </c>
      <c r="L159" s="16">
        <f t="shared" si="47"/>
        <v>1.0962788564788631E-3</v>
      </c>
      <c r="M159" s="4">
        <v>1.0569999999999999</v>
      </c>
      <c r="N159" s="4">
        <v>1.0740000000000001</v>
      </c>
      <c r="O159" s="58">
        <v>19</v>
      </c>
      <c r="P159" s="5">
        <v>0.122</v>
      </c>
      <c r="Q159" s="5">
        <v>6.4999999999999997E-3</v>
      </c>
      <c r="R159" s="78">
        <f t="shared" ref="R159" si="53">((K159-D159)/D159)</f>
        <v>0.11050675708491631</v>
      </c>
      <c r="S159" s="78">
        <f t="shared" ref="S159" si="54">((N159-G159)/G159)</f>
        <v>0.10835913312693508</v>
      </c>
      <c r="T159" s="78">
        <f t="shared" ref="T159" si="55">((O159-H159)/H159)</f>
        <v>0.26666666666666666</v>
      </c>
      <c r="U159" s="78">
        <f t="shared" ref="U159" si="56">P159-I159</f>
        <v>0.11119999999999999</v>
      </c>
      <c r="V159" s="80">
        <f t="shared" ref="V159" si="57">Q159-J159</f>
        <v>-1.5100000000000002E-2</v>
      </c>
    </row>
    <row r="160" spans="1:24" ht="13.5" customHeight="1">
      <c r="A160" s="165">
        <v>137</v>
      </c>
      <c r="B160" s="137" t="s">
        <v>238</v>
      </c>
      <c r="C160" s="138" t="s">
        <v>32</v>
      </c>
      <c r="D160" s="2">
        <v>2705559211</v>
      </c>
      <c r="E160" s="3">
        <f t="shared" si="46"/>
        <v>5.5293925137904126E-2</v>
      </c>
      <c r="F160" s="4">
        <v>3.8158509999999999</v>
      </c>
      <c r="G160" s="4">
        <v>3.946415</v>
      </c>
      <c r="H160" s="58">
        <v>2328</v>
      </c>
      <c r="I160" s="5">
        <v>-2.0939585099656322E-3</v>
      </c>
      <c r="J160" s="5">
        <v>4.9088884612212169E-2</v>
      </c>
      <c r="K160" s="2">
        <v>2768114319.8400002</v>
      </c>
      <c r="L160" s="16">
        <f t="shared" si="47"/>
        <v>5.58613648019241E-2</v>
      </c>
      <c r="M160" s="4">
        <v>3.905443</v>
      </c>
      <c r="N160" s="4">
        <v>4.029363</v>
      </c>
      <c r="O160" s="58">
        <v>2330</v>
      </c>
      <c r="P160" s="5">
        <v>2.3478904181531313E-2</v>
      </c>
      <c r="Q160" s="5">
        <v>7.3720342011931894E-2</v>
      </c>
      <c r="R160" s="78">
        <f t="shared" si="48"/>
        <v>2.3120953548408648E-2</v>
      </c>
      <c r="S160" s="78">
        <f t="shared" si="49"/>
        <v>2.1018570018611835E-2</v>
      </c>
      <c r="T160" s="78">
        <f t="shared" si="50"/>
        <v>8.5910652920962198E-4</v>
      </c>
      <c r="U160" s="78">
        <f t="shared" si="51"/>
        <v>2.5572862691496945E-2</v>
      </c>
      <c r="V160" s="80">
        <f>Q160-J160</f>
        <v>2.4631457399719725E-2</v>
      </c>
    </row>
    <row r="161" spans="1:22">
      <c r="A161" s="165">
        <v>138</v>
      </c>
      <c r="B161" s="137" t="s">
        <v>167</v>
      </c>
      <c r="C161" s="138" t="s">
        <v>114</v>
      </c>
      <c r="D161" s="2">
        <v>213010575.33000001</v>
      </c>
      <c r="E161" s="3">
        <f t="shared" si="46"/>
        <v>4.3533295290645582E-3</v>
      </c>
      <c r="F161" s="4">
        <v>182.43</v>
      </c>
      <c r="G161" s="4">
        <v>186.49</v>
      </c>
      <c r="H161" s="58">
        <v>139</v>
      </c>
      <c r="I161" s="5">
        <v>2.8799999999999999E-2</v>
      </c>
      <c r="J161" s="5">
        <v>1.89E-2</v>
      </c>
      <c r="K161" s="2">
        <v>212396523.58000001</v>
      </c>
      <c r="L161" s="16">
        <f t="shared" si="47"/>
        <v>4.286224597490125E-3</v>
      </c>
      <c r="M161" s="4">
        <v>181.9</v>
      </c>
      <c r="N161" s="4">
        <v>186.04</v>
      </c>
      <c r="O161" s="58">
        <v>139</v>
      </c>
      <c r="P161" s="5">
        <v>2.8799999999999999E-2</v>
      </c>
      <c r="Q161" s="5">
        <v>1.89E-2</v>
      </c>
      <c r="R161" s="78">
        <f t="shared" si="48"/>
        <v>-2.882728939859908E-3</v>
      </c>
      <c r="S161" s="78">
        <f t="shared" si="49"/>
        <v>-2.4129980159795002E-3</v>
      </c>
      <c r="T161" s="78">
        <f t="shared" si="50"/>
        <v>0</v>
      </c>
      <c r="U161" s="78">
        <f t="shared" si="51"/>
        <v>0</v>
      </c>
      <c r="V161" s="80">
        <f t="shared" si="52"/>
        <v>0</v>
      </c>
    </row>
    <row r="162" spans="1:22">
      <c r="A162" s="165">
        <v>139</v>
      </c>
      <c r="B162" s="137" t="s">
        <v>168</v>
      </c>
      <c r="C162" s="138" t="s">
        <v>29</v>
      </c>
      <c r="D162" s="2">
        <v>1798020710</v>
      </c>
      <c r="E162" s="3">
        <f t="shared" si="46"/>
        <v>3.6746422747257042E-2</v>
      </c>
      <c r="F162" s="4">
        <v>552.22</v>
      </c>
      <c r="G162" s="4">
        <v>552.22</v>
      </c>
      <c r="H162" s="58">
        <v>823</v>
      </c>
      <c r="I162" s="5">
        <v>-2.281E-2</v>
      </c>
      <c r="J162" s="5">
        <v>0.15015000000000001</v>
      </c>
      <c r="K162" s="2">
        <v>1762854781.3599999</v>
      </c>
      <c r="L162" s="16">
        <f t="shared" si="47"/>
        <v>3.5574930315760617E-2</v>
      </c>
      <c r="M162" s="4">
        <v>552.22</v>
      </c>
      <c r="N162" s="4">
        <v>552.22</v>
      </c>
      <c r="O162" s="58">
        <v>823</v>
      </c>
      <c r="P162" s="5">
        <v>-1.9560000000000001E-2</v>
      </c>
      <c r="Q162" s="5">
        <v>0.12766</v>
      </c>
      <c r="R162" s="78">
        <f t="shared" si="48"/>
        <v>-1.9558133254204899E-2</v>
      </c>
      <c r="S162" s="78">
        <f t="shared" si="49"/>
        <v>0</v>
      </c>
      <c r="T162" s="78">
        <f t="shared" si="50"/>
        <v>0</v>
      </c>
      <c r="U162" s="78">
        <f t="shared" si="51"/>
        <v>3.2499999999999994E-3</v>
      </c>
      <c r="V162" s="80">
        <f t="shared" si="52"/>
        <v>-2.249000000000001E-2</v>
      </c>
    </row>
    <row r="163" spans="1:22">
      <c r="A163" s="165">
        <v>140</v>
      </c>
      <c r="B163" s="137" t="s">
        <v>169</v>
      </c>
      <c r="C163" s="138" t="s">
        <v>80</v>
      </c>
      <c r="D163" s="4">
        <v>26117944.91</v>
      </c>
      <c r="E163" s="3">
        <f t="shared" si="46"/>
        <v>5.3377641292709597E-4</v>
      </c>
      <c r="F163" s="4">
        <v>1.64</v>
      </c>
      <c r="G163" s="4">
        <v>1.64</v>
      </c>
      <c r="H163" s="58">
        <v>8</v>
      </c>
      <c r="I163" s="5">
        <v>-2.0480999999999999E-2</v>
      </c>
      <c r="J163" s="5">
        <v>7.5269999999999998E-3</v>
      </c>
      <c r="K163" s="4">
        <v>26668891.879999999</v>
      </c>
      <c r="L163" s="16">
        <f t="shared" si="47"/>
        <v>5.3818611734860041E-4</v>
      </c>
      <c r="M163" s="4">
        <v>1.68</v>
      </c>
      <c r="N163" s="4">
        <v>1.68</v>
      </c>
      <c r="O163" s="58">
        <v>8</v>
      </c>
      <c r="P163" s="5">
        <v>2.1094999999999999E-2</v>
      </c>
      <c r="Q163" s="5">
        <v>2.8781000000000001E-2</v>
      </c>
      <c r="R163" s="78">
        <f t="shared" si="48"/>
        <v>2.1094575851909891E-2</v>
      </c>
      <c r="S163" s="78">
        <f t="shared" si="49"/>
        <v>2.4390243902439046E-2</v>
      </c>
      <c r="T163" s="78">
        <f t="shared" si="50"/>
        <v>0</v>
      </c>
      <c r="U163" s="78">
        <f t="shared" si="51"/>
        <v>4.1576000000000002E-2</v>
      </c>
      <c r="V163" s="80">
        <f t="shared" si="52"/>
        <v>2.1254000000000002E-2</v>
      </c>
    </row>
    <row r="164" spans="1:22">
      <c r="A164" s="165">
        <v>141</v>
      </c>
      <c r="B164" s="137" t="s">
        <v>170</v>
      </c>
      <c r="C164" s="138" t="s">
        <v>38</v>
      </c>
      <c r="D164" s="4">
        <v>267854198.52000001</v>
      </c>
      <c r="E164" s="3">
        <f t="shared" si="46"/>
        <v>5.4741769984638453E-3</v>
      </c>
      <c r="F164" s="4">
        <v>2.73</v>
      </c>
      <c r="G164" s="4">
        <v>2.78</v>
      </c>
      <c r="H164" s="58">
        <v>117</v>
      </c>
      <c r="I164" s="5">
        <v>-3.0999999999999999E-3</v>
      </c>
      <c r="J164" s="5">
        <v>0.17510000000000001</v>
      </c>
      <c r="K164" s="4">
        <v>247971994.21000001</v>
      </c>
      <c r="L164" s="16">
        <f t="shared" si="47"/>
        <v>5.0041481054243758E-3</v>
      </c>
      <c r="M164" s="4">
        <v>2.5299999999999998</v>
      </c>
      <c r="N164" s="4">
        <v>2.58</v>
      </c>
      <c r="O164" s="58">
        <v>117</v>
      </c>
      <c r="P164" s="5">
        <v>-8.9499999999999996E-2</v>
      </c>
      <c r="Q164" s="5">
        <v>8.8800000000000004E-2</v>
      </c>
      <c r="R164" s="78">
        <f t="shared" si="48"/>
        <v>-7.4227712015928871E-2</v>
      </c>
      <c r="S164" s="78">
        <f t="shared" si="49"/>
        <v>-7.1942446043165381E-2</v>
      </c>
      <c r="T164" s="78">
        <f t="shared" si="50"/>
        <v>0</v>
      </c>
      <c r="U164" s="78">
        <f t="shared" si="51"/>
        <v>-8.6399999999999991E-2</v>
      </c>
      <c r="V164" s="80">
        <f t="shared" si="52"/>
        <v>-8.6300000000000002E-2</v>
      </c>
    </row>
    <row r="165" spans="1:22">
      <c r="A165" s="165">
        <v>142</v>
      </c>
      <c r="B165" s="137" t="s">
        <v>171</v>
      </c>
      <c r="C165" s="138" t="s">
        <v>42</v>
      </c>
      <c r="D165" s="2">
        <v>2654439449.9099998</v>
      </c>
      <c r="E165" s="3">
        <f t="shared" si="46"/>
        <v>5.4249182804679316E-2</v>
      </c>
      <c r="F165" s="4">
        <v>5510.53</v>
      </c>
      <c r="G165" s="4">
        <v>5567.15</v>
      </c>
      <c r="H165" s="58">
        <v>2251</v>
      </c>
      <c r="I165" s="5">
        <v>-1.9300000000000001E-2</v>
      </c>
      <c r="J165" s="5">
        <v>0.1087</v>
      </c>
      <c r="K165" s="2">
        <v>2702414651.71</v>
      </c>
      <c r="L165" s="3">
        <f t="shared" si="47"/>
        <v>5.4535526088374364E-2</v>
      </c>
      <c r="M165" s="4">
        <v>5622.92</v>
      </c>
      <c r="N165" s="4">
        <v>5684.21</v>
      </c>
      <c r="O165" s="58">
        <v>2253</v>
      </c>
      <c r="P165" s="5">
        <v>2.1000000000000001E-2</v>
      </c>
      <c r="Q165" s="5">
        <v>0.13200000000000001</v>
      </c>
      <c r="R165" s="78">
        <f t="shared" si="48"/>
        <v>1.8073571729664738E-2</v>
      </c>
      <c r="S165" s="78">
        <f t="shared" si="49"/>
        <v>2.1026916824587159E-2</v>
      </c>
      <c r="T165" s="78">
        <f t="shared" si="50"/>
        <v>8.8849400266548197E-4</v>
      </c>
      <c r="U165" s="78">
        <f t="shared" si="51"/>
        <v>4.0300000000000002E-2</v>
      </c>
      <c r="V165" s="80">
        <f t="shared" si="52"/>
        <v>2.3300000000000001E-2</v>
      </c>
    </row>
    <row r="166" spans="1:22">
      <c r="A166" s="165">
        <v>143</v>
      </c>
      <c r="B166" s="137" t="s">
        <v>273</v>
      </c>
      <c r="C166" s="137" t="s">
        <v>271</v>
      </c>
      <c r="D166" s="2">
        <v>79032746.989999995</v>
      </c>
      <c r="E166" s="3">
        <f t="shared" si="46"/>
        <v>1.6152042719082733E-3</v>
      </c>
      <c r="F166" s="4">
        <v>1042.8399999999999</v>
      </c>
      <c r="G166" s="4">
        <v>1055.74</v>
      </c>
      <c r="H166" s="58">
        <v>4</v>
      </c>
      <c r="I166" s="5">
        <v>1.8203963760943243E-3</v>
      </c>
      <c r="J166" s="5">
        <v>5.5199999999999999E-2</v>
      </c>
      <c r="K166" s="2">
        <v>79460835.480000004</v>
      </c>
      <c r="L166" s="3">
        <f t="shared" si="47"/>
        <v>1.6035431363508573E-3</v>
      </c>
      <c r="M166" s="4">
        <v>1047.18</v>
      </c>
      <c r="N166" s="4">
        <v>1060.1099999999999</v>
      </c>
      <c r="O166" s="58">
        <v>4</v>
      </c>
      <c r="P166" s="5">
        <v>4.55432183414195E-3</v>
      </c>
      <c r="Q166" s="5">
        <v>5.8900000000000001E-2</v>
      </c>
      <c r="R166" s="78">
        <f>((K166-D166)/D166)</f>
        <v>5.4165963642156525E-3</v>
      </c>
      <c r="S166" s="78">
        <f>((N166-G166)/G166)</f>
        <v>4.1392767158579674E-3</v>
      </c>
      <c r="T166" s="78">
        <f t="shared" si="50"/>
        <v>0</v>
      </c>
      <c r="U166" s="78">
        <f>P166-I166</f>
        <v>2.7339254580476258E-3</v>
      </c>
      <c r="V166" s="80">
        <f>Q166-J166</f>
        <v>3.7000000000000019E-3</v>
      </c>
    </row>
    <row r="167" spans="1:22">
      <c r="A167" s="165">
        <v>144</v>
      </c>
      <c r="B167" s="137" t="s">
        <v>254</v>
      </c>
      <c r="C167" s="137" t="s">
        <v>255</v>
      </c>
      <c r="D167" s="2">
        <v>662715422.91999996</v>
      </c>
      <c r="E167" s="3">
        <f t="shared" si="46"/>
        <v>1.3544015903879972E-2</v>
      </c>
      <c r="F167" s="4">
        <v>1.27</v>
      </c>
      <c r="G167" s="4">
        <v>1.27</v>
      </c>
      <c r="H167" s="58">
        <v>39</v>
      </c>
      <c r="I167" s="5">
        <v>3.2000000000000002E-3</v>
      </c>
      <c r="J167" s="5">
        <v>0.19</v>
      </c>
      <c r="K167" s="2">
        <v>664698317.89999998</v>
      </c>
      <c r="L167" s="3">
        <f t="shared" si="47"/>
        <v>1.3413808437501029E-2</v>
      </c>
      <c r="M167" s="4">
        <v>1.2729999999999999</v>
      </c>
      <c r="N167" s="4">
        <v>1.2729999999999999</v>
      </c>
      <c r="O167" s="58">
        <v>39</v>
      </c>
      <c r="P167" s="5">
        <v>2.3E-3</v>
      </c>
      <c r="Q167" s="5">
        <v>0.1915</v>
      </c>
      <c r="R167" s="78">
        <f>((K167-D167)/D167)</f>
        <v>2.9920761029872474E-3</v>
      </c>
      <c r="S167" s="78">
        <f>((N167-G167)/G167)</f>
        <v>2.3622047244093634E-3</v>
      </c>
      <c r="T167" s="78">
        <f>((O167-H167)/H167)</f>
        <v>0</v>
      </c>
      <c r="U167" s="78">
        <f>P167-I167</f>
        <v>-9.0000000000000019E-4</v>
      </c>
      <c r="V167" s="80">
        <f>Q167-J167</f>
        <v>1.5000000000000013E-3</v>
      </c>
    </row>
    <row r="168" spans="1:22">
      <c r="A168" s="165">
        <v>145</v>
      </c>
      <c r="B168" s="137" t="s">
        <v>172</v>
      </c>
      <c r="C168" s="138" t="s">
        <v>45</v>
      </c>
      <c r="D168" s="4">
        <v>1754910899.0799999</v>
      </c>
      <c r="E168" s="3">
        <f t="shared" si="46"/>
        <v>3.5865380984050302E-2</v>
      </c>
      <c r="F168" s="4">
        <v>1.6521999999999999</v>
      </c>
      <c r="G168" s="4">
        <v>1.6617</v>
      </c>
      <c r="H168" s="58">
        <v>2105</v>
      </c>
      <c r="I168" s="5">
        <v>8.3000000000000001E-3</v>
      </c>
      <c r="J168" s="5">
        <v>8.6199999999999999E-2</v>
      </c>
      <c r="K168" s="4">
        <v>1766438043.1600001</v>
      </c>
      <c r="L168" s="16">
        <f t="shared" si="47"/>
        <v>3.5647241597544017E-2</v>
      </c>
      <c r="M168" s="4">
        <v>1.663</v>
      </c>
      <c r="N168" s="4">
        <v>1.6725000000000001</v>
      </c>
      <c r="O168" s="58">
        <v>2132</v>
      </c>
      <c r="P168" s="5">
        <v>6.4999999999999997E-3</v>
      </c>
      <c r="Q168" s="5">
        <v>9.2100000000000001E-2</v>
      </c>
      <c r="R168" s="78">
        <f t="shared" si="48"/>
        <v>6.5685067464354967E-3</v>
      </c>
      <c r="S168" s="78">
        <f t="shared" si="49"/>
        <v>6.4993681169887123E-3</v>
      </c>
      <c r="T168" s="78">
        <f t="shared" si="50"/>
        <v>1.2826603325415678E-2</v>
      </c>
      <c r="U168" s="78">
        <f t="shared" si="51"/>
        <v>-1.8000000000000004E-3</v>
      </c>
      <c r="V168" s="80">
        <f t="shared" si="52"/>
        <v>5.9000000000000025E-3</v>
      </c>
    </row>
    <row r="169" spans="1:22">
      <c r="A169" s="165">
        <v>146</v>
      </c>
      <c r="B169" s="137" t="s">
        <v>173</v>
      </c>
      <c r="C169" s="138" t="s">
        <v>45</v>
      </c>
      <c r="D169" s="4">
        <v>1079464485.46</v>
      </c>
      <c r="E169" s="3">
        <f t="shared" si="46"/>
        <v>2.2061179886723032E-2</v>
      </c>
      <c r="F169" s="4">
        <v>1.4006000000000001</v>
      </c>
      <c r="G169" s="4">
        <v>1.4086000000000001</v>
      </c>
      <c r="H169" s="58">
        <v>691</v>
      </c>
      <c r="I169" s="5">
        <v>9.1999999999999998E-3</v>
      </c>
      <c r="J169" s="5">
        <v>0.1767</v>
      </c>
      <c r="K169" s="4">
        <v>1068943248.23</v>
      </c>
      <c r="L169" s="16">
        <f t="shared" si="47"/>
        <v>2.1571590563998527E-2</v>
      </c>
      <c r="M169" s="4">
        <v>1.3893</v>
      </c>
      <c r="N169" s="4">
        <v>1.3973</v>
      </c>
      <c r="O169" s="58">
        <v>716</v>
      </c>
      <c r="P169" s="5">
        <v>-8.0999999999999996E-3</v>
      </c>
      <c r="Q169" s="5">
        <v>0.16869999999999999</v>
      </c>
      <c r="R169" s="78">
        <f t="shared" si="48"/>
        <v>-9.7467192035655785E-3</v>
      </c>
      <c r="S169" s="78">
        <f t="shared" si="49"/>
        <v>-8.0221496521369357E-3</v>
      </c>
      <c r="T169" s="78">
        <f t="shared" si="50"/>
        <v>3.6179450072358899E-2</v>
      </c>
      <c r="U169" s="78">
        <f t="shared" si="51"/>
        <v>-1.7299999999999999E-2</v>
      </c>
      <c r="V169" s="80">
        <f t="shared" si="52"/>
        <v>-8.0000000000000071E-3</v>
      </c>
    </row>
    <row r="170" spans="1:22">
      <c r="A170" s="165">
        <v>147</v>
      </c>
      <c r="B170" s="137" t="s">
        <v>174</v>
      </c>
      <c r="C170" s="138" t="s">
        <v>87</v>
      </c>
      <c r="D170" s="2">
        <v>8819095233.7399998</v>
      </c>
      <c r="E170" s="3">
        <f t="shared" si="46"/>
        <v>0.18023719076479922</v>
      </c>
      <c r="F170" s="4">
        <v>479.32</v>
      </c>
      <c r="G170" s="4">
        <v>484.23</v>
      </c>
      <c r="H170" s="58">
        <v>33</v>
      </c>
      <c r="I170" s="5">
        <v>2.2950000000000002E-2</v>
      </c>
      <c r="J170" s="5">
        <v>0.37707000000000002</v>
      </c>
      <c r="K170" s="2">
        <v>8920801203.5100002</v>
      </c>
      <c r="L170" s="16">
        <f t="shared" si="47"/>
        <v>0.18002440389944574</v>
      </c>
      <c r="M170" s="4">
        <v>484.76</v>
      </c>
      <c r="N170" s="4">
        <v>489.86</v>
      </c>
      <c r="O170" s="58">
        <v>33</v>
      </c>
      <c r="P170" s="5">
        <v>1.153E-2</v>
      </c>
      <c r="Q170" s="5">
        <v>0.39295000000000002</v>
      </c>
      <c r="R170" s="78">
        <f t="shared" si="48"/>
        <v>1.1532472104496032E-2</v>
      </c>
      <c r="S170" s="78">
        <f t="shared" si="49"/>
        <v>1.1626706317245926E-2</v>
      </c>
      <c r="T170" s="78">
        <f t="shared" si="50"/>
        <v>0</v>
      </c>
      <c r="U170" s="78">
        <f t="shared" si="51"/>
        <v>-1.1420000000000001E-2</v>
      </c>
      <c r="V170" s="80">
        <f t="shared" si="52"/>
        <v>1.5880000000000005E-2</v>
      </c>
    </row>
    <row r="171" spans="1:22">
      <c r="A171" s="165">
        <v>148</v>
      </c>
      <c r="B171" s="137" t="s">
        <v>175</v>
      </c>
      <c r="C171" s="138" t="s">
        <v>40</v>
      </c>
      <c r="D171" s="2">
        <v>449061307.68000001</v>
      </c>
      <c r="E171" s="3">
        <f t="shared" si="46"/>
        <v>9.1775342517858693E-3</v>
      </c>
      <c r="F171" s="4">
        <v>230.38</v>
      </c>
      <c r="G171" s="4">
        <v>233.33</v>
      </c>
      <c r="H171" s="58">
        <v>690</v>
      </c>
      <c r="I171" s="5">
        <v>-1.12E-2</v>
      </c>
      <c r="J171" s="5">
        <v>0.19409999999999999</v>
      </c>
      <c r="K171" s="2">
        <v>464811024.56999999</v>
      </c>
      <c r="L171" s="16">
        <f t="shared" si="47"/>
        <v>9.3800238022545539E-3</v>
      </c>
      <c r="M171" s="4">
        <v>238.44</v>
      </c>
      <c r="N171" s="4">
        <v>241.62</v>
      </c>
      <c r="O171" s="58">
        <v>690</v>
      </c>
      <c r="P171" s="5">
        <v>2.4799999999999999E-2</v>
      </c>
      <c r="Q171" s="5">
        <v>0.23619999999999999</v>
      </c>
      <c r="R171" s="78">
        <f t="shared" si="48"/>
        <v>3.5072531568948254E-2</v>
      </c>
      <c r="S171" s="78">
        <f t="shared" si="49"/>
        <v>3.5529078986842634E-2</v>
      </c>
      <c r="T171" s="78">
        <f t="shared" si="50"/>
        <v>0</v>
      </c>
      <c r="U171" s="78">
        <f t="shared" si="51"/>
        <v>3.5999999999999997E-2</v>
      </c>
      <c r="V171" s="80">
        <f t="shared" si="52"/>
        <v>4.2099999999999999E-2</v>
      </c>
    </row>
    <row r="172" spans="1:22">
      <c r="A172" s="81"/>
      <c r="B172" s="130"/>
      <c r="C172" s="69" t="s">
        <v>46</v>
      </c>
      <c r="D172" s="70">
        <f>SUM(D144:D171)</f>
        <v>48930496510.281784</v>
      </c>
      <c r="E172" s="97">
        <f>(D172/$D$199)</f>
        <v>1.504900460964886E-2</v>
      </c>
      <c r="F172" s="30"/>
      <c r="G172" s="36"/>
      <c r="H172" s="63">
        <f>SUM(H144:H171)</f>
        <v>69464</v>
      </c>
      <c r="I172" s="37"/>
      <c r="J172" s="37"/>
      <c r="K172" s="70">
        <f>SUM(K144:K171)</f>
        <v>49553288389.12748</v>
      </c>
      <c r="L172" s="97">
        <f>(K172/$K$199)</f>
        <v>1.5272111396990352E-2</v>
      </c>
      <c r="M172" s="30"/>
      <c r="N172" s="36"/>
      <c r="O172" s="63">
        <f>SUM(O144:O171)</f>
        <v>69530</v>
      </c>
      <c r="P172" s="37"/>
      <c r="Q172" s="37"/>
      <c r="R172" s="78">
        <f t="shared" si="48"/>
        <v>1.2728092360861861E-2</v>
      </c>
      <c r="S172" s="78" t="e">
        <f t="shared" si="49"/>
        <v>#DIV/0!</v>
      </c>
      <c r="T172" s="78">
        <f t="shared" si="50"/>
        <v>9.5013244270413454E-4</v>
      </c>
      <c r="U172" s="78">
        <f t="shared" si="51"/>
        <v>0</v>
      </c>
      <c r="V172" s="80">
        <f t="shared" si="52"/>
        <v>0</v>
      </c>
    </row>
    <row r="173" spans="1:22" ht="8.25" customHeight="1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</row>
    <row r="174" spans="1:22" ht="15" customHeight="1">
      <c r="A174" s="173" t="s">
        <v>176</v>
      </c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</row>
    <row r="175" spans="1:22">
      <c r="A175" s="142">
        <v>149</v>
      </c>
      <c r="B175" s="137" t="s">
        <v>177</v>
      </c>
      <c r="C175" s="138" t="s">
        <v>21</v>
      </c>
      <c r="D175" s="17">
        <v>946303049.65999997</v>
      </c>
      <c r="E175" s="3">
        <f>(D175/$D$178)</f>
        <v>0.18091226556246684</v>
      </c>
      <c r="F175" s="17">
        <v>65.227199999999996</v>
      </c>
      <c r="G175" s="17">
        <v>67.193899999999999</v>
      </c>
      <c r="H175" s="60">
        <v>1574</v>
      </c>
      <c r="I175" s="6">
        <v>8.5000000000000006E-3</v>
      </c>
      <c r="J175" s="6">
        <v>0.33400000000000002</v>
      </c>
      <c r="K175" s="17">
        <v>948133120.53999996</v>
      </c>
      <c r="L175" s="16">
        <f>(K175/$K$178)</f>
        <v>0.17744688175805129</v>
      </c>
      <c r="M175" s="17">
        <v>65.630600000000001</v>
      </c>
      <c r="N175" s="17">
        <v>67.609399999999994</v>
      </c>
      <c r="O175" s="60">
        <v>1579</v>
      </c>
      <c r="P175" s="6">
        <v>0.32329999999999998</v>
      </c>
      <c r="Q175" s="6">
        <v>0.3357</v>
      </c>
      <c r="R175" s="78">
        <f>((K175-D175)/D175)</f>
        <v>1.9339162868148073E-3</v>
      </c>
      <c r="S175" s="78">
        <f t="shared" ref="S175:T178" si="58">((N175-G175)/G175)</f>
        <v>6.1835970229439643E-3</v>
      </c>
      <c r="T175" s="78">
        <f t="shared" si="58"/>
        <v>3.1766200762388818E-3</v>
      </c>
      <c r="U175" s="78">
        <f t="shared" ref="U175:V178" si="59">P175-I175</f>
        <v>0.31479999999999997</v>
      </c>
      <c r="V175" s="80">
        <f t="shared" si="59"/>
        <v>1.6999999999999793E-3</v>
      </c>
    </row>
    <row r="176" spans="1:22">
      <c r="A176" s="139">
        <v>150</v>
      </c>
      <c r="B176" s="137" t="s">
        <v>178</v>
      </c>
      <c r="C176" s="138" t="s">
        <v>179</v>
      </c>
      <c r="D176" s="95">
        <v>883365457.41999996</v>
      </c>
      <c r="E176" s="3">
        <f>(D176/$D$178)</f>
        <v>0.16887998646828437</v>
      </c>
      <c r="F176" s="17">
        <v>24.5945</v>
      </c>
      <c r="G176" s="17">
        <v>24.817699999999999</v>
      </c>
      <c r="H176" s="58">
        <v>1493</v>
      </c>
      <c r="I176" s="5">
        <v>3.1E-2</v>
      </c>
      <c r="J176" s="5">
        <v>0.12859999999999999</v>
      </c>
      <c r="K176" s="95">
        <v>905320405.89999998</v>
      </c>
      <c r="L176" s="16">
        <f>(K176/$K$178)</f>
        <v>0.16943431205883175</v>
      </c>
      <c r="M176" s="17">
        <v>25.823799999999999</v>
      </c>
      <c r="N176" s="17">
        <v>26.0731</v>
      </c>
      <c r="O176" s="58">
        <v>1492</v>
      </c>
      <c r="P176" s="5">
        <v>3.0499999999999999E-2</v>
      </c>
      <c r="Q176" s="5">
        <v>0.18540000000000001</v>
      </c>
      <c r="R176" s="78">
        <f>((K176-D176)/D176)</f>
        <v>2.4853754802822727E-2</v>
      </c>
      <c r="S176" s="78">
        <f t="shared" si="58"/>
        <v>5.0584864834372308E-2</v>
      </c>
      <c r="T176" s="78">
        <f t="shared" si="58"/>
        <v>-6.6979236436704619E-4</v>
      </c>
      <c r="U176" s="78">
        <f t="shared" si="59"/>
        <v>-5.0000000000000044E-4</v>
      </c>
      <c r="V176" s="80">
        <f t="shared" si="59"/>
        <v>5.6800000000000017E-2</v>
      </c>
    </row>
    <row r="177" spans="1:24">
      <c r="A177" s="143">
        <v>151</v>
      </c>
      <c r="B177" s="137" t="s">
        <v>180</v>
      </c>
      <c r="C177" s="138" t="s">
        <v>42</v>
      </c>
      <c r="D177" s="9">
        <v>3401060579.8499999</v>
      </c>
      <c r="E177" s="3">
        <f>(D177/$D$178)</f>
        <v>0.65020774796924863</v>
      </c>
      <c r="F177" s="17">
        <v>2.4500000000000002</v>
      </c>
      <c r="G177" s="17">
        <v>2.4900000000000002</v>
      </c>
      <c r="H177" s="58">
        <v>10115</v>
      </c>
      <c r="I177" s="5">
        <v>0</v>
      </c>
      <c r="J177" s="5">
        <v>0.1971</v>
      </c>
      <c r="K177" s="9">
        <v>3489740510.8200002</v>
      </c>
      <c r="L177" s="16">
        <f>(K177/$K$178)</f>
        <v>0.65311880618311691</v>
      </c>
      <c r="M177" s="17">
        <v>2.52</v>
      </c>
      <c r="N177" s="17">
        <v>2.5499999999999998</v>
      </c>
      <c r="O177" s="58">
        <v>10117</v>
      </c>
      <c r="P177" s="5">
        <v>2.41E-2</v>
      </c>
      <c r="Q177" s="5">
        <v>0.22600000000000001</v>
      </c>
      <c r="R177" s="78">
        <f>((K177-D177)/D177)</f>
        <v>2.6074199176396733E-2</v>
      </c>
      <c r="S177" s="78">
        <f t="shared" si="58"/>
        <v>2.4096385542168516E-2</v>
      </c>
      <c r="T177" s="78">
        <f t="shared" si="58"/>
        <v>1.9772614928324271E-4</v>
      </c>
      <c r="U177" s="78">
        <f t="shared" si="59"/>
        <v>2.41E-2</v>
      </c>
      <c r="V177" s="80">
        <f t="shared" si="59"/>
        <v>2.8900000000000009E-2</v>
      </c>
    </row>
    <row r="178" spans="1:24">
      <c r="A178" s="72"/>
      <c r="B178" s="130"/>
      <c r="C178" s="64" t="s">
        <v>46</v>
      </c>
      <c r="D178" s="70">
        <f>SUM(D175:D177)</f>
        <v>5230729086.9300003</v>
      </c>
      <c r="E178" s="97">
        <f>(D178/$D$199)</f>
        <v>1.6087567418101522E-3</v>
      </c>
      <c r="F178" s="30"/>
      <c r="G178" s="36"/>
      <c r="H178" s="63">
        <f>SUM(H175:H177)</f>
        <v>13182</v>
      </c>
      <c r="I178" s="37"/>
      <c r="J178" s="37"/>
      <c r="K178" s="70">
        <f>SUM(K175:K177)</f>
        <v>5343194037.2600002</v>
      </c>
      <c r="L178" s="97">
        <f>(K178/$K$199)</f>
        <v>1.6467495337942832E-3</v>
      </c>
      <c r="M178" s="30"/>
      <c r="N178" s="36"/>
      <c r="O178" s="63">
        <f>SUM(O175:O177)</f>
        <v>13188</v>
      </c>
      <c r="P178" s="37"/>
      <c r="Q178" s="37"/>
      <c r="R178" s="78">
        <f>((K178-D178)/D178)</f>
        <v>2.150081727822907E-2</v>
      </c>
      <c r="S178" s="78" t="e">
        <f t="shared" si="58"/>
        <v>#DIV/0!</v>
      </c>
      <c r="T178" s="78">
        <f t="shared" si="58"/>
        <v>4.5516613563950843E-4</v>
      </c>
      <c r="U178" s="78">
        <f t="shared" si="59"/>
        <v>0</v>
      </c>
      <c r="V178" s="80">
        <f t="shared" si="59"/>
        <v>0</v>
      </c>
    </row>
    <row r="179" spans="1:24" ht="6" customHeight="1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</row>
    <row r="180" spans="1:24" ht="15" customHeight="1">
      <c r="A180" s="173" t="s">
        <v>181</v>
      </c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</row>
    <row r="181" spans="1:24">
      <c r="A181" s="177" t="s">
        <v>230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</row>
    <row r="182" spans="1:24">
      <c r="A182" s="142">
        <v>152</v>
      </c>
      <c r="B182" s="137" t="s">
        <v>182</v>
      </c>
      <c r="C182" s="138" t="s">
        <v>183</v>
      </c>
      <c r="D182" s="13">
        <v>4277000863.5</v>
      </c>
      <c r="E182" s="3">
        <f>(D182/$D$198)</f>
        <v>8.559536053061606E-2</v>
      </c>
      <c r="F182" s="18">
        <v>2.0099999999999998</v>
      </c>
      <c r="G182" s="18">
        <v>2.0499999999999998</v>
      </c>
      <c r="H182" s="59">
        <v>14999</v>
      </c>
      <c r="I182" s="12">
        <v>7.9000000000000008E-3</v>
      </c>
      <c r="J182" s="12">
        <v>0.1137</v>
      </c>
      <c r="K182" s="13">
        <v>4302985900.5</v>
      </c>
      <c r="L182" s="3">
        <f>(K182/$K$198)</f>
        <v>8.5541074900158498E-2</v>
      </c>
      <c r="M182" s="18">
        <v>2.0299999999999998</v>
      </c>
      <c r="N182" s="18">
        <v>2.06</v>
      </c>
      <c r="O182" s="59">
        <v>14999</v>
      </c>
      <c r="P182" s="12">
        <v>6.7000000000000002E-3</v>
      </c>
      <c r="Q182" s="12">
        <v>0.1212</v>
      </c>
      <c r="R182" s="78">
        <f>((K182-D182)/D182)</f>
        <v>6.0755276487682664E-3</v>
      </c>
      <c r="S182" s="78">
        <f>((N182-G182)/G182)</f>
        <v>4.8780487804879176E-3</v>
      </c>
      <c r="T182" s="78">
        <f>((O182-H182)/H182)</f>
        <v>0</v>
      </c>
      <c r="U182" s="78">
        <f>P182-I182</f>
        <v>-1.2000000000000005E-3</v>
      </c>
      <c r="V182" s="80">
        <f>Q182-J182</f>
        <v>7.5000000000000067E-3</v>
      </c>
    </row>
    <row r="183" spans="1:24">
      <c r="A183" s="143">
        <v>153</v>
      </c>
      <c r="B183" s="137" t="s">
        <v>184</v>
      </c>
      <c r="C183" s="138" t="s">
        <v>42</v>
      </c>
      <c r="D183" s="13">
        <v>664348653.85000002</v>
      </c>
      <c r="E183" s="3">
        <f>(D183/$D$198)</f>
        <v>1.3295569572970746E-2</v>
      </c>
      <c r="F183" s="18">
        <v>427.36</v>
      </c>
      <c r="G183" s="18">
        <v>432.62</v>
      </c>
      <c r="H183" s="59">
        <v>844</v>
      </c>
      <c r="I183" s="12">
        <v>-2.53E-2</v>
      </c>
      <c r="J183" s="12">
        <v>0.13289999999999999</v>
      </c>
      <c r="K183" s="13">
        <v>679247148.50999999</v>
      </c>
      <c r="L183" s="3">
        <f>(K183/$K$198)</f>
        <v>1.3503072645360388E-2</v>
      </c>
      <c r="M183" s="18">
        <v>436.07</v>
      </c>
      <c r="N183" s="18">
        <v>441.47</v>
      </c>
      <c r="O183" s="59">
        <v>844</v>
      </c>
      <c r="P183" s="12">
        <v>2.0500000000000001E-2</v>
      </c>
      <c r="Q183" s="12">
        <v>0.15609999999999999</v>
      </c>
      <c r="R183" s="78">
        <f>((K183-D183)/D183)</f>
        <v>2.2425716637884275E-2</v>
      </c>
      <c r="S183" s="78">
        <f>((N183-G183)/G183)</f>
        <v>2.0456751883870423E-2</v>
      </c>
      <c r="T183" s="78">
        <f>((O183-H183)/H183)</f>
        <v>0</v>
      </c>
      <c r="U183" s="78">
        <f>P183-I183</f>
        <v>4.58E-2</v>
      </c>
      <c r="V183" s="80">
        <f>Q183-J183</f>
        <v>2.3199999999999998E-2</v>
      </c>
    </row>
    <row r="184" spans="1:24" ht="6" customHeight="1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</row>
    <row r="185" spans="1:24" ht="15" customHeight="1">
      <c r="A185" s="177" t="s">
        <v>229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</row>
    <row r="186" spans="1:24">
      <c r="A186" s="143">
        <v>154</v>
      </c>
      <c r="B186" s="137" t="s">
        <v>185</v>
      </c>
      <c r="C186" s="138" t="s">
        <v>186</v>
      </c>
      <c r="D186" s="2">
        <v>405891791.72000003</v>
      </c>
      <c r="E186" s="3">
        <f t="shared" ref="E186:E197" si="60">(D186/$D$198)</f>
        <v>8.1230879668937727E-3</v>
      </c>
      <c r="F186" s="2">
        <v>1039.8800000000001</v>
      </c>
      <c r="G186" s="2">
        <v>1039.8800000000001</v>
      </c>
      <c r="H186" s="58">
        <v>21</v>
      </c>
      <c r="I186" s="5">
        <v>3.0000000000000001E-3</v>
      </c>
      <c r="J186" s="5">
        <v>7.17E-2</v>
      </c>
      <c r="K186" s="2">
        <v>406697320.72000003</v>
      </c>
      <c r="L186" s="3">
        <f t="shared" ref="L186:L197" si="61">(K186/$K$198)</f>
        <v>8.0849267875502083E-3</v>
      </c>
      <c r="M186" s="2">
        <v>1041.94</v>
      </c>
      <c r="N186" s="2">
        <v>1041.94</v>
      </c>
      <c r="O186" s="58">
        <v>21</v>
      </c>
      <c r="P186" s="5">
        <v>2.3999999999999998E-3</v>
      </c>
      <c r="Q186" s="5">
        <v>7.4099999999999999E-2</v>
      </c>
      <c r="R186" s="78">
        <f>((K186-D186)/D186)</f>
        <v>1.9845905150890197E-3</v>
      </c>
      <c r="S186" s="78">
        <f>((N186-G186)/G186)</f>
        <v>1.9809978074392673E-3</v>
      </c>
      <c r="T186" s="78">
        <f>((O186-H186)/H186)</f>
        <v>0</v>
      </c>
      <c r="U186" s="78">
        <f>P186-I186</f>
        <v>-6.0000000000000027E-4</v>
      </c>
      <c r="V186" s="80">
        <f>Q186-J186</f>
        <v>2.3999999999999994E-3</v>
      </c>
      <c r="X186" s="68"/>
    </row>
    <row r="187" spans="1:24">
      <c r="A187" s="141">
        <v>155</v>
      </c>
      <c r="B187" s="137" t="s">
        <v>187</v>
      </c>
      <c r="C187" s="138" t="s">
        <v>58</v>
      </c>
      <c r="D187" s="2">
        <v>126418921.41</v>
      </c>
      <c r="E187" s="3">
        <f t="shared" si="60"/>
        <v>2.5300142556262E-3</v>
      </c>
      <c r="F187" s="17">
        <v>113.86</v>
      </c>
      <c r="G187" s="17">
        <v>113.86</v>
      </c>
      <c r="H187" s="58">
        <v>74</v>
      </c>
      <c r="I187" s="5">
        <v>6.1999999999999998E-3</v>
      </c>
      <c r="J187" s="5">
        <v>0.1477</v>
      </c>
      <c r="K187" s="2">
        <v>126851204.09</v>
      </c>
      <c r="L187" s="3">
        <f t="shared" si="61"/>
        <v>2.5217345817882216E-3</v>
      </c>
      <c r="M187" s="17">
        <v>114.17</v>
      </c>
      <c r="N187" s="17">
        <v>114.17</v>
      </c>
      <c r="O187" s="58">
        <v>75</v>
      </c>
      <c r="P187" s="5">
        <v>8.8999999999999999E-3</v>
      </c>
      <c r="Q187" s="5">
        <v>0.1477</v>
      </c>
      <c r="R187" s="78">
        <f t="shared" ref="R187:R199" si="62">((K187-D187)/D187)</f>
        <v>3.4194460384457345E-3</v>
      </c>
      <c r="S187" s="78">
        <f t="shared" ref="S187:S198" si="63">((N187-G187)/G187)</f>
        <v>2.7226418408572129E-3</v>
      </c>
      <c r="T187" s="78">
        <f t="shared" ref="T187:T198" si="64">((O187-H187)/H187)</f>
        <v>1.3513513513513514E-2</v>
      </c>
      <c r="U187" s="78">
        <f t="shared" ref="U187:U198" si="65">P187-I187</f>
        <v>2.7000000000000001E-3</v>
      </c>
      <c r="V187" s="80">
        <f t="shared" ref="V187:V198" si="66">Q187-J187</f>
        <v>0</v>
      </c>
    </row>
    <row r="188" spans="1:24">
      <c r="A188" s="141">
        <v>156</v>
      </c>
      <c r="B188" s="140" t="s">
        <v>188</v>
      </c>
      <c r="C188" s="138" t="s">
        <v>64</v>
      </c>
      <c r="D188" s="9">
        <v>58102911.240000002</v>
      </c>
      <c r="E188" s="3">
        <f t="shared" si="60"/>
        <v>1.1628100611128587E-3</v>
      </c>
      <c r="F188" s="17">
        <v>103.78</v>
      </c>
      <c r="G188" s="17">
        <v>106.52</v>
      </c>
      <c r="H188" s="58">
        <v>13</v>
      </c>
      <c r="I188" s="5">
        <v>2E-3</v>
      </c>
      <c r="J188" s="5">
        <v>9.0700000000000003E-2</v>
      </c>
      <c r="K188" s="9">
        <v>58259217.640000001</v>
      </c>
      <c r="L188" s="3">
        <f t="shared" si="61"/>
        <v>1.1581623121722973E-3</v>
      </c>
      <c r="M188" s="17">
        <v>103.95</v>
      </c>
      <c r="N188" s="17">
        <v>106.81</v>
      </c>
      <c r="O188" s="58">
        <v>13</v>
      </c>
      <c r="P188" s="5">
        <v>2.3999999999999998E-3</v>
      </c>
      <c r="Q188" s="5">
        <v>9.3100000000000002E-2</v>
      </c>
      <c r="R188" s="78">
        <f t="shared" si="62"/>
        <v>2.6901646864880657E-3</v>
      </c>
      <c r="S188" s="78">
        <f t="shared" si="63"/>
        <v>2.7224934284641972E-3</v>
      </c>
      <c r="T188" s="78">
        <f t="shared" si="64"/>
        <v>0</v>
      </c>
      <c r="U188" s="78">
        <f t="shared" si="65"/>
        <v>3.9999999999999975E-4</v>
      </c>
      <c r="V188" s="80">
        <f t="shared" si="66"/>
        <v>2.3999999999999994E-3</v>
      </c>
    </row>
    <row r="189" spans="1:24">
      <c r="A189" s="141">
        <v>157</v>
      </c>
      <c r="B189" s="137" t="s">
        <v>285</v>
      </c>
      <c r="C189" s="138" t="s">
        <v>67</v>
      </c>
      <c r="D189" s="2">
        <v>0</v>
      </c>
      <c r="E189" s="3">
        <v>0</v>
      </c>
      <c r="F189" s="17">
        <v>0</v>
      </c>
      <c r="G189" s="17">
        <v>0</v>
      </c>
      <c r="H189" s="58">
        <v>0</v>
      </c>
      <c r="I189" s="5">
        <v>0</v>
      </c>
      <c r="J189" s="5">
        <v>0</v>
      </c>
      <c r="K189" s="9">
        <v>50443459.009999998</v>
      </c>
      <c r="L189" s="3">
        <f t="shared" si="61"/>
        <v>1.0027891806236432E-3</v>
      </c>
      <c r="M189" s="17">
        <v>1.0029999999999999</v>
      </c>
      <c r="N189" s="17">
        <v>1.0029999999999999</v>
      </c>
      <c r="O189" s="58">
        <v>19</v>
      </c>
      <c r="P189" s="5">
        <v>0</v>
      </c>
      <c r="Q189" s="5">
        <v>0</v>
      </c>
      <c r="R189" s="78"/>
      <c r="S189" s="78"/>
      <c r="T189" s="78"/>
      <c r="U189" s="78"/>
      <c r="V189" s="80"/>
    </row>
    <row r="190" spans="1:24">
      <c r="A190" s="141">
        <v>158</v>
      </c>
      <c r="B190" s="137" t="s">
        <v>189</v>
      </c>
      <c r="C190" s="138" t="s">
        <v>27</v>
      </c>
      <c r="D190" s="2">
        <v>8718628153.2299995</v>
      </c>
      <c r="E190" s="3">
        <f t="shared" si="60"/>
        <v>0.17448537980827114</v>
      </c>
      <c r="F190" s="17">
        <v>145.24</v>
      </c>
      <c r="G190" s="17">
        <v>145.24</v>
      </c>
      <c r="H190" s="58">
        <v>696</v>
      </c>
      <c r="I190" s="5">
        <v>3.0000000000000001E-3</v>
      </c>
      <c r="J190" s="5">
        <v>8.6199999999999999E-2</v>
      </c>
      <c r="K190" s="2">
        <v>8582731245.0699997</v>
      </c>
      <c r="L190" s="3">
        <f>(K190/$K$198)</f>
        <v>0.17062013988871155</v>
      </c>
      <c r="M190" s="17">
        <v>145.66</v>
      </c>
      <c r="N190" s="17">
        <v>145.66</v>
      </c>
      <c r="O190" s="58">
        <v>695</v>
      </c>
      <c r="P190" s="5">
        <v>2.8999999999999998E-3</v>
      </c>
      <c r="Q190" s="5">
        <v>8.9399999999999993E-2</v>
      </c>
      <c r="R190" s="78">
        <f>((K190-D190)/D190)</f>
        <v>-1.5586959986320092E-2</v>
      </c>
      <c r="S190" s="78">
        <f>((N190-G190)/G190)</f>
        <v>2.8917653538969119E-3</v>
      </c>
      <c r="T190" s="78">
        <f t="shared" si="64"/>
        <v>-1.4367816091954023E-3</v>
      </c>
      <c r="U190" s="78">
        <f t="shared" si="65"/>
        <v>-1.0000000000000026E-4</v>
      </c>
      <c r="V190" s="80">
        <f t="shared" si="66"/>
        <v>3.1999999999999945E-3</v>
      </c>
    </row>
    <row r="191" spans="1:24">
      <c r="A191" s="141">
        <v>159</v>
      </c>
      <c r="B191" s="137" t="s">
        <v>247</v>
      </c>
      <c r="C191" s="138" t="s">
        <v>56</v>
      </c>
      <c r="D191" s="2">
        <v>304291288.41799998</v>
      </c>
      <c r="E191" s="3">
        <f t="shared" si="60"/>
        <v>6.0897632171975323E-3</v>
      </c>
      <c r="F191" s="17">
        <v>1110.6039571855199</v>
      </c>
      <c r="G191" s="17">
        <v>1110.6039571855199</v>
      </c>
      <c r="H191" s="58">
        <v>85</v>
      </c>
      <c r="I191" s="5">
        <v>0.14701010216810059</v>
      </c>
      <c r="J191" s="5">
        <v>0.13446147776946951</v>
      </c>
      <c r="K191" s="2">
        <v>310149460.91584098</v>
      </c>
      <c r="L191" s="3">
        <f t="shared" si="61"/>
        <v>6.1656065996783605E-3</v>
      </c>
      <c r="M191" s="17">
        <v>1113.7213084683201</v>
      </c>
      <c r="N191" s="17">
        <v>1113.7213084683201</v>
      </c>
      <c r="O191" s="58">
        <v>88</v>
      </c>
      <c r="P191" s="5">
        <v>0.14676063185813876</v>
      </c>
      <c r="Q191" s="5">
        <v>0.13521480788059786</v>
      </c>
      <c r="R191" s="78">
        <f t="shared" si="62"/>
        <v>1.9251857416942297E-2</v>
      </c>
      <c r="S191" s="78">
        <f t="shared" si="63"/>
        <v>2.8068973306201402E-3</v>
      </c>
      <c r="T191" s="78">
        <f t="shared" si="64"/>
        <v>3.5294117647058823E-2</v>
      </c>
      <c r="U191" s="78">
        <f t="shared" si="65"/>
        <v>-2.4947030996183561E-4</v>
      </c>
      <c r="V191" s="80">
        <f t="shared" si="66"/>
        <v>7.5333011112835302E-4</v>
      </c>
    </row>
    <row r="192" spans="1:24">
      <c r="A192" s="142">
        <v>160</v>
      </c>
      <c r="B192" s="137" t="s">
        <v>190</v>
      </c>
      <c r="C192" s="138" t="s">
        <v>183</v>
      </c>
      <c r="D192" s="2">
        <v>23104658575.939999</v>
      </c>
      <c r="E192" s="3">
        <f t="shared" si="60"/>
        <v>0.46239213969342102</v>
      </c>
      <c r="F192" s="7">
        <v>1218.3699999999999</v>
      </c>
      <c r="G192" s="7">
        <v>1218.3699999999999</v>
      </c>
      <c r="H192" s="58">
        <v>8855</v>
      </c>
      <c r="I192" s="5">
        <v>2.7000000000000001E-3</v>
      </c>
      <c r="J192" s="5">
        <v>8.5099999999999995E-2</v>
      </c>
      <c r="K192" s="2">
        <v>23421976567.41</v>
      </c>
      <c r="L192" s="3">
        <f t="shared" si="61"/>
        <v>0.46561645754632097</v>
      </c>
      <c r="M192" s="7">
        <v>1221.5999999999999</v>
      </c>
      <c r="N192" s="7">
        <v>1221.5999999999999</v>
      </c>
      <c r="O192" s="58">
        <v>8855</v>
      </c>
      <c r="P192" s="5">
        <v>2.7000000000000001E-3</v>
      </c>
      <c r="Q192" s="5">
        <v>8.7800000000000003E-2</v>
      </c>
      <c r="R192" s="78">
        <f t="shared" si="62"/>
        <v>1.3733939864423698E-2</v>
      </c>
      <c r="S192" s="78">
        <f t="shared" si="63"/>
        <v>2.6510830043418817E-3</v>
      </c>
      <c r="T192" s="78">
        <f t="shared" si="64"/>
        <v>0</v>
      </c>
      <c r="U192" s="78">
        <f t="shared" si="65"/>
        <v>0</v>
      </c>
      <c r="V192" s="80">
        <f t="shared" si="66"/>
        <v>2.7000000000000079E-3</v>
      </c>
    </row>
    <row r="193" spans="1:22">
      <c r="A193" s="141">
        <v>161</v>
      </c>
      <c r="B193" s="137" t="s">
        <v>194</v>
      </c>
      <c r="C193" s="138" t="s">
        <v>195</v>
      </c>
      <c r="D193" s="2">
        <v>383284994.08999997</v>
      </c>
      <c r="E193" s="3">
        <f t="shared" si="60"/>
        <v>7.6706594883081897E-3</v>
      </c>
      <c r="F193" s="18">
        <v>121.5291</v>
      </c>
      <c r="G193" s="18">
        <v>122.2749</v>
      </c>
      <c r="H193" s="59">
        <v>167</v>
      </c>
      <c r="I193" s="5">
        <v>3.3700000000000001E-4</v>
      </c>
      <c r="J193" s="5">
        <v>0.22828999999999999</v>
      </c>
      <c r="K193" s="2">
        <v>384789730.76999998</v>
      </c>
      <c r="L193" s="3">
        <f t="shared" si="61"/>
        <v>7.6494155318481711E-3</v>
      </c>
      <c r="M193" s="18">
        <v>122.10680000000001</v>
      </c>
      <c r="N193" s="18">
        <v>122.7983</v>
      </c>
      <c r="O193" s="59">
        <v>168</v>
      </c>
      <c r="P193" s="5">
        <v>4.2810000000000001E-3</v>
      </c>
      <c r="Q193" s="5">
        <v>0.2336</v>
      </c>
      <c r="R193" s="78">
        <f>((K193-D193)/D193)</f>
        <v>3.9258950994744048E-3</v>
      </c>
      <c r="S193" s="78">
        <f>((N193-G193)/G193)</f>
        <v>4.2805187327897643E-3</v>
      </c>
      <c r="T193" s="78">
        <f>((O193-H193)/H193)</f>
        <v>5.9880239520958087E-3</v>
      </c>
      <c r="U193" s="78">
        <f>P193-I193</f>
        <v>3.9440000000000005E-3</v>
      </c>
      <c r="V193" s="80">
        <f>Q193-J193</f>
        <v>5.3100000000000092E-3</v>
      </c>
    </row>
    <row r="194" spans="1:22">
      <c r="A194" s="141">
        <v>162</v>
      </c>
      <c r="B194" s="137" t="s">
        <v>242</v>
      </c>
      <c r="C194" s="138" t="s">
        <v>195</v>
      </c>
      <c r="D194" s="2">
        <v>149006478.31</v>
      </c>
      <c r="E194" s="3">
        <f t="shared" si="60"/>
        <v>2.9820576706418222E-3</v>
      </c>
      <c r="F194" s="18">
        <v>107.6216</v>
      </c>
      <c r="G194" s="18">
        <v>107.6216</v>
      </c>
      <c r="H194" s="59">
        <v>77</v>
      </c>
      <c r="I194" s="5">
        <v>2.6700000000000001E-3</v>
      </c>
      <c r="J194" s="5">
        <v>7.4651999999999996E-2</v>
      </c>
      <c r="K194" s="2">
        <v>148795906.50999999</v>
      </c>
      <c r="L194" s="3">
        <f t="shared" si="61"/>
        <v>2.9579836136878574E-3</v>
      </c>
      <c r="M194" s="18">
        <v>107.70180000000001</v>
      </c>
      <c r="N194" s="18">
        <v>107.70180000000001</v>
      </c>
      <c r="O194" s="59">
        <v>76</v>
      </c>
      <c r="P194" s="5">
        <v>7.45E-4</v>
      </c>
      <c r="Q194" s="5">
        <v>7.4590000000000004E-2</v>
      </c>
      <c r="R194" s="78">
        <f>((K194-D194)/D194)</f>
        <v>-1.4131721143152485E-3</v>
      </c>
      <c r="S194" s="78">
        <f>((N194-G194)/G194)</f>
        <v>7.45203565083635E-4</v>
      </c>
      <c r="T194" s="78">
        <f>((O194-H194)/H194)</f>
        <v>-1.2987012987012988E-2</v>
      </c>
      <c r="U194" s="78">
        <f>P194-I194</f>
        <v>-1.9250000000000001E-3</v>
      </c>
      <c r="V194" s="80">
        <f>Q194-J194</f>
        <v>-6.1999999999992617E-5</v>
      </c>
    </row>
    <row r="195" spans="1:22" ht="13.5" customHeight="1">
      <c r="A195" s="141">
        <v>163</v>
      </c>
      <c r="B195" s="137" t="s">
        <v>191</v>
      </c>
      <c r="C195" s="138" t="s">
        <v>78</v>
      </c>
      <c r="D195" s="2">
        <v>1037709747.52</v>
      </c>
      <c r="E195" s="3">
        <f t="shared" si="60"/>
        <v>2.0767622640230726E-2</v>
      </c>
      <c r="F195" s="14">
        <v>103.71</v>
      </c>
      <c r="G195" s="14">
        <v>103.71</v>
      </c>
      <c r="H195" s="58">
        <v>567</v>
      </c>
      <c r="I195" s="5">
        <v>2.3E-3</v>
      </c>
      <c r="J195" s="5">
        <v>6.9099999999999995E-2</v>
      </c>
      <c r="K195" s="2">
        <v>1041687084.6799999</v>
      </c>
      <c r="L195" s="3">
        <f t="shared" si="61"/>
        <v>2.0708186127866589E-2</v>
      </c>
      <c r="M195" s="14">
        <v>103.95</v>
      </c>
      <c r="N195" s="14">
        <v>103.95</v>
      </c>
      <c r="O195" s="58">
        <v>567</v>
      </c>
      <c r="P195" s="5">
        <v>7.4590000000000004E-2</v>
      </c>
      <c r="Q195" s="5">
        <v>7.1499999999999994E-2</v>
      </c>
      <c r="R195" s="78">
        <f t="shared" si="62"/>
        <v>3.8328031219763701E-3</v>
      </c>
      <c r="S195" s="78">
        <f t="shared" si="63"/>
        <v>2.3141452126121793E-3</v>
      </c>
      <c r="T195" s="78">
        <f t="shared" si="64"/>
        <v>0</v>
      </c>
      <c r="U195" s="78">
        <f t="shared" si="65"/>
        <v>7.2290000000000007E-2</v>
      </c>
      <c r="V195" s="80">
        <f t="shared" si="66"/>
        <v>2.3999999999999994E-3</v>
      </c>
    </row>
    <row r="196" spans="1:22" ht="15.75" customHeight="1">
      <c r="A196" s="143">
        <v>164</v>
      </c>
      <c r="B196" s="137" t="s">
        <v>192</v>
      </c>
      <c r="C196" s="138" t="s">
        <v>42</v>
      </c>
      <c r="D196" s="2">
        <v>7007381011.75</v>
      </c>
      <c r="E196" s="3">
        <f t="shared" si="60"/>
        <v>0.14023829389300155</v>
      </c>
      <c r="F196" s="14">
        <v>131.19999999999999</v>
      </c>
      <c r="G196" s="14">
        <v>131.19999999999999</v>
      </c>
      <c r="H196" s="58">
        <v>1226</v>
      </c>
      <c r="I196" s="5">
        <v>2.0000000000000001E-4</v>
      </c>
      <c r="J196" s="5">
        <v>2.2700000000000001E-2</v>
      </c>
      <c r="K196" s="2">
        <v>6991808396.1400003</v>
      </c>
      <c r="L196" s="3">
        <f t="shared" si="61"/>
        <v>0.13899343840105821</v>
      </c>
      <c r="M196" s="14">
        <v>131.22</v>
      </c>
      <c r="N196" s="14">
        <v>131.22</v>
      </c>
      <c r="O196" s="58">
        <v>1223</v>
      </c>
      <c r="P196" s="5">
        <v>2.0000000000000001E-4</v>
      </c>
      <c r="Q196" s="5">
        <v>2.2800000000000001E-2</v>
      </c>
      <c r="R196" s="78">
        <f t="shared" si="62"/>
        <v>-2.2223160955408936E-3</v>
      </c>
      <c r="S196" s="78">
        <f t="shared" si="63"/>
        <v>1.5243902439032191E-4</v>
      </c>
      <c r="T196" s="78">
        <f t="shared" si="64"/>
        <v>-2.4469820554649264E-3</v>
      </c>
      <c r="U196" s="78">
        <f t="shared" si="65"/>
        <v>0</v>
      </c>
      <c r="V196" s="80">
        <f t="shared" si="66"/>
        <v>9.9999999999999395E-5</v>
      </c>
    </row>
    <row r="197" spans="1:22">
      <c r="A197" s="141">
        <v>165</v>
      </c>
      <c r="B197" s="137" t="s">
        <v>193</v>
      </c>
      <c r="C197" s="138" t="s">
        <v>45</v>
      </c>
      <c r="D197" s="2">
        <v>3730948185.9200001</v>
      </c>
      <c r="E197" s="3">
        <f t="shared" si="60"/>
        <v>7.4667241201708576E-2</v>
      </c>
      <c r="F197" s="14">
        <v>1.1675</v>
      </c>
      <c r="G197" s="14">
        <v>1.1675</v>
      </c>
      <c r="H197" s="58">
        <v>708</v>
      </c>
      <c r="I197" s="5">
        <v>9.8400000000000001E-2</v>
      </c>
      <c r="J197" s="5">
        <v>9.8799999999999999E-2</v>
      </c>
      <c r="K197" s="2">
        <v>3796731784.4000001</v>
      </c>
      <c r="L197" s="3">
        <f t="shared" si="61"/>
        <v>7.547701188317496E-2</v>
      </c>
      <c r="M197" s="14">
        <v>1.1696</v>
      </c>
      <c r="N197" s="14">
        <v>1.1696</v>
      </c>
      <c r="O197" s="58">
        <v>760</v>
      </c>
      <c r="P197" s="5">
        <v>9.8199999999999996E-2</v>
      </c>
      <c r="Q197" s="5">
        <v>9.8500000000000004E-2</v>
      </c>
      <c r="R197" s="78">
        <f t="shared" si="62"/>
        <v>1.7631871364029328E-2</v>
      </c>
      <c r="S197" s="78">
        <f t="shared" si="63"/>
        <v>1.7987152034261162E-3</v>
      </c>
      <c r="T197" s="78">
        <f t="shared" si="64"/>
        <v>7.3446327683615822E-2</v>
      </c>
      <c r="U197" s="78">
        <f t="shared" si="65"/>
        <v>-2.0000000000000573E-4</v>
      </c>
      <c r="V197" s="80">
        <f t="shared" si="66"/>
        <v>-2.9999999999999472E-4</v>
      </c>
    </row>
    <row r="198" spans="1:22">
      <c r="A198" s="82"/>
      <c r="B198" s="130"/>
      <c r="C198" s="64" t="s">
        <v>46</v>
      </c>
      <c r="D198" s="57">
        <f>SUM(D182:D197)</f>
        <v>49967671576.897987</v>
      </c>
      <c r="E198" s="97">
        <f>(D198/$D$199)</f>
        <v>1.5367996924702117E-2</v>
      </c>
      <c r="F198" s="30"/>
      <c r="G198" s="34"/>
      <c r="H198" s="66">
        <f>SUM(H182:H197)</f>
        <v>28332</v>
      </c>
      <c r="I198" s="35"/>
      <c r="J198" s="35"/>
      <c r="K198" s="57">
        <f>SUM(K182:K197)</f>
        <v>50303154426.365845</v>
      </c>
      <c r="L198" s="97">
        <f>(K198/$K$199)</f>
        <v>1.5503216900294077E-2</v>
      </c>
      <c r="M198" s="30"/>
      <c r="N198" s="34"/>
      <c r="O198" s="66">
        <f>SUM(O182:O197)</f>
        <v>28403</v>
      </c>
      <c r="P198" s="35"/>
      <c r="Q198" s="35"/>
      <c r="R198" s="78">
        <f t="shared" si="62"/>
        <v>6.7139980487496689E-3</v>
      </c>
      <c r="S198" s="78" t="e">
        <f t="shared" si="63"/>
        <v>#DIV/0!</v>
      </c>
      <c r="T198" s="78">
        <f t="shared" si="64"/>
        <v>2.5060002823662289E-3</v>
      </c>
      <c r="U198" s="78">
        <f t="shared" si="65"/>
        <v>0</v>
      </c>
      <c r="V198" s="80">
        <f t="shared" si="66"/>
        <v>0</v>
      </c>
    </row>
    <row r="199" spans="1:22">
      <c r="A199" s="83"/>
      <c r="B199" s="38"/>
      <c r="C199" s="65" t="s">
        <v>196</v>
      </c>
      <c r="D199" s="67">
        <f>SUM(D23,D61,D99,D133,D141,D172,D178,D198)</f>
        <v>3251410826129.2827</v>
      </c>
      <c r="E199" s="39"/>
      <c r="F199" s="39"/>
      <c r="G199" s="40"/>
      <c r="H199" s="67">
        <f>SUM(H23,H61,H99,H133,H141,H172,H178,H198)</f>
        <v>751624</v>
      </c>
      <c r="I199" s="41"/>
      <c r="J199" s="41"/>
      <c r="K199" s="67">
        <f>SUM(K23,K61,K99,K133,K141,K172,K178,K198)</f>
        <v>3244691392107.8955</v>
      </c>
      <c r="L199" s="39"/>
      <c r="M199" s="39"/>
      <c r="N199" s="40"/>
      <c r="O199" s="67">
        <f>SUM(O23,O61,O99,O133,O141,O172,O178,O198)</f>
        <v>756406</v>
      </c>
      <c r="P199" s="42"/>
      <c r="Q199" s="67"/>
      <c r="R199" s="25">
        <f t="shared" si="62"/>
        <v>-2.0666210395154871E-3</v>
      </c>
      <c r="S199" s="25"/>
      <c r="T199" s="25"/>
      <c r="U199" s="25"/>
      <c r="V199" s="25"/>
    </row>
    <row r="200" spans="1:22" ht="6.75" customHeight="1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9"/>
    </row>
    <row r="201" spans="1:22" ht="15.75">
      <c r="A201" s="173" t="s">
        <v>197</v>
      </c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</row>
    <row r="202" spans="1:22">
      <c r="A202" s="143">
        <v>1</v>
      </c>
      <c r="B202" s="137" t="s">
        <v>198</v>
      </c>
      <c r="C202" s="138" t="s">
        <v>199</v>
      </c>
      <c r="D202" s="2">
        <v>103175705234</v>
      </c>
      <c r="E202" s="3">
        <f>(D202/$D$204)</f>
        <v>0.93371737553737488</v>
      </c>
      <c r="F202" s="14">
        <v>107.39</v>
      </c>
      <c r="G202" s="14">
        <v>107.39</v>
      </c>
      <c r="H202" s="62">
        <v>0</v>
      </c>
      <c r="I202" s="20">
        <v>0</v>
      </c>
      <c r="J202" s="20">
        <v>0.13800000000000001</v>
      </c>
      <c r="K202" s="2">
        <v>103175705234</v>
      </c>
      <c r="L202" s="3">
        <f>(K202/$K$204)</f>
        <v>0.93378714853938249</v>
      </c>
      <c r="M202" s="14">
        <v>107.39</v>
      </c>
      <c r="N202" s="14">
        <v>107.39</v>
      </c>
      <c r="O202" s="62">
        <v>0</v>
      </c>
      <c r="P202" s="20">
        <v>0</v>
      </c>
      <c r="Q202" s="20">
        <v>0.13800000000000001</v>
      </c>
      <c r="R202" s="78">
        <f>((K202-D202)/D202)</f>
        <v>0</v>
      </c>
      <c r="S202" s="78">
        <f>((N202-G202)/G202)</f>
        <v>0</v>
      </c>
      <c r="T202" s="78" t="e">
        <f>((O202-H202)/H202)</f>
        <v>#DIV/0!</v>
      </c>
      <c r="U202" s="78">
        <f>P202-I202</f>
        <v>0</v>
      </c>
      <c r="V202" s="80">
        <f>Q202-J202</f>
        <v>0</v>
      </c>
    </row>
    <row r="203" spans="1:22">
      <c r="A203" s="141">
        <v>2</v>
      </c>
      <c r="B203" s="137" t="s">
        <v>200</v>
      </c>
      <c r="C203" s="138" t="s">
        <v>45</v>
      </c>
      <c r="D203" s="2">
        <v>7324225405.7399998</v>
      </c>
      <c r="E203" s="3">
        <f>(D203/$D$204)</f>
        <v>6.6282624462625034E-2</v>
      </c>
      <c r="F203" s="21">
        <v>1000000</v>
      </c>
      <c r="G203" s="21">
        <v>1000000</v>
      </c>
      <c r="H203" s="62">
        <v>0</v>
      </c>
      <c r="I203" s="20">
        <v>0.21329999999999999</v>
      </c>
      <c r="J203" s="20">
        <v>0.21329999999999999</v>
      </c>
      <c r="K203" s="2">
        <v>7315968800.4799995</v>
      </c>
      <c r="L203" s="3">
        <f>(K203/$K$204)</f>
        <v>6.6212851460617575E-2</v>
      </c>
      <c r="M203" s="21">
        <v>1000000</v>
      </c>
      <c r="N203" s="21">
        <v>1000000</v>
      </c>
      <c r="O203" s="62">
        <v>0</v>
      </c>
      <c r="P203" s="20">
        <v>0.2276</v>
      </c>
      <c r="Q203" s="20" t="s">
        <v>284</v>
      </c>
      <c r="R203" s="78">
        <f>((K203-D203)/D203)</f>
        <v>-1.1273008137528812E-3</v>
      </c>
      <c r="S203" s="78">
        <f>((N203-G203)/G203)</f>
        <v>0</v>
      </c>
      <c r="T203" s="78" t="e">
        <f>((O203-H203)/H203)</f>
        <v>#DIV/0!</v>
      </c>
      <c r="U203" s="78">
        <f>P203-I203</f>
        <v>1.4300000000000007E-2</v>
      </c>
      <c r="V203" s="80" t="e">
        <f>Q203-J203</f>
        <v>#VALUE!</v>
      </c>
    </row>
    <row r="204" spans="1:22">
      <c r="A204" s="38"/>
      <c r="B204" s="38"/>
      <c r="C204" s="65" t="s">
        <v>201</v>
      </c>
      <c r="D204" s="71">
        <f>SUM(D202:D203)</f>
        <v>110499930639.74001</v>
      </c>
      <c r="E204" s="24"/>
      <c r="F204" s="22"/>
      <c r="G204" s="22"/>
      <c r="H204" s="71">
        <f>SUM(H202:H203)</f>
        <v>0</v>
      </c>
      <c r="I204" s="23"/>
      <c r="J204" s="23"/>
      <c r="K204" s="71">
        <f>SUM(K202:K203)</f>
        <v>110491674034.48</v>
      </c>
      <c r="L204" s="24"/>
      <c r="M204" s="22"/>
      <c r="N204" s="22"/>
      <c r="O204" s="23"/>
      <c r="P204" s="23"/>
      <c r="Q204" s="71"/>
      <c r="R204" s="25">
        <f>((K204-D204)/D204)</f>
        <v>-7.4720456494480132E-5</v>
      </c>
      <c r="S204" s="26"/>
      <c r="T204" s="26"/>
      <c r="U204" s="25"/>
      <c r="V204" s="84"/>
    </row>
    <row r="205" spans="1:22" ht="8.25" customHeight="1">
      <c r="A205" s="178"/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</row>
    <row r="206" spans="1:22" ht="15.75">
      <c r="A206" s="173" t="s">
        <v>202</v>
      </c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</row>
    <row r="207" spans="1:22">
      <c r="A207" s="165">
        <v>1</v>
      </c>
      <c r="B207" s="137" t="s">
        <v>203</v>
      </c>
      <c r="C207" s="138" t="s">
        <v>74</v>
      </c>
      <c r="D207" s="27">
        <v>955914132.73265445</v>
      </c>
      <c r="E207" s="10">
        <f t="shared" ref="E207:E218" si="67">(D207/$D$219)</f>
        <v>7.8615922749097011E-2</v>
      </c>
      <c r="F207" s="21">
        <v>225.26549610761268</v>
      </c>
      <c r="G207" s="21">
        <v>226.76227367031936</v>
      </c>
      <c r="H207" s="61">
        <v>61</v>
      </c>
      <c r="I207" s="28">
        <v>-1.2779565518456382E-2</v>
      </c>
      <c r="J207" s="28">
        <v>0.27034560117135764</v>
      </c>
      <c r="K207" s="27">
        <v>955914132.73265445</v>
      </c>
      <c r="L207" s="10">
        <f t="shared" ref="L207:L218" si="68">(K207/$K$219)</f>
        <v>7.8330943951822246E-2</v>
      </c>
      <c r="M207" s="21">
        <v>223.17</v>
      </c>
      <c r="N207" s="21">
        <v>227.65</v>
      </c>
      <c r="O207" s="61">
        <v>61</v>
      </c>
      <c r="P207" s="28">
        <v>-9.3023394342276466E-3</v>
      </c>
      <c r="Q207" s="28">
        <v>0.27484480427836666</v>
      </c>
      <c r="R207" s="78">
        <f>((K207-D207)/D207)</f>
        <v>0</v>
      </c>
      <c r="S207" s="78">
        <f>((N207-G207)/G207)</f>
        <v>3.9147884492077203E-3</v>
      </c>
      <c r="T207" s="78">
        <f>((O207-H207)/H207)</f>
        <v>0</v>
      </c>
      <c r="U207" s="78">
        <f>P207-I207</f>
        <v>3.477226084228735E-3</v>
      </c>
      <c r="V207" s="80">
        <f>Q207-J207</f>
        <v>4.4992031070090199E-3</v>
      </c>
    </row>
    <row r="208" spans="1:22">
      <c r="A208" s="165">
        <v>2</v>
      </c>
      <c r="B208" s="137" t="s">
        <v>204</v>
      </c>
      <c r="C208" s="138" t="s">
        <v>183</v>
      </c>
      <c r="D208" s="27">
        <v>988336134.03999996</v>
      </c>
      <c r="E208" s="10">
        <f t="shared" si="67"/>
        <v>8.128236052093217E-2</v>
      </c>
      <c r="F208" s="21">
        <v>28.11</v>
      </c>
      <c r="G208" s="21">
        <v>31.07</v>
      </c>
      <c r="H208" s="61">
        <v>206</v>
      </c>
      <c r="I208" s="28">
        <v>-5.4999999999999997E-3</v>
      </c>
      <c r="J208" s="28">
        <v>0.3115</v>
      </c>
      <c r="K208" s="27">
        <v>1006538262.92</v>
      </c>
      <c r="L208" s="10">
        <f t="shared" si="68"/>
        <v>8.2479262057527827E-2</v>
      </c>
      <c r="M208" s="21">
        <v>28.63</v>
      </c>
      <c r="N208" s="21">
        <v>31.64</v>
      </c>
      <c r="O208" s="61">
        <v>206</v>
      </c>
      <c r="P208" s="28">
        <v>1.84E-2</v>
      </c>
      <c r="Q208" s="28">
        <v>0.33560000000000001</v>
      </c>
      <c r="R208" s="78">
        <f t="shared" ref="R208:R219" si="69">((K208-D208)/D208)</f>
        <v>1.8416941618430514E-2</v>
      </c>
      <c r="S208" s="78">
        <f t="shared" ref="S208:S219" si="70">((N208-G208)/G208)</f>
        <v>1.8345671065336345E-2</v>
      </c>
      <c r="T208" s="78">
        <f t="shared" ref="T208:T219" si="71">((O208-H208)/H208)</f>
        <v>0</v>
      </c>
      <c r="U208" s="78">
        <f t="shared" ref="U208:U219" si="72">P208-I208</f>
        <v>2.3899999999999998E-2</v>
      </c>
      <c r="V208" s="80">
        <f t="shared" ref="V208:V219" si="73">Q208-J208</f>
        <v>2.410000000000001E-2</v>
      </c>
    </row>
    <row r="209" spans="1:22">
      <c r="A209" s="165">
        <v>3</v>
      </c>
      <c r="B209" s="137" t="s">
        <v>205</v>
      </c>
      <c r="C209" s="138" t="s">
        <v>36</v>
      </c>
      <c r="D209" s="27">
        <v>256650820.53999999</v>
      </c>
      <c r="E209" s="10">
        <f t="shared" si="67"/>
        <v>2.1107378152665061E-2</v>
      </c>
      <c r="F209" s="21">
        <v>19.57</v>
      </c>
      <c r="G209" s="21">
        <v>20.079999999999998</v>
      </c>
      <c r="H209" s="61">
        <v>124</v>
      </c>
      <c r="I209" s="28">
        <v>-5.4502232259497463E-2</v>
      </c>
      <c r="J209" s="28">
        <v>-0.1628</v>
      </c>
      <c r="K209" s="27">
        <v>271538363.06</v>
      </c>
      <c r="L209" s="10">
        <f t="shared" si="68"/>
        <v>2.2250802210464937E-2</v>
      </c>
      <c r="M209" s="21">
        <v>19.57</v>
      </c>
      <c r="N209" s="21">
        <v>21.43</v>
      </c>
      <c r="O209" s="61">
        <v>143</v>
      </c>
      <c r="P209" s="28">
        <v>-5.4502232259497463E-2</v>
      </c>
      <c r="Q209" s="28">
        <v>-0.106</v>
      </c>
      <c r="R209" s="78">
        <f t="shared" si="69"/>
        <v>5.8006993660399117E-2</v>
      </c>
      <c r="S209" s="78">
        <f t="shared" si="70"/>
        <v>6.7231075697211234E-2</v>
      </c>
      <c r="T209" s="78">
        <f t="shared" si="71"/>
        <v>0.15322580645161291</v>
      </c>
      <c r="U209" s="78">
        <f t="shared" si="72"/>
        <v>0</v>
      </c>
      <c r="V209" s="80">
        <f t="shared" si="73"/>
        <v>5.6800000000000003E-2</v>
      </c>
    </row>
    <row r="210" spans="1:22">
      <c r="A210" s="165">
        <v>4</v>
      </c>
      <c r="B210" s="137" t="s">
        <v>206</v>
      </c>
      <c r="C210" s="138" t="s">
        <v>36</v>
      </c>
      <c r="D210" s="27">
        <v>586094533.32000005</v>
      </c>
      <c r="E210" s="10">
        <f t="shared" si="67"/>
        <v>4.820136137482927E-2</v>
      </c>
      <c r="F210" s="21">
        <v>44.05</v>
      </c>
      <c r="G210" s="21">
        <v>44.62</v>
      </c>
      <c r="H210" s="61">
        <v>122</v>
      </c>
      <c r="I210" s="28">
        <v>-5.3036812573749037E-3</v>
      </c>
      <c r="J210" s="28">
        <v>0.1704</v>
      </c>
      <c r="K210" s="27">
        <v>601537535.11000001</v>
      </c>
      <c r="L210" s="10">
        <f t="shared" si="68"/>
        <v>4.929208736868497E-2</v>
      </c>
      <c r="M210" s="21">
        <v>44.05</v>
      </c>
      <c r="N210" s="21">
        <v>46.71</v>
      </c>
      <c r="O210" s="61">
        <v>122</v>
      </c>
      <c r="P210" s="28">
        <v>-5.3036812573749037E-3</v>
      </c>
      <c r="Q210" s="28">
        <v>0.22539999999999999</v>
      </c>
      <c r="R210" s="78">
        <f t="shared" si="69"/>
        <v>2.6348994764583963E-2</v>
      </c>
      <c r="S210" s="78">
        <f t="shared" si="70"/>
        <v>4.6839982070820338E-2</v>
      </c>
      <c r="T210" s="78">
        <f t="shared" si="71"/>
        <v>0</v>
      </c>
      <c r="U210" s="78">
        <f t="shared" si="72"/>
        <v>0</v>
      </c>
      <c r="V210" s="80">
        <f t="shared" si="73"/>
        <v>5.4999999999999993E-2</v>
      </c>
    </row>
    <row r="211" spans="1:22">
      <c r="A211" s="165">
        <v>5</v>
      </c>
      <c r="B211" s="137" t="s">
        <v>207</v>
      </c>
      <c r="C211" s="138" t="s">
        <v>208</v>
      </c>
      <c r="D211" s="27">
        <v>1250035615.98</v>
      </c>
      <c r="E211" s="10">
        <f t="shared" si="67"/>
        <v>0.10280494874426971</v>
      </c>
      <c r="F211" s="21">
        <v>28600</v>
      </c>
      <c r="G211" s="21">
        <v>36600</v>
      </c>
      <c r="H211" s="61">
        <v>228</v>
      </c>
      <c r="I211" s="28">
        <v>0.05</v>
      </c>
      <c r="J211" s="28">
        <v>1.1399999999999999</v>
      </c>
      <c r="K211" s="27">
        <v>1206565819.51</v>
      </c>
      <c r="L211" s="10">
        <f t="shared" si="68"/>
        <v>9.8870218930694281E-2</v>
      </c>
      <c r="M211" s="21">
        <v>33660</v>
      </c>
      <c r="N211" s="21">
        <v>39110</v>
      </c>
      <c r="O211" s="61">
        <v>226</v>
      </c>
      <c r="P211" s="28">
        <v>-0.03</v>
      </c>
      <c r="Q211" s="28">
        <v>1.06</v>
      </c>
      <c r="R211" s="78">
        <f t="shared" si="69"/>
        <v>-3.4774846343814517E-2</v>
      </c>
      <c r="S211" s="78">
        <f t="shared" si="70"/>
        <v>6.8579234972677594E-2</v>
      </c>
      <c r="T211" s="78">
        <f t="shared" si="71"/>
        <v>-8.771929824561403E-3</v>
      </c>
      <c r="U211" s="78">
        <f t="shared" si="72"/>
        <v>-0.08</v>
      </c>
      <c r="V211" s="80">
        <f t="shared" si="73"/>
        <v>-7.9999999999999849E-2</v>
      </c>
    </row>
    <row r="212" spans="1:22">
      <c r="A212" s="165">
        <v>6</v>
      </c>
      <c r="B212" s="137" t="s">
        <v>209</v>
      </c>
      <c r="C212" s="138" t="s">
        <v>210</v>
      </c>
      <c r="D212" s="27">
        <v>1070490074.38</v>
      </c>
      <c r="E212" s="10">
        <f t="shared" si="67"/>
        <v>8.8038833310847164E-2</v>
      </c>
      <c r="F212" s="21">
        <v>1060.2</v>
      </c>
      <c r="G212" s="21">
        <v>1060.2</v>
      </c>
      <c r="H212" s="61">
        <v>122</v>
      </c>
      <c r="I212" s="28">
        <v>-2.63E-2</v>
      </c>
      <c r="J212" s="28">
        <v>9.7900000000000001E-2</v>
      </c>
      <c r="K212" s="27">
        <v>1065222911.14</v>
      </c>
      <c r="L212" s="10">
        <f t="shared" si="68"/>
        <v>8.7288087173872084E-2</v>
      </c>
      <c r="M212" s="21">
        <v>1079</v>
      </c>
      <c r="N212" s="21">
        <v>1079</v>
      </c>
      <c r="O212" s="61">
        <v>122</v>
      </c>
      <c r="P212" s="28">
        <v>3.1800000000000002E-2</v>
      </c>
      <c r="Q212" s="28">
        <v>0.13189999999999999</v>
      </c>
      <c r="R212" s="78">
        <f t="shared" si="69"/>
        <v>-4.9203288905323231E-3</v>
      </c>
      <c r="S212" s="78">
        <f t="shared" si="70"/>
        <v>1.7732503301263868E-2</v>
      </c>
      <c r="T212" s="78">
        <f t="shared" si="71"/>
        <v>0</v>
      </c>
      <c r="U212" s="78">
        <f t="shared" si="72"/>
        <v>5.8099999999999999E-2</v>
      </c>
      <c r="V212" s="80">
        <f t="shared" si="73"/>
        <v>3.3999999999999989E-2</v>
      </c>
    </row>
    <row r="213" spans="1:22">
      <c r="A213" s="165">
        <v>7</v>
      </c>
      <c r="B213" s="137" t="s">
        <v>211</v>
      </c>
      <c r="C213" s="138" t="s">
        <v>210</v>
      </c>
      <c r="D213" s="27">
        <v>865603668.64999998</v>
      </c>
      <c r="E213" s="10">
        <f t="shared" si="67"/>
        <v>7.1188644268067675E-2</v>
      </c>
      <c r="F213" s="21">
        <v>550</v>
      </c>
      <c r="G213" s="21">
        <v>550</v>
      </c>
      <c r="H213" s="61">
        <v>572</v>
      </c>
      <c r="I213" s="28">
        <v>-2.8400000000000002E-2</v>
      </c>
      <c r="J213" s="28">
        <v>0.2964</v>
      </c>
      <c r="K213" s="27">
        <v>871552272.25</v>
      </c>
      <c r="L213" s="10">
        <f t="shared" si="68"/>
        <v>7.1418038347793075E-2</v>
      </c>
      <c r="M213" s="21">
        <v>552</v>
      </c>
      <c r="N213" s="21">
        <v>552</v>
      </c>
      <c r="O213" s="61">
        <v>572</v>
      </c>
      <c r="P213" s="28">
        <v>6.8999999999999999E-3</v>
      </c>
      <c r="Q213" s="28">
        <v>0.30520000000000003</v>
      </c>
      <c r="R213" s="78">
        <f t="shared" si="69"/>
        <v>6.8722023894347596E-3</v>
      </c>
      <c r="S213" s="78">
        <f t="shared" si="70"/>
        <v>3.6363636363636364E-3</v>
      </c>
      <c r="T213" s="78">
        <f t="shared" si="71"/>
        <v>0</v>
      </c>
      <c r="U213" s="78">
        <f t="shared" si="72"/>
        <v>3.5299999999999998E-2</v>
      </c>
      <c r="V213" s="80">
        <f t="shared" si="73"/>
        <v>8.80000000000003E-3</v>
      </c>
    </row>
    <row r="214" spans="1:22">
      <c r="A214" s="165">
        <v>8</v>
      </c>
      <c r="B214" s="137" t="s">
        <v>212</v>
      </c>
      <c r="C214" s="138" t="s">
        <v>213</v>
      </c>
      <c r="D214" s="27">
        <v>50007323.890000001</v>
      </c>
      <c r="E214" s="10">
        <f t="shared" si="67"/>
        <v>4.1126831136880171E-3</v>
      </c>
      <c r="F214" s="21">
        <v>14.98</v>
      </c>
      <c r="G214" s="21">
        <v>15.08</v>
      </c>
      <c r="H214" s="61">
        <v>61</v>
      </c>
      <c r="I214" s="28">
        <v>0</v>
      </c>
      <c r="J214" s="28">
        <v>0.43230000000000002</v>
      </c>
      <c r="K214" s="27">
        <v>50939817.340000004</v>
      </c>
      <c r="L214" s="10">
        <f t="shared" si="68"/>
        <v>4.1741866139890556E-3</v>
      </c>
      <c r="M214" s="21">
        <v>15.33</v>
      </c>
      <c r="N214" s="21">
        <v>15.43</v>
      </c>
      <c r="O214" s="61">
        <v>61</v>
      </c>
      <c r="P214" s="28">
        <v>0</v>
      </c>
      <c r="Q214" s="28">
        <v>0.43230000000000002</v>
      </c>
      <c r="R214" s="78">
        <f t="shared" si="69"/>
        <v>1.8647137608306899E-2</v>
      </c>
      <c r="S214" s="78">
        <f t="shared" si="70"/>
        <v>2.3209549071618013E-2</v>
      </c>
      <c r="T214" s="78">
        <f t="shared" si="71"/>
        <v>0</v>
      </c>
      <c r="U214" s="78">
        <f t="shared" si="72"/>
        <v>0</v>
      </c>
      <c r="V214" s="80">
        <f t="shared" si="73"/>
        <v>0</v>
      </c>
    </row>
    <row r="215" spans="1:22">
      <c r="A215" s="165">
        <v>9</v>
      </c>
      <c r="B215" s="137" t="s">
        <v>214</v>
      </c>
      <c r="C215" s="138" t="s">
        <v>213</v>
      </c>
      <c r="D215" s="29">
        <v>509353637.93000001</v>
      </c>
      <c r="E215" s="10">
        <f t="shared" si="67"/>
        <v>4.1890066147474286E-2</v>
      </c>
      <c r="F215" s="21">
        <v>8.1</v>
      </c>
      <c r="G215" s="21">
        <v>8.1999999999999993</v>
      </c>
      <c r="H215" s="61">
        <v>102</v>
      </c>
      <c r="I215" s="28">
        <v>0</v>
      </c>
      <c r="J215" s="28">
        <v>-7.1300000000000002E-2</v>
      </c>
      <c r="K215" s="29">
        <v>534467332.31999999</v>
      </c>
      <c r="L215" s="10">
        <f t="shared" si="68"/>
        <v>4.379612061217069E-2</v>
      </c>
      <c r="M215" s="21">
        <v>8.52</v>
      </c>
      <c r="N215" s="21">
        <v>8.6199999999999992</v>
      </c>
      <c r="O215" s="61">
        <v>102</v>
      </c>
      <c r="P215" s="28">
        <v>4.2700000000000002E-2</v>
      </c>
      <c r="Q215" s="28">
        <v>-3.1699999999999999E-2</v>
      </c>
      <c r="R215" s="78">
        <f t="shared" si="69"/>
        <v>4.9305026056280642E-2</v>
      </c>
      <c r="S215" s="78">
        <f t="shared" si="70"/>
        <v>5.1219512195121948E-2</v>
      </c>
      <c r="T215" s="78">
        <f t="shared" si="71"/>
        <v>0</v>
      </c>
      <c r="U215" s="78">
        <f t="shared" si="72"/>
        <v>4.2700000000000002E-2</v>
      </c>
      <c r="V215" s="80">
        <f t="shared" si="73"/>
        <v>3.9600000000000003E-2</v>
      </c>
    </row>
    <row r="216" spans="1:22" ht="15" customHeight="1">
      <c r="A216" s="165">
        <v>10</v>
      </c>
      <c r="B216" s="137" t="s">
        <v>215</v>
      </c>
      <c r="C216" s="138" t="s">
        <v>213</v>
      </c>
      <c r="D216" s="27">
        <v>436388429.56999999</v>
      </c>
      <c r="E216" s="10">
        <f t="shared" si="67"/>
        <v>3.5889289521854703E-2</v>
      </c>
      <c r="F216" s="21">
        <v>122.96</v>
      </c>
      <c r="G216" s="21">
        <v>124.96</v>
      </c>
      <c r="H216" s="61">
        <v>260</v>
      </c>
      <c r="I216" s="28">
        <v>0.2114</v>
      </c>
      <c r="J216" s="28">
        <v>0.35139999999999999</v>
      </c>
      <c r="K216" s="27">
        <v>427400202.01999998</v>
      </c>
      <c r="L216" s="10">
        <f t="shared" si="68"/>
        <v>3.5022665868242035E-2</v>
      </c>
      <c r="M216" s="21">
        <v>120.41</v>
      </c>
      <c r="N216" s="21">
        <v>122.41</v>
      </c>
      <c r="O216" s="61">
        <v>260</v>
      </c>
      <c r="P216" s="28">
        <v>-0.15</v>
      </c>
      <c r="Q216" s="28">
        <v>0.14860000000000001</v>
      </c>
      <c r="R216" s="78">
        <f t="shared" si="69"/>
        <v>-2.0596851201707293E-2</v>
      </c>
      <c r="S216" s="78">
        <f t="shared" si="70"/>
        <v>-2.0406530089628658E-2</v>
      </c>
      <c r="T216" s="78">
        <f t="shared" si="71"/>
        <v>0</v>
      </c>
      <c r="U216" s="78">
        <f t="shared" si="72"/>
        <v>-0.3614</v>
      </c>
      <c r="V216" s="80">
        <f t="shared" si="73"/>
        <v>-0.20279999999999998</v>
      </c>
    </row>
    <row r="217" spans="1:22">
      <c r="A217" s="165">
        <v>11</v>
      </c>
      <c r="B217" s="137" t="s">
        <v>216</v>
      </c>
      <c r="C217" s="138" t="s">
        <v>213</v>
      </c>
      <c r="D217" s="27">
        <v>5115019780.0299997</v>
      </c>
      <c r="E217" s="10">
        <f t="shared" si="67"/>
        <v>0.42066749106156925</v>
      </c>
      <c r="F217" s="21">
        <v>36.369999999999997</v>
      </c>
      <c r="G217" s="21">
        <v>36.57</v>
      </c>
      <c r="H217" s="61">
        <v>278</v>
      </c>
      <c r="I217" s="28">
        <v>4.1700000000000001E-2</v>
      </c>
      <c r="J217" s="28">
        <v>0.27779999999999999</v>
      </c>
      <c r="K217" s="27">
        <v>5139342146.7200003</v>
      </c>
      <c r="L217" s="10">
        <f t="shared" si="68"/>
        <v>0.42113565210417381</v>
      </c>
      <c r="M217" s="21">
        <v>36.67</v>
      </c>
      <c r="N217" s="21">
        <v>36.869999999999997</v>
      </c>
      <c r="O217" s="61">
        <v>278</v>
      </c>
      <c r="P217" s="28">
        <v>4.0599999999999997E-2</v>
      </c>
      <c r="Q217" s="28">
        <v>0.3296</v>
      </c>
      <c r="R217" s="78">
        <f t="shared" si="69"/>
        <v>4.7550875140228458E-3</v>
      </c>
      <c r="S217" s="78">
        <f t="shared" si="70"/>
        <v>8.2034454470876986E-3</v>
      </c>
      <c r="T217" s="78">
        <f t="shared" si="71"/>
        <v>0</v>
      </c>
      <c r="U217" s="78">
        <f t="shared" si="72"/>
        <v>-1.1000000000000038E-3</v>
      </c>
      <c r="V217" s="80">
        <f t="shared" si="73"/>
        <v>5.1800000000000013E-2</v>
      </c>
    </row>
    <row r="218" spans="1:22">
      <c r="A218" s="165">
        <v>12</v>
      </c>
      <c r="B218" s="137" t="s">
        <v>217</v>
      </c>
      <c r="C218" s="138" t="s">
        <v>213</v>
      </c>
      <c r="D218" s="29">
        <v>75400039.040000007</v>
      </c>
      <c r="E218" s="10">
        <f t="shared" si="67"/>
        <v>6.2010210347055875E-3</v>
      </c>
      <c r="F218" s="21">
        <v>44.25</v>
      </c>
      <c r="G218" s="21">
        <v>44.45</v>
      </c>
      <c r="H218" s="61">
        <v>57</v>
      </c>
      <c r="I218" s="28">
        <v>0</v>
      </c>
      <c r="J218" s="28">
        <v>0.81130000000000002</v>
      </c>
      <c r="K218" s="29">
        <v>72512587.322999999</v>
      </c>
      <c r="L218" s="10">
        <f t="shared" si="68"/>
        <v>5.9419347605650262E-3</v>
      </c>
      <c r="M218" s="21">
        <v>42.62</v>
      </c>
      <c r="N218" s="21">
        <v>42.82</v>
      </c>
      <c r="O218" s="61">
        <v>57</v>
      </c>
      <c r="P218" s="28">
        <v>0</v>
      </c>
      <c r="Q218" s="28">
        <v>0.81130000000000002</v>
      </c>
      <c r="R218" s="78">
        <f t="shared" si="69"/>
        <v>-3.8295095781955807E-2</v>
      </c>
      <c r="S218" s="78">
        <f t="shared" si="70"/>
        <v>-3.6670416197975307E-2</v>
      </c>
      <c r="T218" s="78">
        <f t="shared" si="71"/>
        <v>0</v>
      </c>
      <c r="U218" s="78">
        <f t="shared" si="72"/>
        <v>0</v>
      </c>
      <c r="V218" s="80">
        <f t="shared" si="73"/>
        <v>0</v>
      </c>
    </row>
    <row r="219" spans="1:22">
      <c r="A219" s="128"/>
      <c r="B219" s="128"/>
      <c r="C219" s="129" t="s">
        <v>218</v>
      </c>
      <c r="D219" s="71">
        <f>SUM(D207:D218)</f>
        <v>12159294190.102655</v>
      </c>
      <c r="E219" s="24"/>
      <c r="F219" s="24"/>
      <c r="G219" s="22"/>
      <c r="H219" s="71">
        <f>SUM(H207:H218)</f>
        <v>2193</v>
      </c>
      <c r="I219" s="23"/>
      <c r="J219" s="23"/>
      <c r="K219" s="71">
        <f>SUM(K207:K218)</f>
        <v>12203531382.445654</v>
      </c>
      <c r="L219" s="24"/>
      <c r="M219" s="24"/>
      <c r="N219" s="22"/>
      <c r="O219" s="71">
        <f>SUM(O207:O218)</f>
        <v>2210</v>
      </c>
      <c r="P219" s="23"/>
      <c r="Q219" s="23"/>
      <c r="R219" s="78">
        <f t="shared" si="69"/>
        <v>3.6381381724447798E-3</v>
      </c>
      <c r="S219" s="78" t="e">
        <f t="shared" si="70"/>
        <v>#DIV/0!</v>
      </c>
      <c r="T219" s="78">
        <f t="shared" si="71"/>
        <v>7.7519379844961239E-3</v>
      </c>
      <c r="U219" s="78">
        <f t="shared" si="72"/>
        <v>0</v>
      </c>
      <c r="V219" s="80">
        <f t="shared" si="73"/>
        <v>0</v>
      </c>
    </row>
    <row r="220" spans="1:22">
      <c r="A220" s="85"/>
      <c r="B220" s="85"/>
      <c r="C220" s="86" t="s">
        <v>219</v>
      </c>
      <c r="D220" s="87">
        <f>SUM(D199,D204,D219)</f>
        <v>3374070050959.1255</v>
      </c>
      <c r="E220" s="88"/>
      <c r="F220" s="88"/>
      <c r="G220" s="89"/>
      <c r="H220" s="87">
        <f>SUM(H199,H204,H219)</f>
        <v>753817</v>
      </c>
      <c r="I220" s="90"/>
      <c r="J220" s="90"/>
      <c r="K220" s="87">
        <f>SUM(K199,K204,K219)</f>
        <v>3367386597524.8213</v>
      </c>
      <c r="L220" s="88"/>
      <c r="M220" s="88"/>
      <c r="N220" s="89"/>
      <c r="O220" s="87">
        <f>SUM(O199,O204,O219)</f>
        <v>758616</v>
      </c>
      <c r="P220" s="91"/>
      <c r="Q220" s="87"/>
      <c r="R220" s="92"/>
      <c r="S220" s="93"/>
      <c r="T220" s="93"/>
      <c r="U220" s="94"/>
      <c r="V220" s="94"/>
    </row>
    <row r="221" spans="1:22">
      <c r="A221" s="106" t="s">
        <v>248</v>
      </c>
      <c r="B221" s="107" t="s">
        <v>283</v>
      </c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</row>
    <row r="223" spans="1:22">
      <c r="B223" s="110"/>
      <c r="C223" s="110"/>
      <c r="D223" s="109"/>
      <c r="K223" s="109"/>
    </row>
    <row r="224" spans="1:22">
      <c r="B224" s="122"/>
      <c r="C224" s="123"/>
      <c r="D224" s="124"/>
      <c r="F224" s="125"/>
      <c r="G224" s="125"/>
      <c r="I224" s="126"/>
      <c r="J224" s="127"/>
    </row>
    <row r="227" spans="2:2">
      <c r="B227" s="110"/>
    </row>
  </sheetData>
  <sheetProtection password="CA3B" sheet="1" objects="1" scenarios="1"/>
  <mergeCells count="31">
    <mergeCell ref="A205:V205"/>
    <mergeCell ref="A206:V206"/>
    <mergeCell ref="A181:V181"/>
    <mergeCell ref="A184:V184"/>
    <mergeCell ref="A185:V185"/>
    <mergeCell ref="A200:U200"/>
    <mergeCell ref="A201:V201"/>
    <mergeCell ref="A180:V180"/>
    <mergeCell ref="A101:V101"/>
    <mergeCell ref="A102:V102"/>
    <mergeCell ref="A118:V118"/>
    <mergeCell ref="A119:V119"/>
    <mergeCell ref="A134:V134"/>
    <mergeCell ref="A135:V135"/>
    <mergeCell ref="A142:V142"/>
    <mergeCell ref="A143:V143"/>
    <mergeCell ref="A173:V173"/>
    <mergeCell ref="A174:V174"/>
    <mergeCell ref="A179:V179"/>
    <mergeCell ref="A100:V100"/>
    <mergeCell ref="A1:V1"/>
    <mergeCell ref="U2:V2"/>
    <mergeCell ref="A4:V4"/>
    <mergeCell ref="A5:V5"/>
    <mergeCell ref="A24:V24"/>
    <mergeCell ref="A25:V25"/>
    <mergeCell ref="A62:V62"/>
    <mergeCell ref="A63:V63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6 E86 E68" formula="1"/>
    <ignoredError sqref="S141 S23 T35 S61 S99 S133 T151 S172 S178 S198 S219 T202:T20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E6" sqref="E6"/>
    </sheetView>
  </sheetViews>
  <sheetFormatPr defaultRowHeight="15"/>
  <cols>
    <col min="1" max="1" width="34" customWidth="1"/>
    <col min="2" max="2" width="16.85546875" customWidth="1"/>
    <col min="3" max="3" width="17.42578125" customWidth="1"/>
  </cols>
  <sheetData>
    <row r="1" spans="1:5">
      <c r="A1" s="98"/>
      <c r="B1" s="98"/>
      <c r="C1" s="98"/>
      <c r="D1" s="98"/>
    </row>
    <row r="2" spans="1:5" ht="33">
      <c r="A2" s="144" t="s">
        <v>220</v>
      </c>
      <c r="B2" s="145" t="s">
        <v>281</v>
      </c>
      <c r="C2" s="145" t="s">
        <v>286</v>
      </c>
      <c r="D2" s="98"/>
    </row>
    <row r="3" spans="1:5" ht="16.5">
      <c r="A3" s="146" t="s">
        <v>15</v>
      </c>
      <c r="B3" s="147">
        <f t="shared" ref="B3:C10" si="0">B13</f>
        <v>27.041982230700103</v>
      </c>
      <c r="C3" s="147">
        <f t="shared" si="0"/>
        <v>27.433680041348602</v>
      </c>
      <c r="D3" s="98"/>
    </row>
    <row r="4" spans="1:5" ht="17.25" customHeight="1">
      <c r="A4" s="148" t="s">
        <v>47</v>
      </c>
      <c r="B4" s="149">
        <f t="shared" si="0"/>
        <v>1197.5843570663212</v>
      </c>
      <c r="C4" s="149">
        <f t="shared" si="0"/>
        <v>1218.5725122763979</v>
      </c>
      <c r="D4" s="98"/>
    </row>
    <row r="5" spans="1:5" ht="19.5" customHeight="1">
      <c r="A5" s="148" t="s">
        <v>221</v>
      </c>
      <c r="B5" s="147">
        <f t="shared" si="0"/>
        <v>222.26541361099601</v>
      </c>
      <c r="C5" s="147">
        <f t="shared" si="0"/>
        <v>220.34261296504528</v>
      </c>
      <c r="D5" s="98"/>
    </row>
    <row r="6" spans="1:5" ht="16.5">
      <c r="A6" s="148" t="s">
        <v>128</v>
      </c>
      <c r="B6" s="149">
        <f t="shared" si="0"/>
        <v>1602.2679201256169</v>
      </c>
      <c r="C6" s="149">
        <f t="shared" si="0"/>
        <v>1574.7218506689399</v>
      </c>
      <c r="D6" s="98"/>
    </row>
    <row r="7" spans="1:5" ht="16.5">
      <c r="A7" s="148" t="s">
        <v>222</v>
      </c>
      <c r="B7" s="147">
        <f t="shared" si="0"/>
        <v>98.122255921538311</v>
      </c>
      <c r="C7" s="147">
        <f t="shared" si="0"/>
        <v>98.421099303410855</v>
      </c>
      <c r="D7" s="98"/>
    </row>
    <row r="8" spans="1:5" ht="16.5">
      <c r="A8" s="148" t="s">
        <v>152</v>
      </c>
      <c r="B8" s="150">
        <f t="shared" si="0"/>
        <v>48.930496510281785</v>
      </c>
      <c r="C8" s="150">
        <f t="shared" si="0"/>
        <v>49.553288389127481</v>
      </c>
      <c r="D8" s="98"/>
    </row>
    <row r="9" spans="1:5" ht="16.5">
      <c r="A9" s="148" t="s">
        <v>176</v>
      </c>
      <c r="B9" s="147">
        <f t="shared" si="0"/>
        <v>5.2307290869300003</v>
      </c>
      <c r="C9" s="147">
        <f t="shared" si="0"/>
        <v>5.34319403726</v>
      </c>
      <c r="D9" s="98"/>
    </row>
    <row r="10" spans="1:5" ht="16.5">
      <c r="A10" s="148" t="s">
        <v>223</v>
      </c>
      <c r="B10" s="147">
        <f t="shared" si="0"/>
        <v>49.967671576897985</v>
      </c>
      <c r="C10" s="147">
        <f t="shared" si="0"/>
        <v>50.303154426365843</v>
      </c>
      <c r="D10" s="98"/>
    </row>
    <row r="11" spans="1:5" ht="16.5">
      <c r="A11" s="151"/>
      <c r="B11" s="152"/>
      <c r="C11" s="152"/>
      <c r="D11" s="98"/>
    </row>
    <row r="12" spans="1:5">
      <c r="A12" s="96"/>
      <c r="B12" s="96"/>
      <c r="C12" s="96"/>
      <c r="D12" s="98"/>
    </row>
    <row r="13" spans="1:5">
      <c r="A13" s="153" t="s">
        <v>15</v>
      </c>
      <c r="B13" s="154">
        <f>'Weekly Valuation'!D23/1000000000</f>
        <v>27.041982230700103</v>
      </c>
      <c r="C13" s="155">
        <f>'Weekly Valuation'!K23/1000000000</f>
        <v>27.433680041348602</v>
      </c>
      <c r="D13" s="98"/>
      <c r="E13" s="98"/>
    </row>
    <row r="14" spans="1:5">
      <c r="A14" s="156" t="s">
        <v>47</v>
      </c>
      <c r="B14" s="154">
        <f>'Weekly Valuation'!D61/1000000000</f>
        <v>1197.5843570663212</v>
      </c>
      <c r="C14" s="157">
        <f>'Weekly Valuation'!K61/1000000000</f>
        <v>1218.5725122763979</v>
      </c>
      <c r="D14" s="98"/>
      <c r="E14" s="98"/>
    </row>
    <row r="15" spans="1:5">
      <c r="A15" s="156" t="s">
        <v>221</v>
      </c>
      <c r="B15" s="154">
        <f>'Weekly Valuation'!D99/1000000000</f>
        <v>222.26541361099601</v>
      </c>
      <c r="C15" s="155">
        <f>'Weekly Valuation'!K99/1000000000</f>
        <v>220.34261296504528</v>
      </c>
      <c r="D15" s="98"/>
      <c r="E15" s="98"/>
    </row>
    <row r="16" spans="1:5">
      <c r="A16" s="156" t="s">
        <v>128</v>
      </c>
      <c r="B16" s="154">
        <f>'Weekly Valuation'!D133/1000000000</f>
        <v>1602.2679201256169</v>
      </c>
      <c r="C16" s="157">
        <f>'Weekly Valuation'!K133/1000000000</f>
        <v>1574.7218506689399</v>
      </c>
      <c r="D16" s="98"/>
      <c r="E16" s="98"/>
    </row>
    <row r="17" spans="1:5">
      <c r="A17" s="156" t="s">
        <v>222</v>
      </c>
      <c r="B17" s="154">
        <f>'Weekly Valuation'!D141/1000000000</f>
        <v>98.122255921538311</v>
      </c>
      <c r="C17" s="155">
        <f>'Weekly Valuation'!K141/1000000000</f>
        <v>98.421099303410855</v>
      </c>
      <c r="D17" s="98"/>
      <c r="E17" s="98"/>
    </row>
    <row r="18" spans="1:5">
      <c r="A18" s="156" t="s">
        <v>152</v>
      </c>
      <c r="B18" s="154">
        <f>'Weekly Valuation'!D172/1000000000</f>
        <v>48.930496510281785</v>
      </c>
      <c r="C18" s="158">
        <f>'Weekly Valuation'!K172/1000000000</f>
        <v>49.553288389127481</v>
      </c>
      <c r="D18" s="98"/>
      <c r="E18" s="98"/>
    </row>
    <row r="19" spans="1:5">
      <c r="A19" s="156" t="s">
        <v>176</v>
      </c>
      <c r="B19" s="154">
        <f>'Weekly Valuation'!D178/1000000000</f>
        <v>5.2307290869300003</v>
      </c>
      <c r="C19" s="155">
        <f>'Weekly Valuation'!K178/1000000000</f>
        <v>5.34319403726</v>
      </c>
      <c r="D19" s="98"/>
      <c r="E19" s="98"/>
    </row>
    <row r="20" spans="1:5">
      <c r="A20" s="156" t="s">
        <v>223</v>
      </c>
      <c r="B20" s="154">
        <f>'Weekly Valuation'!D198/1000000000</f>
        <v>49.967671576897985</v>
      </c>
      <c r="C20" s="155">
        <f>'Weekly Valuation'!K198/1000000000</f>
        <v>50.303154426365843</v>
      </c>
      <c r="D20" s="98"/>
      <c r="E20" s="98"/>
    </row>
    <row r="21" spans="1:5" ht="16.5">
      <c r="A21" s="112"/>
      <c r="B21" s="98"/>
      <c r="C21" s="115"/>
      <c r="D21" s="98"/>
      <c r="E21" s="98"/>
    </row>
    <row r="22" spans="1:5" ht="16.5">
      <c r="A22" s="112"/>
      <c r="B22" s="98"/>
      <c r="C22" s="103"/>
      <c r="D22" s="98"/>
      <c r="E22" s="98"/>
    </row>
    <row r="23" spans="1:5" ht="16.5">
      <c r="A23" s="135"/>
      <c r="B23" s="133"/>
      <c r="C23" s="134"/>
      <c r="D23" s="96"/>
      <c r="E23" s="98"/>
    </row>
    <row r="24" spans="1:5" ht="16.5">
      <c r="A24" s="135"/>
      <c r="B24" s="133"/>
      <c r="C24" s="133"/>
      <c r="D24" s="96"/>
      <c r="E24" s="98"/>
    </row>
    <row r="25" spans="1:5" ht="16.5">
      <c r="A25" s="135"/>
      <c r="B25" s="133"/>
      <c r="C25" s="133"/>
      <c r="D25" s="98"/>
      <c r="E25" s="98"/>
    </row>
    <row r="26" spans="1:5" ht="16.5">
      <c r="A26" s="112"/>
      <c r="B26" s="103"/>
      <c r="C26" s="103"/>
      <c r="D26" s="98"/>
      <c r="E26" s="98"/>
    </row>
    <row r="27" spans="1:5" ht="16.5">
      <c r="A27" s="112"/>
      <c r="B27" s="103"/>
      <c r="C27" s="103"/>
      <c r="D27" s="98"/>
      <c r="E27" s="98"/>
    </row>
    <row r="28" spans="1:5">
      <c r="B28" s="98"/>
      <c r="C28" s="98"/>
    </row>
    <row r="29" spans="1:5">
      <c r="B29" s="98"/>
      <c r="C29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6" sqref="I6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44" t="s">
        <v>220</v>
      </c>
      <c r="B1" s="159">
        <v>45513</v>
      </c>
      <c r="C1" s="96"/>
      <c r="D1" s="98"/>
    </row>
    <row r="2" spans="1:4" ht="16.5">
      <c r="A2" s="148" t="s">
        <v>176</v>
      </c>
      <c r="B2" s="147">
        <f>'Weekly Valuation'!K178</f>
        <v>5343194037.2600002</v>
      </c>
      <c r="C2" s="96"/>
      <c r="D2" s="98"/>
    </row>
    <row r="3" spans="1:4" ht="16.5">
      <c r="A3" s="148" t="s">
        <v>15</v>
      </c>
      <c r="B3" s="147">
        <f>'Weekly Valuation'!K23</f>
        <v>27433680041.348602</v>
      </c>
      <c r="C3" s="96"/>
      <c r="D3" s="98"/>
    </row>
    <row r="4" spans="1:4" ht="16.5">
      <c r="A4" s="148" t="s">
        <v>152</v>
      </c>
      <c r="B4" s="150">
        <f>'Weekly Valuation'!K172</f>
        <v>49553288389.12748</v>
      </c>
      <c r="C4" s="96"/>
      <c r="D4" s="98"/>
    </row>
    <row r="5" spans="1:4" ht="16.5">
      <c r="A5" s="148" t="s">
        <v>223</v>
      </c>
      <c r="B5" s="147">
        <f>'Weekly Valuation'!K198</f>
        <v>50303154426.365845</v>
      </c>
      <c r="C5" s="96"/>
      <c r="D5" s="98"/>
    </row>
    <row r="6" spans="1:4" ht="16.5">
      <c r="A6" s="148" t="s">
        <v>222</v>
      </c>
      <c r="B6" s="147">
        <f>'Weekly Valuation'!K141</f>
        <v>98421099303.410858</v>
      </c>
      <c r="C6" s="96"/>
      <c r="D6" s="98"/>
    </row>
    <row r="7" spans="1:4" ht="16.5">
      <c r="A7" s="148" t="s">
        <v>221</v>
      </c>
      <c r="B7" s="147">
        <f>'Weekly Valuation'!K99</f>
        <v>220342612965.04529</v>
      </c>
      <c r="C7" s="96"/>
      <c r="D7" s="98"/>
    </row>
    <row r="8" spans="1:4" ht="16.5">
      <c r="A8" s="148" t="s">
        <v>47</v>
      </c>
      <c r="B8" s="149">
        <f>'Weekly Valuation'!K61</f>
        <v>1218572512276.3979</v>
      </c>
      <c r="C8" s="96"/>
      <c r="D8" s="98"/>
    </row>
    <row r="9" spans="1:4" ht="16.5">
      <c r="A9" s="148" t="s">
        <v>128</v>
      </c>
      <c r="B9" s="149">
        <f>'Weekly Valuation'!K133</f>
        <v>1574721850668.9399</v>
      </c>
      <c r="C9" s="96"/>
      <c r="D9" s="98"/>
    </row>
    <row r="10" spans="1:4">
      <c r="A10" s="96"/>
      <c r="B10" s="96"/>
      <c r="C10" s="96"/>
      <c r="D10" s="98"/>
    </row>
    <row r="11" spans="1:4" ht="16.5">
      <c r="A11" s="112"/>
      <c r="B11" s="118"/>
      <c r="C11" s="98"/>
      <c r="D11" s="98"/>
    </row>
    <row r="12" spans="1:4" ht="16.5">
      <c r="A12" s="103"/>
      <c r="B12" s="98"/>
      <c r="C12" s="98"/>
      <c r="D12" s="98"/>
    </row>
    <row r="13" spans="1:4" ht="16.5">
      <c r="A13" s="103"/>
      <c r="B13" s="103"/>
      <c r="C13" s="98"/>
      <c r="D13" s="98"/>
    </row>
    <row r="14" spans="1:4" ht="16.5">
      <c r="A14" s="133"/>
      <c r="B14" s="133"/>
      <c r="C14" s="132"/>
      <c r="D14" s="98"/>
    </row>
    <row r="15" spans="1:4" ht="16.5" customHeight="1">
      <c r="A15" s="134"/>
      <c r="B15" s="134"/>
      <c r="C15" s="132"/>
      <c r="D15" s="98"/>
    </row>
    <row r="16" spans="1:4" ht="16.5">
      <c r="A16" s="103"/>
      <c r="B16" s="103"/>
      <c r="C16" s="98"/>
      <c r="D16" s="98"/>
    </row>
    <row r="17" spans="1:17" ht="16.5">
      <c r="A17" s="103"/>
      <c r="B17" s="103"/>
      <c r="C17" s="98"/>
    </row>
    <row r="18" spans="1:17" ht="16.5">
      <c r="A18" s="115"/>
      <c r="B18" s="103"/>
      <c r="C18" s="98"/>
    </row>
    <row r="19" spans="1:17" ht="16.5">
      <c r="A19" s="115"/>
      <c r="B19" s="115"/>
      <c r="C19" s="98"/>
    </row>
    <row r="20" spans="1:17" ht="16.5">
      <c r="A20" s="115"/>
      <c r="B20" s="115"/>
      <c r="C20" s="98"/>
    </row>
    <row r="21" spans="1:17" ht="16.5">
      <c r="A21" s="112"/>
      <c r="B21" s="115"/>
      <c r="C21" s="98"/>
    </row>
    <row r="22" spans="1:17" ht="16.5">
      <c r="A22" s="98"/>
      <c r="B22" s="115"/>
      <c r="C22" s="98"/>
    </row>
    <row r="23" spans="1:17">
      <c r="A23" s="98"/>
      <c r="B23" s="98"/>
      <c r="C23" s="98"/>
    </row>
    <row r="24" spans="1:17">
      <c r="A24" s="98"/>
      <c r="B24" s="98"/>
      <c r="C24" s="98"/>
    </row>
    <row r="25" spans="1:17">
      <c r="A25" s="98"/>
      <c r="B25" s="98"/>
      <c r="C25" s="98"/>
    </row>
    <row r="26" spans="1:17">
      <c r="A26" s="98"/>
      <c r="B26" s="98"/>
    </row>
    <row r="32" spans="1:17" ht="16.5" customHeight="1">
      <c r="A32" s="179" t="s">
        <v>287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04"/>
    </row>
    <row r="33" spans="1:17" ht="15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04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F8" sqref="F8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  <c r="M1" s="98"/>
    </row>
    <row r="2" spans="1:13">
      <c r="A2" s="160" t="s">
        <v>231</v>
      </c>
      <c r="B2" s="161">
        <v>45464</v>
      </c>
      <c r="C2" s="161">
        <v>45471</v>
      </c>
      <c r="D2" s="161">
        <v>45478</v>
      </c>
      <c r="E2" s="161">
        <v>45485</v>
      </c>
      <c r="F2" s="161">
        <v>45492</v>
      </c>
      <c r="G2" s="161">
        <v>45499</v>
      </c>
      <c r="H2" s="161">
        <v>45506</v>
      </c>
      <c r="I2" s="161">
        <v>45513</v>
      </c>
      <c r="J2" s="96"/>
      <c r="K2" s="98"/>
      <c r="L2" s="98"/>
      <c r="M2" s="98"/>
    </row>
    <row r="3" spans="1:13">
      <c r="A3" s="160" t="s">
        <v>232</v>
      </c>
      <c r="B3" s="162">
        <f t="shared" ref="B3:I3" si="0">B4</f>
        <v>2935.8430719008147</v>
      </c>
      <c r="C3" s="162">
        <f t="shared" si="0"/>
        <v>2970.9827489413674</v>
      </c>
      <c r="D3" s="162">
        <f t="shared" si="0"/>
        <v>3047.0187418823903</v>
      </c>
      <c r="E3" s="162">
        <f t="shared" si="0"/>
        <v>3097.1617711497356</v>
      </c>
      <c r="F3" s="162">
        <f t="shared" si="0"/>
        <v>3161.8406486109188</v>
      </c>
      <c r="G3" s="162">
        <f t="shared" si="0"/>
        <v>3212.3863205334346</v>
      </c>
      <c r="H3" s="162">
        <f t="shared" si="0"/>
        <v>3251.4108261292827</v>
      </c>
      <c r="I3" s="162">
        <f t="shared" si="0"/>
        <v>3244.6913921078954</v>
      </c>
      <c r="J3" s="96"/>
      <c r="K3" s="98"/>
      <c r="L3" s="98"/>
      <c r="M3" s="98"/>
    </row>
    <row r="4" spans="1:13">
      <c r="A4" s="96"/>
      <c r="B4" s="163">
        <f>'NAV Trend'!C10/1000000000</f>
        <v>2935.8430719008147</v>
      </c>
      <c r="C4" s="163">
        <f>'NAV Trend'!D10/1000000000</f>
        <v>2970.9827489413674</v>
      </c>
      <c r="D4" s="163">
        <f>'NAV Trend'!E10/1000000000</f>
        <v>3047.0187418823903</v>
      </c>
      <c r="E4" s="163">
        <f>'NAV Trend'!F10/1000000000</f>
        <v>3097.1617711497356</v>
      </c>
      <c r="F4" s="163">
        <f>'NAV Trend'!G10/1000000000</f>
        <v>3161.8406486109188</v>
      </c>
      <c r="G4" s="163">
        <f>'NAV Trend'!H10/1000000000</f>
        <v>3212.3863205334346</v>
      </c>
      <c r="H4" s="164">
        <f>'NAV Trend'!I10/1000000000</f>
        <v>3251.4108261292827</v>
      </c>
      <c r="I4" s="164">
        <f>'NAV Trend'!J10/1000000000</f>
        <v>3244.6913921078954</v>
      </c>
      <c r="J4" s="96"/>
      <c r="K4" s="98"/>
      <c r="L4" s="98"/>
      <c r="M4" s="98"/>
    </row>
    <row r="5" spans="1:13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activeCell="D8" sqref="D8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8"/>
      <c r="B1" s="98"/>
      <c r="C1" s="98"/>
      <c r="D1" s="98"/>
      <c r="E1" s="98"/>
      <c r="F1" s="98"/>
      <c r="G1" s="98"/>
      <c r="H1" s="98"/>
      <c r="I1" s="98"/>
      <c r="J1" s="98"/>
      <c r="K1" s="96"/>
      <c r="L1" s="98"/>
    </row>
    <row r="2" spans="1:12">
      <c r="A2" s="136" t="s">
        <v>231</v>
      </c>
      <c r="B2" s="161">
        <v>45464</v>
      </c>
      <c r="C2" s="161">
        <v>45471</v>
      </c>
      <c r="D2" s="161">
        <v>45478</v>
      </c>
      <c r="E2" s="161">
        <v>45485</v>
      </c>
      <c r="F2" s="161">
        <v>45492</v>
      </c>
      <c r="G2" s="161">
        <v>45499</v>
      </c>
      <c r="H2" s="161">
        <v>45506</v>
      </c>
      <c r="I2" s="161">
        <v>45513</v>
      </c>
      <c r="J2" s="98"/>
      <c r="K2" s="96"/>
      <c r="L2" s="98"/>
    </row>
    <row r="3" spans="1:12">
      <c r="A3" s="136" t="s">
        <v>263</v>
      </c>
      <c r="B3" s="162">
        <f t="shared" ref="B3:I3" si="0">B4</f>
        <v>13.253375082678389</v>
      </c>
      <c r="C3" s="162">
        <f t="shared" si="0"/>
        <v>12.263967010065977</v>
      </c>
      <c r="D3" s="162">
        <f t="shared" si="0"/>
        <v>12.187736015745237</v>
      </c>
      <c r="E3" s="162">
        <f t="shared" si="0"/>
        <v>12.34693280092509</v>
      </c>
      <c r="F3" s="162">
        <f t="shared" si="0"/>
        <v>12.398936333326033</v>
      </c>
      <c r="G3" s="162">
        <f t="shared" si="0"/>
        <v>12.157713481032657</v>
      </c>
      <c r="H3" s="162">
        <f t="shared" si="0"/>
        <v>12.159294190102655</v>
      </c>
      <c r="I3" s="162">
        <f t="shared" si="0"/>
        <v>12.203531382445654</v>
      </c>
      <c r="J3" s="98"/>
      <c r="K3" s="96"/>
      <c r="L3" s="98"/>
    </row>
    <row r="4" spans="1:12">
      <c r="A4" s="98"/>
      <c r="B4" s="163">
        <f>'NAV Trend'!C16/1000000000</f>
        <v>13.253375082678389</v>
      </c>
      <c r="C4" s="163">
        <f>'NAV Trend'!D16/1000000000</f>
        <v>12.263967010065977</v>
      </c>
      <c r="D4" s="163">
        <f>'NAV Trend'!E16/1000000000</f>
        <v>12.187736015745237</v>
      </c>
      <c r="E4" s="163">
        <f>'NAV Trend'!F16/1000000000</f>
        <v>12.34693280092509</v>
      </c>
      <c r="F4" s="163">
        <f>'NAV Trend'!G16/1000000000</f>
        <v>12.398936333326033</v>
      </c>
      <c r="G4" s="163">
        <f>'NAV Trend'!H16/1000000000</f>
        <v>12.157713481032657</v>
      </c>
      <c r="H4" s="163">
        <f>'NAV Trend'!I16/1000000000</f>
        <v>12.159294190102655</v>
      </c>
      <c r="I4" s="164">
        <f>'NAV Trend'!J16/1000000000</f>
        <v>12.203531382445654</v>
      </c>
      <c r="J4" s="98"/>
      <c r="K4" s="96"/>
      <c r="L4" s="98"/>
    </row>
    <row r="5" spans="1:12">
      <c r="A5" s="98"/>
      <c r="B5" s="98"/>
      <c r="C5" s="98"/>
      <c r="D5" s="98"/>
      <c r="E5" s="98"/>
      <c r="F5" s="98"/>
      <c r="G5" s="98"/>
      <c r="H5" s="98"/>
      <c r="I5" s="98"/>
      <c r="J5" s="98"/>
      <c r="K5" s="96"/>
      <c r="L5" s="98"/>
    </row>
    <row r="6" spans="1:1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220</v>
      </c>
      <c r="B1" s="44">
        <v>45457</v>
      </c>
      <c r="C1" s="44">
        <v>45464</v>
      </c>
      <c r="D1" s="44">
        <v>45471</v>
      </c>
      <c r="E1" s="44">
        <v>45478</v>
      </c>
      <c r="F1" s="44">
        <v>45485</v>
      </c>
      <c r="G1" s="44">
        <v>45492</v>
      </c>
      <c r="H1" s="44">
        <v>45499</v>
      </c>
      <c r="I1" s="44">
        <v>45506</v>
      </c>
      <c r="J1" s="44">
        <v>45513</v>
      </c>
    </row>
    <row r="2" spans="1:11" ht="16.5">
      <c r="A2" s="45" t="s">
        <v>15</v>
      </c>
      <c r="B2" s="121">
        <v>28067702772.25</v>
      </c>
      <c r="C2" s="121">
        <v>28799678439.980003</v>
      </c>
      <c r="D2" s="121">
        <v>28745543118.100006</v>
      </c>
      <c r="E2" s="121">
        <v>28719008525.705399</v>
      </c>
      <c r="F2" s="121">
        <v>28668185801.740002</v>
      </c>
      <c r="G2" s="121">
        <v>27374223550.790398</v>
      </c>
      <c r="H2" s="121">
        <v>26986311220.071198</v>
      </c>
      <c r="I2" s="121">
        <v>27041982230.700104</v>
      </c>
      <c r="J2" s="121">
        <v>27433680041.348602</v>
      </c>
    </row>
    <row r="3" spans="1:11" ht="16.5">
      <c r="A3" s="45" t="s">
        <v>47</v>
      </c>
      <c r="B3" s="121">
        <v>1035718749074.4199</v>
      </c>
      <c r="C3" s="121">
        <v>1043320161390.5101</v>
      </c>
      <c r="D3" s="121">
        <v>1064964007608.8696</v>
      </c>
      <c r="E3" s="121">
        <v>1119081554645.3997</v>
      </c>
      <c r="F3" s="121">
        <v>1142921312773.24</v>
      </c>
      <c r="G3" s="121">
        <v>1166722877285.0798</v>
      </c>
      <c r="H3" s="121">
        <v>1182826404297.3062</v>
      </c>
      <c r="I3" s="121">
        <v>1197584357066.3213</v>
      </c>
      <c r="J3" s="121">
        <v>1218572512276.3979</v>
      </c>
    </row>
    <row r="4" spans="1:11" ht="16.5">
      <c r="A4" s="45" t="s">
        <v>221</v>
      </c>
      <c r="B4" s="120">
        <v>238318816891.85349</v>
      </c>
      <c r="C4" s="120">
        <v>234982241429.96106</v>
      </c>
      <c r="D4" s="120">
        <v>232706729235.12198</v>
      </c>
      <c r="E4" s="120">
        <v>231541169667.96704</v>
      </c>
      <c r="F4" s="120">
        <v>234509456399.79123</v>
      </c>
      <c r="G4" s="120">
        <v>231629021027.44598</v>
      </c>
      <c r="H4" s="120">
        <v>227274142538.3446</v>
      </c>
      <c r="I4" s="120">
        <v>222265413610.996</v>
      </c>
      <c r="J4" s="120">
        <v>220342612965.04529</v>
      </c>
    </row>
    <row r="5" spans="1:11" ht="16.5">
      <c r="A5" s="45" t="s">
        <v>128</v>
      </c>
      <c r="B5" s="121">
        <v>1422260670513.2676</v>
      </c>
      <c r="C5" s="121">
        <v>1424471070589.1018</v>
      </c>
      <c r="D5" s="121">
        <v>1440746247502.9666</v>
      </c>
      <c r="E5" s="121">
        <v>1462330955935.3621</v>
      </c>
      <c r="F5" s="121">
        <v>1488355338715.866</v>
      </c>
      <c r="G5" s="121">
        <v>1533129708414.949</v>
      </c>
      <c r="H5" s="121">
        <v>1572548889455.8511</v>
      </c>
      <c r="I5" s="121">
        <v>1602267920125.6169</v>
      </c>
      <c r="J5" s="121">
        <v>1574721850668.9399</v>
      </c>
    </row>
    <row r="6" spans="1:11" ht="16.5">
      <c r="A6" s="45" t="s">
        <v>222</v>
      </c>
      <c r="B6" s="46">
        <v>98697054246.114548</v>
      </c>
      <c r="C6" s="46">
        <v>98696481407.247284</v>
      </c>
      <c r="D6" s="46">
        <v>98610688317.905182</v>
      </c>
      <c r="E6" s="46">
        <v>100344953021.42615</v>
      </c>
      <c r="F6" s="46">
        <v>98677642489.274277</v>
      </c>
      <c r="G6" s="46">
        <v>98890361757.442917</v>
      </c>
      <c r="H6" s="46">
        <v>98354700217.78096</v>
      </c>
      <c r="I6" s="46">
        <v>98122255921.538315</v>
      </c>
      <c r="J6" s="46">
        <v>98421099303.410858</v>
      </c>
    </row>
    <row r="7" spans="1:11" ht="16.5">
      <c r="A7" s="45" t="s">
        <v>152</v>
      </c>
      <c r="B7" s="47">
        <v>49621576838.56208</v>
      </c>
      <c r="C7" s="47">
        <v>50024750313.981438</v>
      </c>
      <c r="D7" s="47">
        <v>50394267994.968483</v>
      </c>
      <c r="E7" s="47">
        <v>50184242132.945633</v>
      </c>
      <c r="F7" s="47">
        <v>49261704634.470764</v>
      </c>
      <c r="G7" s="47">
        <v>49152903684.924065</v>
      </c>
      <c r="H7" s="47">
        <v>48792555116.379303</v>
      </c>
      <c r="I7" s="47">
        <v>48930496510.281784</v>
      </c>
      <c r="J7" s="47">
        <v>49553288389.12748</v>
      </c>
    </row>
    <row r="8" spans="1:11" ht="16.5">
      <c r="A8" s="45" t="s">
        <v>176</v>
      </c>
      <c r="B8" s="46">
        <v>5139182455.1800003</v>
      </c>
      <c r="C8" s="46">
        <v>5167886512.6100006</v>
      </c>
      <c r="D8" s="46">
        <v>5189379175.1599998</v>
      </c>
      <c r="E8" s="46">
        <v>5228361973.7299995</v>
      </c>
      <c r="F8" s="46">
        <v>5224194854.3199997</v>
      </c>
      <c r="G8" s="46">
        <v>5245977844.9799995</v>
      </c>
      <c r="H8" s="46">
        <v>5211618372.9899998</v>
      </c>
      <c r="I8" s="46">
        <v>5230729086.9300003</v>
      </c>
      <c r="J8" s="46">
        <v>5343194037.2600002</v>
      </c>
    </row>
    <row r="9" spans="1:11" ht="16.5">
      <c r="A9" s="45" t="s">
        <v>223</v>
      </c>
      <c r="B9" s="46">
        <v>50385986316.249466</v>
      </c>
      <c r="C9" s="46">
        <v>50380801817.423843</v>
      </c>
      <c r="D9" s="46">
        <v>49625885988.275536</v>
      </c>
      <c r="E9" s="46">
        <v>49588495979.853813</v>
      </c>
      <c r="F9" s="46">
        <v>49543935481.033516</v>
      </c>
      <c r="G9" s="46">
        <v>49695575045.307137</v>
      </c>
      <c r="H9" s="46">
        <v>50391699314.71109</v>
      </c>
      <c r="I9" s="46">
        <v>49967671576.897987</v>
      </c>
      <c r="J9" s="46">
        <v>50303154426.365845</v>
      </c>
    </row>
    <row r="10" spans="1:11" ht="15.75">
      <c r="A10" s="48" t="s">
        <v>224</v>
      </c>
      <c r="B10" s="49">
        <f t="shared" ref="B10:I10" si="0">SUM(B2:B9)</f>
        <v>2928209739107.8975</v>
      </c>
      <c r="C10" s="49">
        <f t="shared" si="0"/>
        <v>2935843071900.8149</v>
      </c>
      <c r="D10" s="49">
        <f t="shared" si="0"/>
        <v>2970982748941.3672</v>
      </c>
      <c r="E10" s="49">
        <f t="shared" si="0"/>
        <v>3047018741882.3901</v>
      </c>
      <c r="F10" s="49">
        <f t="shared" si="0"/>
        <v>3097161771149.7358</v>
      </c>
      <c r="G10" s="49">
        <f t="shared" si="0"/>
        <v>3161840648610.9189</v>
      </c>
      <c r="H10" s="49">
        <f t="shared" si="0"/>
        <v>3212386320533.4346</v>
      </c>
      <c r="I10" s="49">
        <f t="shared" si="0"/>
        <v>3251410826129.2827</v>
      </c>
      <c r="J10" s="49">
        <f>SUM(J2:J9)</f>
        <v>3244691392107.8955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225</v>
      </c>
      <c r="B12" s="53" t="s">
        <v>226</v>
      </c>
      <c r="C12" s="54">
        <f>(B10+C10)/2</f>
        <v>2932026405504.3564</v>
      </c>
      <c r="D12" s="55">
        <f t="shared" ref="D12:J12" si="1">(C10+D10)/2</f>
        <v>2953412910421.0908</v>
      </c>
      <c r="E12" s="55">
        <f t="shared" si="1"/>
        <v>3009000745411.8789</v>
      </c>
      <c r="F12" s="55">
        <f t="shared" si="1"/>
        <v>3072090256516.063</v>
      </c>
      <c r="G12" s="55">
        <f>(F10+G10)/2</f>
        <v>3129501209880.3271</v>
      </c>
      <c r="H12" s="55">
        <f t="shared" si="1"/>
        <v>3187113484572.1768</v>
      </c>
      <c r="I12" s="55">
        <f t="shared" si="1"/>
        <v>3231898573331.3584</v>
      </c>
      <c r="J12" s="55">
        <f t="shared" si="1"/>
        <v>3248051109118.5889</v>
      </c>
    </row>
    <row r="13" spans="1:11"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6.5">
      <c r="A15" s="98"/>
      <c r="B15" s="44">
        <v>45457</v>
      </c>
      <c r="C15" s="44">
        <v>45464</v>
      </c>
      <c r="D15" s="44">
        <v>45471</v>
      </c>
      <c r="E15" s="44">
        <v>45478</v>
      </c>
      <c r="F15" s="44">
        <v>45485</v>
      </c>
      <c r="G15" s="44">
        <v>45492</v>
      </c>
      <c r="H15" s="44">
        <v>45499</v>
      </c>
      <c r="I15" s="44">
        <v>45506</v>
      </c>
      <c r="J15" s="44">
        <v>45513</v>
      </c>
      <c r="K15" s="98"/>
    </row>
    <row r="16" spans="1:11" ht="16.5">
      <c r="A16" s="117" t="s">
        <v>262</v>
      </c>
      <c r="B16" s="119">
        <v>13263470098.545036</v>
      </c>
      <c r="C16" s="119">
        <v>13253375082.678389</v>
      </c>
      <c r="D16" s="119">
        <v>12263967010.065977</v>
      </c>
      <c r="E16" s="119">
        <v>12187736015.745237</v>
      </c>
      <c r="F16" s="119">
        <v>12346932800.925091</v>
      </c>
      <c r="G16" s="119">
        <v>12398936333.326033</v>
      </c>
      <c r="H16" s="119">
        <v>12157713481.032656</v>
      </c>
      <c r="I16" s="119">
        <v>12159294190.102655</v>
      </c>
      <c r="J16" s="119">
        <v>12203531382.445654</v>
      </c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/>
      <c r="B18" s="98"/>
      <c r="C18" s="118"/>
      <c r="D18" s="118"/>
      <c r="E18" s="118"/>
      <c r="F18" s="118"/>
      <c r="G18" s="118"/>
      <c r="H18" s="118"/>
      <c r="I18" s="118"/>
      <c r="J18" s="118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>
      <c r="B22" s="98"/>
      <c r="C22" s="98"/>
      <c r="D22" s="98"/>
      <c r="E22" s="98"/>
      <c r="F22" s="98"/>
      <c r="G22" s="98"/>
      <c r="H22" s="98"/>
      <c r="I22" s="98"/>
      <c r="J22" s="98"/>
      <c r="K22" s="96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2024-08-19T09:41:14Z</dcterms:modified>
</cp:coreProperties>
</file>